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0490" windowHeight="6120" tabRatio="843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ept (2)_...dd5b15a0_2T6PUA" sheetId="8" state="hidden" r:id="rId8"/>
    <sheet name="OSR_Div 2_1PQ800A" sheetId="10" state="hidden" r:id="rId9"/>
    <sheet name="OSR_Div 1 (2...9b2bdc94_1Y8VZ4A" sheetId="11" state="hidden" r:id="rId10"/>
    <sheet name="OSR_Div 3_18723PH" sheetId="13" state="hidden" r:id="rId11"/>
    <sheet name="OSR_Div 1 (3...74ea2e91_1YANJVT" sheetId="14" state="hidden" r:id="rId12"/>
    <sheet name="OSR_300_IYZXI6" sheetId="16" state="hidden" r:id="rId13"/>
    <sheet name="OSR_Div 1 (4)...cdd6f638_NQSRHK" sheetId="17" state="hidden" r:id="rId14"/>
    <sheet name="OSR_300 &amp; 317_1C00ID4" sheetId="19" state="hidden" r:id="rId15"/>
    <sheet name="OSR_Div 1 (5)...14c61d9ac_RUIH7" sheetId="20" state="hidden" r:id="rId16"/>
    <sheet name="OSR_310_1CMTOSB" sheetId="22" state="hidden" r:id="rId17"/>
    <sheet name="OSR_Div 1 (6)...754b1b2a_ZV1FUK" sheetId="23" state="hidden" r:id="rId18"/>
    <sheet name="OSR_330_10VFP5Y" sheetId="25" state="hidden" r:id="rId19"/>
    <sheet name="OSR_Div 1 (7)...77c4adfc_YECVQC" sheetId="26" state="hidden" r:id="rId20"/>
    <sheet name="OSR_308_UAWDAG" sheetId="28" state="hidden" r:id="rId21"/>
    <sheet name="OSR_Div 1 (8...54681dd8_1N56J6G" sheetId="29" state="hidden" r:id="rId22"/>
    <sheet name="OSR_331_10VKQAJ" sheetId="31" state="hidden" r:id="rId23"/>
    <sheet name="OSR_Div 1 (9)...81df0cf4_TBZUNU" sheetId="32" state="hidden" r:id="rId24"/>
    <sheet name="OSR_332_6NDVBW" sheetId="34" state="hidden" r:id="rId25"/>
    <sheet name="OSR_Div 1 (10...e834aaf2_4B2R3Z" sheetId="35" state="hidden" r:id="rId26"/>
    <sheet name="OSR_Div 4_1740TMT" sheetId="37" state="hidden" r:id="rId27"/>
    <sheet name="OSR_Div 1 (1...42fef80a_1JUNUIZ" sheetId="38" state="hidden" r:id="rId28"/>
    <sheet name="OSR_310 &amp; 491_1NGRCS9" sheetId="40" state="hidden" r:id="rId29"/>
    <sheet name="OSR_Div 4 (2)...a8a8204b_XPPX5M" sheetId="41" state="hidden" r:id="rId30"/>
    <sheet name="OSR_491_9Z9JH5" sheetId="43" state="hidden" r:id="rId31"/>
    <sheet name="OSR_310 &amp; 491...c23f2d59_X1JXXU" sheetId="44" state="hidden" r:id="rId32"/>
    <sheet name="OSR_492_943FP1" sheetId="46" state="hidden" r:id="rId33"/>
    <sheet name="OSR_310 &amp; 49...76bf5af7_1A2901X" sheetId="47" state="hidden" r:id="rId34"/>
    <sheet name="OSR_Div 5_16NAZO2" sheetId="49" state="hidden" r:id="rId35"/>
    <sheet name="OSR_310 &amp; 49...7615ada9_1PJ8EDG" sheetId="50" state="hidden" r:id="rId36"/>
    <sheet name="OSR_Div 6_P37YY7" sheetId="52" state="hidden" r:id="rId37"/>
    <sheet name="OSR_Div 5 (2...bac05800_1LZIM8H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3" r:id="rId51"/>
    <sheet name="330" sheetId="24" r:id="rId52"/>
    <sheet name="307" sheetId="68" r:id="rId53"/>
    <sheet name="308" sheetId="27" r:id="rId54"/>
    <sheet name="311" sheetId="70" r:id="rId55"/>
    <sheet name="324" sheetId="82" r:id="rId56"/>
    <sheet name="331" sheetId="30" r:id="rId57"/>
    <sheet name="315" sheetId="74" r:id="rId58"/>
    <sheet name="326" sheetId="84" r:id="rId59"/>
    <sheet name="332" sheetId="33" r:id="rId60"/>
    <sheet name="316" sheetId="75" r:id="rId61"/>
    <sheet name="Div 6" sheetId="51" r:id="rId62"/>
    <sheet name="317" sheetId="76" r:id="rId63"/>
    <sheet name="310" sheetId="21" r:id="rId64"/>
    <sheet name="309" sheetId="69" r:id="rId65"/>
    <sheet name="313" sheetId="72" r:id="rId66"/>
    <sheet name="321" sheetId="79" r:id="rId67"/>
    <sheet name="322" sheetId="80" r:id="rId68"/>
    <sheet name="325" sheetId="83" r:id="rId69"/>
    <sheet name="327" sheetId="85" r:id="rId70"/>
    <sheet name="Div 4" sheetId="36" r:id="rId71"/>
    <sheet name="310 &amp; 491" sheetId="39" r:id="rId72"/>
    <sheet name="491" sheetId="42" r:id="rId73"/>
    <sheet name="405" sheetId="87" r:id="rId74"/>
    <sheet name="406" sheetId="88" r:id="rId75"/>
    <sheet name="411" sheetId="91" r:id="rId76"/>
    <sheet name="412" sheetId="92" r:id="rId77"/>
    <sheet name="413" sheetId="93" r:id="rId78"/>
    <sheet name="414" sheetId="94" r:id="rId79"/>
    <sheet name="415" sheetId="95" r:id="rId80"/>
    <sheet name="418" sheetId="97" r:id="rId81"/>
    <sheet name="420" sheetId="98" r:id="rId82"/>
    <sheet name="423" sheetId="99" r:id="rId83"/>
    <sheet name="424" sheetId="100" r:id="rId84"/>
    <sheet name="425" sheetId="101" r:id="rId85"/>
    <sheet name="455" sheetId="108" r:id="rId86"/>
    <sheet name="492" sheetId="45" r:id="rId87"/>
    <sheet name="430" sheetId="102" r:id="rId88"/>
    <sheet name="433" sheetId="103" r:id="rId89"/>
    <sheet name="435" sheetId="104" r:id="rId90"/>
    <sheet name="444" sheetId="105" r:id="rId91"/>
    <sheet name="450" sheetId="107" r:id="rId92"/>
    <sheet name="Div 5" sheetId="48" r:id="rId93"/>
    <sheet name="501" sheetId="109" r:id="rId94"/>
    <sheet name="Dept" sheetId="110" state="hidden" r:id="rId95"/>
    <sheet name="OSR_Dept_Y0WUKY" sheetId="111" state="hidden" r:id="rId96"/>
    <sheet name="OSR_Summary (...56e5d78f_5JEYZH" sheetId="112" state="hidden" r:id="rId97"/>
  </sheets>
  <definedNames>
    <definedName name="OSRRefD11_0x" localSheetId="48">'300'!$D$11:$G$11</definedName>
    <definedName name="OSRRefD11_0x" localSheetId="49">'300 &amp; 317'!$D$11:$G$11</definedName>
    <definedName name="OSRRefD11_0x" localSheetId="52">'307'!$D$11:$G$11</definedName>
    <definedName name="OSRRefD11_0x" localSheetId="53">'308'!$D$11:$G$11</definedName>
    <definedName name="OSRRefD11_0x" localSheetId="64">'309'!$D$11:$G$11</definedName>
    <definedName name="OSRRefD11_0x" localSheetId="63">'310'!$D$11:$G$11</definedName>
    <definedName name="OSRRefD11_0x" localSheetId="71">'310 &amp; 491'!$D$11:$G$11</definedName>
    <definedName name="OSRRefD11_0x" localSheetId="54">'311'!$D$11:$G$11</definedName>
    <definedName name="OSRRefD11_0x" localSheetId="57">'315'!$D$11:$G$11</definedName>
    <definedName name="OSRRefD11_0x" localSheetId="60">'316'!$D$11:$G$11</definedName>
    <definedName name="OSRRefD11_0x" localSheetId="62">'317'!$D$11:$G$11</definedName>
    <definedName name="OSRRefD11_0x" localSheetId="66">'321'!$D$11:$G$11</definedName>
    <definedName name="OSRRefD11_0x" localSheetId="67">'322'!$D$11:$G$11</definedName>
    <definedName name="OSRRefD11_0x" localSheetId="55">'324'!$D$11:$G$11</definedName>
    <definedName name="OSRRefD11_0x" localSheetId="58">'326'!$D$11:$G$11</definedName>
    <definedName name="OSRRefD11_0x" localSheetId="69">'327'!$D$11:$G$11</definedName>
    <definedName name="OSRRefD11_0x" localSheetId="51">'330'!$D$11:$G$11</definedName>
    <definedName name="OSRRefD11_0x" localSheetId="56">'331'!$D$11:$G$11</definedName>
    <definedName name="OSRRefD11_0x" localSheetId="59">'332'!$D$11:$G$11</definedName>
    <definedName name="OSRRefD11_0x" localSheetId="73">'405'!$D$11:$G$11</definedName>
    <definedName name="OSRRefD11_0x" localSheetId="76">'412'!$D$11:$G$11</definedName>
    <definedName name="OSRRefD11_0x" localSheetId="77">'413'!$D$11:$G$11</definedName>
    <definedName name="OSRRefD11_0x" localSheetId="78">'414'!$D$11:$G$11</definedName>
    <definedName name="OSRRefD11_0x" localSheetId="79">'415'!$D$11:$G$11</definedName>
    <definedName name="OSRRefD11_0x" localSheetId="80">'418'!$D$11:$G$11</definedName>
    <definedName name="OSRRefD11_0x" localSheetId="81">'420'!$D$11:$G$11</definedName>
    <definedName name="OSRRefD11_0x" localSheetId="88">'433'!$D$11:$G$11</definedName>
    <definedName name="OSRRefD11_0x" localSheetId="90">'444'!$D$11:$G$11</definedName>
    <definedName name="OSRRefD11_0x" localSheetId="91">'450'!$D$11:$G$11</definedName>
    <definedName name="OSRRefD11_0x" localSheetId="72">'491'!$D$11:$G$11</definedName>
    <definedName name="OSRRefD11_0x" localSheetId="86">'492'!$D$11:$G$11</definedName>
    <definedName name="OSRRefD11_0x" localSheetId="93">'501'!$D$11:$G$11</definedName>
    <definedName name="OSRRefD11_0x" localSheetId="47">'Div 3'!$D$11:$G$11</definedName>
    <definedName name="OSRRefD11_0x" localSheetId="70">'Div 4'!$D$11:$G$11</definedName>
    <definedName name="OSRRefD11_0x" localSheetId="92">'Div 5'!$D$11:$G$11</definedName>
    <definedName name="OSRRefD11_0x" localSheetId="61">'Div 6'!$D$11:$G$11</definedName>
    <definedName name="OSRRefD11_0x" localSheetId="2">Summary!$D$11:$G$11</definedName>
    <definedName name="OSRRefD11_10x" localSheetId="48">'300'!$D$21:$G$21</definedName>
    <definedName name="OSRRefD11_10x" localSheetId="49">'300 &amp; 317'!$D$21:$G$21</definedName>
    <definedName name="OSRRefD11_10x" localSheetId="52">'307'!$D$21:$G$21</definedName>
    <definedName name="OSRRefD11_10x" localSheetId="53">'308'!$D$21:$G$21</definedName>
    <definedName name="OSRRefD11_10x" localSheetId="54">'311'!$D$21:$G$21</definedName>
    <definedName name="OSRRefD11_10x" localSheetId="57">'315'!$D$21:$G$21</definedName>
    <definedName name="OSRRefD11_10x" localSheetId="62">'317'!$D$21:$G$21</definedName>
    <definedName name="OSRRefD11_10x" localSheetId="58">'326'!$D$21:$G$21</definedName>
    <definedName name="OSRRefD11_10x" localSheetId="51">'330'!$D$21:$G$21</definedName>
    <definedName name="OSRRefD11_10x" localSheetId="56">'331'!$D$21:$G$21</definedName>
    <definedName name="OSRRefD11_10x" localSheetId="47">'Div 3'!$D$21:$G$21</definedName>
    <definedName name="OSRRefD11_10x" localSheetId="61">'Div 6'!$D$21:$G$21</definedName>
    <definedName name="OSRRefD11_10x" localSheetId="2">Summary!$D$21:$G$21</definedName>
    <definedName name="OSRRefD11_11x" localSheetId="48">'300'!$D$22:$G$22</definedName>
    <definedName name="OSRRefD11_11x" localSheetId="49">'300 &amp; 317'!$D$22:$G$22</definedName>
    <definedName name="OSRRefD11_11x" localSheetId="53">'308'!$D$22:$G$22</definedName>
    <definedName name="OSRRefD11_11x" localSheetId="54">'311'!$D$22:$G$22</definedName>
    <definedName name="OSRRefD11_11x" localSheetId="57">'315'!$D$22:$G$22</definedName>
    <definedName name="OSRRefD11_11x" localSheetId="62">'317'!$D$22:$G$22</definedName>
    <definedName name="OSRRefD11_11x" localSheetId="58">'326'!$D$22:$G$22</definedName>
    <definedName name="OSRRefD11_11x" localSheetId="56">'331'!$D$22:$G$22</definedName>
    <definedName name="OSRRefD11_11x" localSheetId="47">'Div 3'!$D$22:$G$22</definedName>
    <definedName name="OSRRefD11_11x" localSheetId="61">'Div 6'!$D$22:$G$22</definedName>
    <definedName name="OSRRefD11_11x" localSheetId="2">Summary!$D$22:$G$22</definedName>
    <definedName name="OSRRefD11_12x" localSheetId="48">'300'!$D$23:$G$23</definedName>
    <definedName name="OSRRefD11_12x" localSheetId="49">'300 &amp; 317'!$D$23:$G$23</definedName>
    <definedName name="OSRRefD11_12x" localSheetId="53">'308'!$D$23:$G$23</definedName>
    <definedName name="OSRRefD11_12x" localSheetId="54">'311'!$D$23:$G$23</definedName>
    <definedName name="OSRRefD11_12x" localSheetId="57">'315'!$D$23:$G$23</definedName>
    <definedName name="OSRRefD11_12x" localSheetId="62">'317'!$D$23:$G$23</definedName>
    <definedName name="OSRRefD11_12x" localSheetId="58">'326'!$D$23:$G$23</definedName>
    <definedName name="OSRRefD11_12x" localSheetId="56">'331'!$D$23:$G$23</definedName>
    <definedName name="OSRRefD11_12x" localSheetId="47">'Div 3'!$D$23:$G$23</definedName>
    <definedName name="OSRRefD11_12x" localSheetId="61">'Div 6'!$D$23:$G$23</definedName>
    <definedName name="OSRRefD11_12x" localSheetId="2">Summary!$D$23:$G$23</definedName>
    <definedName name="OSRRefD11_13x" localSheetId="48">'300'!$D$24:$G$24</definedName>
    <definedName name="OSRRefD11_13x" localSheetId="49">'300 &amp; 317'!$D$24:$G$24</definedName>
    <definedName name="OSRRefD11_13x" localSheetId="53">'308'!$D$24:$G$24</definedName>
    <definedName name="OSRRefD11_13x" localSheetId="54">'311'!$D$24:$G$24</definedName>
    <definedName name="OSRRefD11_13x" localSheetId="57">'315'!$D$24:$G$24</definedName>
    <definedName name="OSRRefD11_13x" localSheetId="62">'317'!$D$24:$G$24</definedName>
    <definedName name="OSRRefD11_13x" localSheetId="58">'326'!$D$24:$G$24</definedName>
    <definedName name="OSRRefD11_13x" localSheetId="56">'331'!$D$24:$G$24</definedName>
    <definedName name="OSRRefD11_13x" localSheetId="47">'Div 3'!$D$24:$G$24</definedName>
    <definedName name="OSRRefD11_13x" localSheetId="61">'Div 6'!$D$24:$G$24</definedName>
    <definedName name="OSRRefD11_13x" localSheetId="2">Summary!$D$24:$G$24</definedName>
    <definedName name="OSRRefD11_14x" localSheetId="48">'300'!$D$25:$G$25</definedName>
    <definedName name="OSRRefD11_14x" localSheetId="49">'300 &amp; 317'!$D$25:$G$25</definedName>
    <definedName name="OSRRefD11_14x" localSheetId="53">'308'!$D$25:$G$25</definedName>
    <definedName name="OSRRefD11_14x" localSheetId="54">'311'!$D$25:$G$25</definedName>
    <definedName name="OSRRefD11_14x" localSheetId="57">'315'!$D$25:$G$25</definedName>
    <definedName name="OSRRefD11_14x" localSheetId="62">'317'!$D$25:$G$25</definedName>
    <definedName name="OSRRefD11_14x" localSheetId="58">'326'!$D$25:$G$25</definedName>
    <definedName name="OSRRefD11_14x" localSheetId="56">'331'!$D$25:$G$25</definedName>
    <definedName name="OSRRefD11_14x" localSheetId="47">'Div 3'!$D$25:$G$25</definedName>
    <definedName name="OSRRefD11_14x" localSheetId="61">'Div 6'!$D$25:$G$25</definedName>
    <definedName name="OSRRefD11_14x" localSheetId="2">Summary!$D$25:$G$25</definedName>
    <definedName name="OSRRefD11_15x" localSheetId="48">'300'!$D$26:$G$26</definedName>
    <definedName name="OSRRefD11_15x" localSheetId="49">'300 &amp; 317'!$D$26:$G$26</definedName>
    <definedName name="OSRRefD11_15x" localSheetId="53">'308'!$D$26:$G$26</definedName>
    <definedName name="OSRRefD11_15x" localSheetId="54">'311'!$D$26:$G$26</definedName>
    <definedName name="OSRRefD11_15x" localSheetId="57">'315'!$D$26:$G$26</definedName>
    <definedName name="OSRRefD11_15x" localSheetId="62">'317'!$D$26:$G$26</definedName>
    <definedName name="OSRRefD11_15x" localSheetId="58">'326'!$D$26:$G$26</definedName>
    <definedName name="OSRRefD11_15x" localSheetId="56">'331'!$D$26:$G$26</definedName>
    <definedName name="OSRRefD11_15x" localSheetId="47">'Div 3'!$D$26:$G$26</definedName>
    <definedName name="OSRRefD11_15x" localSheetId="61">'Div 6'!$D$26:$G$26</definedName>
    <definedName name="OSRRefD11_15x" localSheetId="2">Summary!$D$26:$G$26</definedName>
    <definedName name="OSRRefD11_16x" localSheetId="48">'300'!$D$27:$G$27</definedName>
    <definedName name="OSRRefD11_16x" localSheetId="49">'300 &amp; 317'!$D$27:$G$27</definedName>
    <definedName name="OSRRefD11_16x" localSheetId="53">'308'!$D$27:$G$27</definedName>
    <definedName name="OSRRefD11_16x" localSheetId="54">'311'!$D$27:$G$27</definedName>
    <definedName name="OSRRefD11_16x" localSheetId="57">'315'!$D$27:$G$27</definedName>
    <definedName name="OSRRefD11_16x" localSheetId="62">'317'!$D$27:$G$27</definedName>
    <definedName name="OSRRefD11_16x" localSheetId="58">'326'!$D$27:$G$27</definedName>
    <definedName name="OSRRefD11_16x" localSheetId="56">'331'!$D$27:$G$27</definedName>
    <definedName name="OSRRefD11_16x" localSheetId="47">'Div 3'!$D$27:$G$27</definedName>
    <definedName name="OSRRefD11_16x" localSheetId="61">'Div 6'!$D$27:$G$27</definedName>
    <definedName name="OSRRefD11_16x" localSheetId="2">Summary!$D$27:$G$27</definedName>
    <definedName name="OSRRefD11_17x" localSheetId="48">'300'!$D$28:$G$28</definedName>
    <definedName name="OSRRefD11_17x" localSheetId="49">'300 &amp; 317'!$D$28:$G$28</definedName>
    <definedName name="OSRRefD11_17x" localSheetId="53">'308'!$D$28:$G$28</definedName>
    <definedName name="OSRRefD11_17x" localSheetId="54">'311'!$D$28:$G$28</definedName>
    <definedName name="OSRRefD11_17x" localSheetId="57">'315'!$D$28:$G$28</definedName>
    <definedName name="OSRRefD11_17x" localSheetId="62">'317'!$D$28:$G$28</definedName>
    <definedName name="OSRRefD11_17x" localSheetId="58">'326'!$D$28:$G$28</definedName>
    <definedName name="OSRRefD11_17x" localSheetId="56">'331'!$D$28:$G$28</definedName>
    <definedName name="OSRRefD11_17x" localSheetId="47">'Div 3'!$D$28:$G$28</definedName>
    <definedName name="OSRRefD11_17x" localSheetId="61">'Div 6'!$D$28:$G$28</definedName>
    <definedName name="OSRRefD11_17x" localSheetId="2">Summary!$D$28:$G$28</definedName>
    <definedName name="OSRRefD11_18x" localSheetId="48">'300'!$D$29:$G$29</definedName>
    <definedName name="OSRRefD11_18x" localSheetId="49">'300 &amp; 317'!$D$29:$G$29</definedName>
    <definedName name="OSRRefD11_18x" localSheetId="53">'308'!$D$29:$G$29</definedName>
    <definedName name="OSRRefD11_18x" localSheetId="54">'311'!$D$29:$G$29</definedName>
    <definedName name="OSRRefD11_18x" localSheetId="57">'315'!$D$29:$G$29</definedName>
    <definedName name="OSRRefD11_18x" localSheetId="58">'326'!$D$29:$G$29</definedName>
    <definedName name="OSRRefD11_18x" localSheetId="56">'331'!$D$29:$G$29</definedName>
    <definedName name="OSRRefD11_18x" localSheetId="47">'Div 3'!$D$29:$G$29</definedName>
    <definedName name="OSRRefD11_18x" localSheetId="2">Summary!$D$29:$G$29</definedName>
    <definedName name="OSRRefD11_19x" localSheetId="48">'300'!$D$30:$G$30</definedName>
    <definedName name="OSRRefD11_19x" localSheetId="49">'300 &amp; 317'!$D$30:$G$30</definedName>
    <definedName name="OSRRefD11_19x" localSheetId="53">'308'!$D$30:$G$30</definedName>
    <definedName name="OSRRefD11_19x" localSheetId="54">'311'!$D$30:$G$30</definedName>
    <definedName name="OSRRefD11_19x" localSheetId="57">'315'!$D$30:$G$30</definedName>
    <definedName name="OSRRefD11_19x" localSheetId="56">'331'!$D$30:$G$30</definedName>
    <definedName name="OSRRefD11_19x" localSheetId="47">'Div 3'!$D$30:$G$30</definedName>
    <definedName name="OSRRefD11_19x" localSheetId="2">Summary!$D$30:$G$30</definedName>
    <definedName name="OSRRefD11_1x" localSheetId="48">'300'!$D$12:$G$12</definedName>
    <definedName name="OSRRefD11_1x" localSheetId="49">'300 &amp; 317'!$D$12:$G$12</definedName>
    <definedName name="OSRRefD11_1x" localSheetId="52">'307'!$D$12:$G$12</definedName>
    <definedName name="OSRRefD11_1x" localSheetId="53">'308'!$D$12:$G$12</definedName>
    <definedName name="OSRRefD11_1x" localSheetId="63">'310'!$D$12:$G$12</definedName>
    <definedName name="OSRRefD11_1x" localSheetId="71">'310 &amp; 491'!$D$12:$G$12</definedName>
    <definedName name="OSRRefD11_1x" localSheetId="54">'311'!$D$12:$G$12</definedName>
    <definedName name="OSRRefD11_1x" localSheetId="57">'315'!$D$12:$G$12</definedName>
    <definedName name="OSRRefD11_1x" localSheetId="60">'316'!$D$12:$G$12</definedName>
    <definedName name="OSRRefD11_1x" localSheetId="62">'317'!$D$12:$G$12</definedName>
    <definedName name="OSRRefD11_1x" localSheetId="66">'321'!$D$12:$G$12</definedName>
    <definedName name="OSRRefD11_1x" localSheetId="55">'324'!$D$12:$G$12</definedName>
    <definedName name="OSRRefD11_1x" localSheetId="58">'326'!$D$12:$G$12</definedName>
    <definedName name="OSRRefD11_1x" localSheetId="69">'327'!$D$12:$G$12</definedName>
    <definedName name="OSRRefD11_1x" localSheetId="51">'330'!$D$12:$G$12</definedName>
    <definedName name="OSRRefD11_1x" localSheetId="56">'331'!$D$12:$G$12</definedName>
    <definedName name="OSRRefD11_1x" localSheetId="59">'332'!$D$12:$G$12</definedName>
    <definedName name="OSRRefD11_1x" localSheetId="73">'405'!$D$12:$G$12</definedName>
    <definedName name="OSRRefD11_1x" localSheetId="77">'413'!$D$12:$G$12</definedName>
    <definedName name="OSRRefD11_1x" localSheetId="78">'414'!$D$12:$G$12</definedName>
    <definedName name="OSRRefD11_1x" localSheetId="79">'415'!$D$12:$G$12</definedName>
    <definedName name="OSRRefD11_1x" localSheetId="80">'418'!$D$12:$G$12</definedName>
    <definedName name="OSRRefD11_1x" localSheetId="88">'433'!$D$12:$G$12</definedName>
    <definedName name="OSRRefD11_1x" localSheetId="90">'444'!$D$12:$G$12</definedName>
    <definedName name="OSRRefD11_1x" localSheetId="91">'450'!$D$12:$G$12</definedName>
    <definedName name="OSRRefD11_1x" localSheetId="72">'491'!$D$12:$G$12</definedName>
    <definedName name="OSRRefD11_1x" localSheetId="86">'492'!$D$12:$G$12</definedName>
    <definedName name="OSRRefD11_1x" localSheetId="93">'501'!$D$12:$G$12</definedName>
    <definedName name="OSRRefD11_1x" localSheetId="47">'Div 3'!$D$12:$G$12</definedName>
    <definedName name="OSRRefD11_1x" localSheetId="70">'Div 4'!$D$12:$G$12</definedName>
    <definedName name="OSRRefD11_1x" localSheetId="92">'Div 5'!$D$12:$G$12</definedName>
    <definedName name="OSRRefD11_1x" localSheetId="61">'Div 6'!$D$12:$G$12</definedName>
    <definedName name="OSRRefD11_1x" localSheetId="2">Summary!$D$12:$G$12</definedName>
    <definedName name="OSRRefD11_20x" localSheetId="48">'300'!$D$31:$G$31</definedName>
    <definedName name="OSRRefD11_20x" localSheetId="49">'300 &amp; 317'!$D$31:$G$31</definedName>
    <definedName name="OSRRefD11_20x" localSheetId="53">'308'!$D$31:$G$31</definedName>
    <definedName name="OSRRefD11_20x" localSheetId="57">'315'!$D$31:$G$31</definedName>
    <definedName name="OSRRefD11_20x" localSheetId="56">'331'!$D$31:$G$31</definedName>
    <definedName name="OSRRefD11_20x" localSheetId="47">'Div 3'!$D$31:$G$31</definedName>
    <definedName name="OSRRefD11_20x" localSheetId="2">Summary!$D$31:$G$31</definedName>
    <definedName name="OSRRefD11_21x" localSheetId="48">'300'!$D$32:$G$32</definedName>
    <definedName name="OSRRefD11_21x" localSheetId="49">'300 &amp; 317'!$D$32:$G$32</definedName>
    <definedName name="OSRRefD11_21x" localSheetId="57">'315'!$D$32:$G$32</definedName>
    <definedName name="OSRRefD11_21x" localSheetId="56">'331'!$D$32:$G$32</definedName>
    <definedName name="OSRRefD11_21x" localSheetId="47">'Div 3'!$D$32:$G$32</definedName>
    <definedName name="OSRRefD11_21x" localSheetId="2">Summary!$D$32:$G$32</definedName>
    <definedName name="OSRRefD11_22x" localSheetId="48">'300'!$D$33:$G$33</definedName>
    <definedName name="OSRRefD11_22x" localSheetId="49">'300 &amp; 317'!$D$33:$G$33</definedName>
    <definedName name="OSRRefD11_22x" localSheetId="57">'315'!$D$33:$G$33</definedName>
    <definedName name="OSRRefD11_22x" localSheetId="56">'331'!$D$33:$G$33</definedName>
    <definedName name="OSRRefD11_22x" localSheetId="47">'Div 3'!$D$33:$G$33</definedName>
    <definedName name="OSRRefD11_22x" localSheetId="2">Summary!$D$33:$G$33</definedName>
    <definedName name="OSRRefD11_23x" localSheetId="48">'300'!$D$34:$G$34</definedName>
    <definedName name="OSRRefD11_23x" localSheetId="49">'300 &amp; 317'!$D$34:$G$34</definedName>
    <definedName name="OSRRefD11_23x" localSheetId="57">'315'!$D$34:$G$34</definedName>
    <definedName name="OSRRefD11_23x" localSheetId="56">'331'!$D$34:$G$34</definedName>
    <definedName name="OSRRefD11_23x" localSheetId="47">'Div 3'!$D$34:$G$34</definedName>
    <definedName name="OSRRefD11_23x" localSheetId="2">Summary!$D$34:$G$34</definedName>
    <definedName name="OSRRefD11_24x" localSheetId="48">'300'!$D$35:$G$35</definedName>
    <definedName name="OSRRefD11_24x" localSheetId="49">'300 &amp; 317'!$D$35:$G$35</definedName>
    <definedName name="OSRRefD11_24x" localSheetId="57">'315'!$D$35:$G$35</definedName>
    <definedName name="OSRRefD11_24x" localSheetId="56">'331'!$D$35:$G$35</definedName>
    <definedName name="OSRRefD11_24x" localSheetId="47">'Div 3'!$D$35:$G$35</definedName>
    <definedName name="OSRRefD11_24x" localSheetId="2">Summary!$D$35:$G$35</definedName>
    <definedName name="OSRRefD11_25x" localSheetId="48">'300'!$D$36:$G$36</definedName>
    <definedName name="OSRRefD11_25x" localSheetId="49">'300 &amp; 317'!$D$36:$G$36</definedName>
    <definedName name="OSRRefD11_25x" localSheetId="57">'315'!$D$36:$G$36</definedName>
    <definedName name="OSRRefD11_25x" localSheetId="56">'331'!$D$36:$G$36</definedName>
    <definedName name="OSRRefD11_25x" localSheetId="47">'Div 3'!$D$36:$G$36</definedName>
    <definedName name="OSRRefD11_25x" localSheetId="2">Summary!$D$36:$G$36</definedName>
    <definedName name="OSRRefD11_26x" localSheetId="48">'300'!$D$37:$G$37</definedName>
    <definedName name="OSRRefD11_26x" localSheetId="49">'300 &amp; 317'!$D$37:$G$37</definedName>
    <definedName name="OSRRefD11_26x" localSheetId="57">'315'!$D$37:$G$37</definedName>
    <definedName name="OSRRefD11_26x" localSheetId="56">'331'!$D$37:$G$37</definedName>
    <definedName name="OSRRefD11_26x" localSheetId="47">'Div 3'!$D$37:$G$37</definedName>
    <definedName name="OSRRefD11_26x" localSheetId="2">Summary!$D$37:$G$37</definedName>
    <definedName name="OSRRefD11_27x" localSheetId="48">'300'!$D$38:$G$38</definedName>
    <definedName name="OSRRefD11_27x" localSheetId="49">'300 &amp; 317'!$D$38:$G$38</definedName>
    <definedName name="OSRRefD11_27x" localSheetId="57">'315'!$D$38:$G$38</definedName>
    <definedName name="OSRRefD11_27x" localSheetId="56">'331'!$D$38:$G$38</definedName>
    <definedName name="OSRRefD11_27x" localSheetId="47">'Div 3'!$D$38:$G$38</definedName>
    <definedName name="OSRRefD11_27x" localSheetId="2">Summary!$D$38:$G$38</definedName>
    <definedName name="OSRRefD11_28x" localSheetId="48">'300'!$D$39:$G$39</definedName>
    <definedName name="OSRRefD11_28x" localSheetId="49">'300 &amp; 317'!$D$39:$G$39</definedName>
    <definedName name="OSRRefD11_28x" localSheetId="57">'315'!$D$39:$G$39</definedName>
    <definedName name="OSRRefD11_28x" localSheetId="56">'331'!$D$39:$G$39</definedName>
    <definedName name="OSRRefD11_28x" localSheetId="47">'Div 3'!$D$39:$G$39</definedName>
    <definedName name="OSRRefD11_28x" localSheetId="2">Summary!$D$39:$G$39</definedName>
    <definedName name="OSRRefD11_29x" localSheetId="48">'300'!$D$40:$G$40</definedName>
    <definedName name="OSRRefD11_29x" localSheetId="49">'300 &amp; 317'!$D$40:$G$40</definedName>
    <definedName name="OSRRefD11_29x" localSheetId="57">'315'!$D$40:$G$40</definedName>
    <definedName name="OSRRefD11_29x" localSheetId="56">'331'!$D$40:$G$40</definedName>
    <definedName name="OSRRefD11_29x" localSheetId="47">'Div 3'!$D$40:$G$40</definedName>
    <definedName name="OSRRefD11_29x" localSheetId="2">Summary!$D$40:$G$40</definedName>
    <definedName name="OSRRefD11_2x" localSheetId="48">'300'!$D$13:$G$13</definedName>
    <definedName name="OSRRefD11_2x" localSheetId="49">'300 &amp; 317'!$D$13:$G$13</definedName>
    <definedName name="OSRRefD11_2x" localSheetId="52">'307'!$D$13:$G$13</definedName>
    <definedName name="OSRRefD11_2x" localSheetId="53">'308'!$D$13:$G$13</definedName>
    <definedName name="OSRRefD11_2x" localSheetId="63">'310'!$D$13:$G$13</definedName>
    <definedName name="OSRRefD11_2x" localSheetId="71">'310 &amp; 491'!$D$13:$G$13</definedName>
    <definedName name="OSRRefD11_2x" localSheetId="54">'311'!$D$13:$G$13</definedName>
    <definedName name="OSRRefD11_2x" localSheetId="57">'315'!$D$13:$G$13</definedName>
    <definedName name="OSRRefD11_2x" localSheetId="60">'316'!$D$13:$G$13</definedName>
    <definedName name="OSRRefD11_2x" localSheetId="62">'317'!$D$13:$G$13</definedName>
    <definedName name="OSRRefD11_2x" localSheetId="55">'324'!$D$13:$G$13</definedName>
    <definedName name="OSRRefD11_2x" localSheetId="58">'326'!$D$13:$G$13</definedName>
    <definedName name="OSRRefD11_2x" localSheetId="51">'330'!$D$13:$G$13</definedName>
    <definedName name="OSRRefD11_2x" localSheetId="56">'331'!$D$13:$G$13</definedName>
    <definedName name="OSRRefD11_2x" localSheetId="59">'332'!$D$13:$G$13</definedName>
    <definedName name="OSRRefD11_2x" localSheetId="78">'414'!$D$13:$G$13</definedName>
    <definedName name="OSRRefD11_2x" localSheetId="79">'415'!$D$13:$G$13</definedName>
    <definedName name="OSRRefD11_2x" localSheetId="88">'433'!$D$13:$G$13</definedName>
    <definedName name="OSRRefD11_2x" localSheetId="90">'444'!$D$13:$G$13</definedName>
    <definedName name="OSRRefD11_2x" localSheetId="72">'491'!$D$13:$G$13</definedName>
    <definedName name="OSRRefD11_2x" localSheetId="86">'492'!$D$13:$G$13</definedName>
    <definedName name="OSRRefD11_2x" localSheetId="47">'Div 3'!$D$13:$G$13</definedName>
    <definedName name="OSRRefD11_2x" localSheetId="70">'Div 4'!$D$13:$G$13</definedName>
    <definedName name="OSRRefD11_2x" localSheetId="61">'Div 6'!$D$13:$G$13</definedName>
    <definedName name="OSRRefD11_2x" localSheetId="2">Summary!$D$13:$G$13</definedName>
    <definedName name="OSRRefD11_30x" localSheetId="48">'300'!$D$41:$G$41</definedName>
    <definedName name="OSRRefD11_30x" localSheetId="49">'300 &amp; 317'!$D$41:$G$41</definedName>
    <definedName name="OSRRefD11_30x" localSheetId="57">'315'!$D$41:$G$41</definedName>
    <definedName name="OSRRefD11_30x" localSheetId="56">'331'!$D$41:$G$41</definedName>
    <definedName name="OSRRefD11_30x" localSheetId="47">'Div 3'!$D$41:$G$41</definedName>
    <definedName name="OSRRefD11_30x" localSheetId="2">Summary!$D$41:$G$41</definedName>
    <definedName name="OSRRefD11_31x" localSheetId="48">'300'!$D$42:$G$42</definedName>
    <definedName name="OSRRefD11_31x" localSheetId="49">'300 &amp; 317'!$D$42:$G$42</definedName>
    <definedName name="OSRRefD11_31x" localSheetId="57">'315'!$D$42:$G$42</definedName>
    <definedName name="OSRRefD11_31x" localSheetId="56">'331'!$D$42:$G$42</definedName>
    <definedName name="OSRRefD11_31x" localSheetId="47">'Div 3'!$D$42:$G$42</definedName>
    <definedName name="OSRRefD11_31x" localSheetId="2">Summary!$D$42:$G$42</definedName>
    <definedName name="OSRRefD11_32x" localSheetId="48">'300'!$D$43:$G$43</definedName>
    <definedName name="OSRRefD11_32x" localSheetId="49">'300 &amp; 317'!$D$43:$G$43</definedName>
    <definedName name="OSRRefD11_32x" localSheetId="57">'315'!$D$43:$G$43</definedName>
    <definedName name="OSRRefD11_32x" localSheetId="56">'331'!$D$43:$G$43</definedName>
    <definedName name="OSRRefD11_32x" localSheetId="47">'Div 3'!$D$43:$G$43</definedName>
    <definedName name="OSRRefD11_32x" localSheetId="2">Summary!$D$43:$G$43</definedName>
    <definedName name="OSRRefD11_33x" localSheetId="48">'300'!$D$44:$G$44</definedName>
    <definedName name="OSRRefD11_33x" localSheetId="49">'300 &amp; 317'!$D$44:$G$44</definedName>
    <definedName name="OSRRefD11_33x" localSheetId="57">'315'!$D$44:$G$44</definedName>
    <definedName name="OSRRefD11_33x" localSheetId="56">'331'!$D$44:$G$44</definedName>
    <definedName name="OSRRefD11_33x" localSheetId="47">'Div 3'!$D$44:$G$44</definedName>
    <definedName name="OSRRefD11_33x" localSheetId="2">Summary!$D$44:$G$44</definedName>
    <definedName name="OSRRefD11_34x" localSheetId="48">'300'!$D$45:$G$45</definedName>
    <definedName name="OSRRefD11_34x" localSheetId="49">'300 &amp; 317'!$D$45:$G$45</definedName>
    <definedName name="OSRRefD11_34x" localSheetId="57">'315'!$D$45:$G$45</definedName>
    <definedName name="OSRRefD11_34x" localSheetId="56">'331'!$D$45:$G$45</definedName>
    <definedName name="OSRRefD11_34x" localSheetId="47">'Div 3'!$D$45:$G$45</definedName>
    <definedName name="OSRRefD11_34x" localSheetId="2">Summary!$D$45:$G$45</definedName>
    <definedName name="OSRRefD11_35x" localSheetId="48">'300'!$D$46:$G$46</definedName>
    <definedName name="OSRRefD11_35x" localSheetId="49">'300 &amp; 317'!$D$46:$G$46</definedName>
    <definedName name="OSRRefD11_35x" localSheetId="57">'315'!$D$46:$G$46</definedName>
    <definedName name="OSRRefD11_35x" localSheetId="56">'331'!$D$46:$G$46</definedName>
    <definedName name="OSRRefD11_35x" localSheetId="47">'Div 3'!$D$46:$G$46</definedName>
    <definedName name="OSRRefD11_35x" localSheetId="2">Summary!$D$46:$G$46</definedName>
    <definedName name="OSRRefD11_36x" localSheetId="48">'300'!$D$47:$G$47</definedName>
    <definedName name="OSRRefD11_36x" localSheetId="49">'300 &amp; 317'!$D$47:$G$47</definedName>
    <definedName name="OSRRefD11_36x" localSheetId="47">'Div 3'!$D$47:$G$47</definedName>
    <definedName name="OSRRefD11_36x" localSheetId="2">Summary!$D$47:$G$47</definedName>
    <definedName name="OSRRefD11_37x" localSheetId="48">'300'!$D$48:$G$48</definedName>
    <definedName name="OSRRefD11_37x" localSheetId="49">'300 &amp; 317'!$D$48:$G$48</definedName>
    <definedName name="OSRRefD11_37x" localSheetId="47">'Div 3'!$D$48:$G$48</definedName>
    <definedName name="OSRRefD11_37x" localSheetId="2">Summary!$D$48:$G$48</definedName>
    <definedName name="OSRRefD11_38x" localSheetId="48">'300'!$D$49:$G$49</definedName>
    <definedName name="OSRRefD11_38x" localSheetId="49">'300 &amp; 317'!$D$49:$G$49</definedName>
    <definedName name="OSRRefD11_38x" localSheetId="47">'Div 3'!$D$49:$G$49</definedName>
    <definedName name="OSRRefD11_38x" localSheetId="2">Summary!$D$49:$G$49</definedName>
    <definedName name="OSRRefD11_39x" localSheetId="48">'300'!$D$50:$G$50</definedName>
    <definedName name="OSRRefD11_39x" localSheetId="49">'300 &amp; 317'!$D$50:$G$50</definedName>
    <definedName name="OSRRefD11_39x" localSheetId="47">'Div 3'!$D$50:$G$50</definedName>
    <definedName name="OSRRefD11_39x" localSheetId="2">Summary!$D$50:$G$50</definedName>
    <definedName name="OSRRefD11_3x" localSheetId="48">'300'!$D$14:$G$14</definedName>
    <definedName name="OSRRefD11_3x" localSheetId="49">'300 &amp; 317'!$D$14:$G$14</definedName>
    <definedName name="OSRRefD11_3x" localSheetId="52">'307'!$D$14:$G$14</definedName>
    <definedName name="OSRRefD11_3x" localSheetId="53">'308'!$D$14:$G$14</definedName>
    <definedName name="OSRRefD11_3x" localSheetId="63">'310'!$D$14:$G$14</definedName>
    <definedName name="OSRRefD11_3x" localSheetId="71">'310 &amp; 491'!$D$14:$G$14</definedName>
    <definedName name="OSRRefD11_3x" localSheetId="54">'311'!$D$14:$G$14</definedName>
    <definedName name="OSRRefD11_3x" localSheetId="57">'315'!$D$14:$G$14</definedName>
    <definedName name="OSRRefD11_3x" localSheetId="60">'316'!$D$14:$G$14</definedName>
    <definedName name="OSRRefD11_3x" localSheetId="62">'317'!$D$14:$G$14</definedName>
    <definedName name="OSRRefD11_3x" localSheetId="55">'324'!$D$14:$G$14</definedName>
    <definedName name="OSRRefD11_3x" localSheetId="58">'326'!$D$14:$G$14</definedName>
    <definedName name="OSRRefD11_3x" localSheetId="51">'330'!$D$14:$G$14</definedName>
    <definedName name="OSRRefD11_3x" localSheetId="56">'331'!$D$14:$G$14</definedName>
    <definedName name="OSRRefD11_3x" localSheetId="59">'332'!$D$14:$G$14</definedName>
    <definedName name="OSRRefD11_3x" localSheetId="79">'415'!$D$14:$G$14</definedName>
    <definedName name="OSRRefD11_3x" localSheetId="88">'433'!$D$14:$G$14</definedName>
    <definedName name="OSRRefD11_3x" localSheetId="90">'444'!$D$14:$G$14</definedName>
    <definedName name="OSRRefD11_3x" localSheetId="72">'491'!$D$14:$G$14</definedName>
    <definedName name="OSRRefD11_3x" localSheetId="86">'492'!$D$14:$G$14</definedName>
    <definedName name="OSRRefD11_3x" localSheetId="47">'Div 3'!$D$14:$G$14</definedName>
    <definedName name="OSRRefD11_3x" localSheetId="70">'Div 4'!$D$14:$G$14</definedName>
    <definedName name="OSRRefD11_3x" localSheetId="61">'Div 6'!$D$14:$G$14</definedName>
    <definedName name="OSRRefD11_3x" localSheetId="2">Summary!$D$14:$G$14</definedName>
    <definedName name="OSRRefD11_40x" localSheetId="48">'300'!$D$51:$G$51</definedName>
    <definedName name="OSRRefD11_40x" localSheetId="49">'300 &amp; 317'!$D$51:$G$51</definedName>
    <definedName name="OSRRefD11_40x" localSheetId="47">'Div 3'!$D$51:$G$51</definedName>
    <definedName name="OSRRefD11_40x" localSheetId="2">Summary!$D$51:$G$51</definedName>
    <definedName name="OSRRefD11_41x" localSheetId="48">'300'!$D$52:$G$52</definedName>
    <definedName name="OSRRefD11_41x" localSheetId="49">'300 &amp; 317'!$D$52:$G$52</definedName>
    <definedName name="OSRRefD11_41x" localSheetId="47">'Div 3'!$D$52:$G$52</definedName>
    <definedName name="OSRRefD11_41x" localSheetId="2">Summary!$D$52:$G$52</definedName>
    <definedName name="OSRRefD11_42x" localSheetId="48">'300'!$D$53:$G$53</definedName>
    <definedName name="OSRRefD11_42x" localSheetId="49">'300 &amp; 317'!$D$53:$G$53</definedName>
    <definedName name="OSRRefD11_42x" localSheetId="47">'Div 3'!$D$53:$G$53</definedName>
    <definedName name="OSRRefD11_42x" localSheetId="2">Summary!$D$53:$G$53</definedName>
    <definedName name="OSRRefD11_43x" localSheetId="48">'300'!$D$54:$G$54</definedName>
    <definedName name="OSRRefD11_43x" localSheetId="49">'300 &amp; 317'!$D$54:$G$54</definedName>
    <definedName name="OSRRefD11_43x" localSheetId="47">'Div 3'!$D$54:$G$54</definedName>
    <definedName name="OSRRefD11_43x" localSheetId="2">Summary!$D$54:$G$54</definedName>
    <definedName name="OSRRefD11_44x" localSheetId="48">'300'!$D$55:$G$55</definedName>
    <definedName name="OSRRefD11_44x" localSheetId="49">'300 &amp; 317'!$D$55:$G$55</definedName>
    <definedName name="OSRRefD11_44x" localSheetId="47">'Div 3'!$D$55:$G$55</definedName>
    <definedName name="OSRRefD11_44x" localSheetId="2">Summary!$D$55:$G$55</definedName>
    <definedName name="OSRRefD11_45x" localSheetId="48">'300'!$D$56:$G$56</definedName>
    <definedName name="OSRRefD11_45x" localSheetId="49">'300 &amp; 317'!$D$56:$G$56</definedName>
    <definedName name="OSRRefD11_45x" localSheetId="47">'Div 3'!$D$56:$G$56</definedName>
    <definedName name="OSRRefD11_45x" localSheetId="2">Summary!$D$56:$G$56</definedName>
    <definedName name="OSRRefD11_46x" localSheetId="48">'300'!$D$57:$G$57</definedName>
    <definedName name="OSRRefD11_46x" localSheetId="49">'300 &amp; 317'!$D$57:$G$57</definedName>
    <definedName name="OSRRefD11_46x" localSheetId="47">'Div 3'!$D$57:$G$57</definedName>
    <definedName name="OSRRefD11_46x" localSheetId="2">Summary!$D$57:$G$57</definedName>
    <definedName name="OSRRefD11_47x" localSheetId="48">'300'!$D$58:$G$58</definedName>
    <definedName name="OSRRefD11_47x" localSheetId="49">'300 &amp; 317'!$D$58:$G$58</definedName>
    <definedName name="OSRRefD11_47x" localSheetId="47">'Div 3'!$D$58:$G$58</definedName>
    <definedName name="OSRRefD11_47x" localSheetId="2">Summary!$D$58:$G$58</definedName>
    <definedName name="OSRRefD11_48x" localSheetId="48">'300'!$D$59:$G$59</definedName>
    <definedName name="OSRRefD11_48x" localSheetId="49">'300 &amp; 317'!$D$59:$G$59</definedName>
    <definedName name="OSRRefD11_48x" localSheetId="47">'Div 3'!$D$59:$G$59</definedName>
    <definedName name="OSRRefD11_48x" localSheetId="2">Summary!$D$59:$G$59</definedName>
    <definedName name="OSRRefD11_49x" localSheetId="48">'300'!$D$60:$G$60</definedName>
    <definedName name="OSRRefD11_49x" localSheetId="49">'300 &amp; 317'!$D$60:$G$60</definedName>
    <definedName name="OSRRefD11_49x" localSheetId="47">'Div 3'!$D$60:$G$60</definedName>
    <definedName name="OSRRefD11_49x" localSheetId="2">Summary!$D$60:$G$60</definedName>
    <definedName name="OSRRefD11_4x" localSheetId="48">'300'!$D$15:$G$15</definedName>
    <definedName name="OSRRefD11_4x" localSheetId="49">'300 &amp; 317'!$D$15:$G$15</definedName>
    <definedName name="OSRRefD11_4x" localSheetId="52">'307'!$D$15:$G$15</definedName>
    <definedName name="OSRRefD11_4x" localSheetId="53">'308'!$D$15:$G$15</definedName>
    <definedName name="OSRRefD11_4x" localSheetId="71">'310 &amp; 491'!$D$15:$G$15</definedName>
    <definedName name="OSRRefD11_4x" localSheetId="54">'311'!$D$15:$G$15</definedName>
    <definedName name="OSRRefD11_4x" localSheetId="57">'315'!$D$15:$G$15</definedName>
    <definedName name="OSRRefD11_4x" localSheetId="60">'316'!$D$15:$G$15</definedName>
    <definedName name="OSRRefD11_4x" localSheetId="62">'317'!$D$15:$G$15</definedName>
    <definedName name="OSRRefD11_4x" localSheetId="58">'326'!$D$15:$G$15</definedName>
    <definedName name="OSRRefD11_4x" localSheetId="51">'330'!$D$15:$G$15</definedName>
    <definedName name="OSRRefD11_4x" localSheetId="56">'331'!$D$15:$G$15</definedName>
    <definedName name="OSRRefD11_4x" localSheetId="59">'332'!$D$15:$G$15</definedName>
    <definedName name="OSRRefD11_4x" localSheetId="72">'491'!$D$15:$G$15</definedName>
    <definedName name="OSRRefD11_4x" localSheetId="47">'Div 3'!$D$15:$G$15</definedName>
    <definedName name="OSRRefD11_4x" localSheetId="70">'Div 4'!$D$15:$G$15</definedName>
    <definedName name="OSRRefD11_4x" localSheetId="61">'Div 6'!$D$15:$G$15</definedName>
    <definedName name="OSRRefD11_4x" localSheetId="2">Summary!$D$15:$G$15</definedName>
    <definedName name="OSRRefD11_50x" localSheetId="48">'300'!$D$61:$G$61</definedName>
    <definedName name="OSRRefD11_50x" localSheetId="49">'300 &amp; 317'!$D$61:$G$61</definedName>
    <definedName name="OSRRefD11_50x" localSheetId="47">'Div 3'!$D$61:$G$61</definedName>
    <definedName name="OSRRefD11_50x" localSheetId="2">Summary!$D$61:$G$61</definedName>
    <definedName name="OSRRefD11_51x" localSheetId="48">'300'!$D$62:$G$62</definedName>
    <definedName name="OSRRefD11_51x" localSheetId="49">'300 &amp; 317'!$D$62:$G$62</definedName>
    <definedName name="OSRRefD11_51x" localSheetId="47">'Div 3'!$D$62:$G$62</definedName>
    <definedName name="OSRRefD11_51x" localSheetId="2">Summary!$D$62:$G$62</definedName>
    <definedName name="OSRRefD11_52x" localSheetId="48">'300'!$D$63:$G$63</definedName>
    <definedName name="OSRRefD11_52x" localSheetId="49">'300 &amp; 317'!$D$63:$G$63</definedName>
    <definedName name="OSRRefD11_52x" localSheetId="47">'Div 3'!$D$63:$G$63</definedName>
    <definedName name="OSRRefD11_52x" localSheetId="2">Summary!$D$63:$G$63</definedName>
    <definedName name="OSRRefD11_53x" localSheetId="48">'300'!$D$64:$G$64</definedName>
    <definedName name="OSRRefD11_53x" localSheetId="49">'300 &amp; 317'!$D$64:$G$64</definedName>
    <definedName name="OSRRefD11_53x" localSheetId="47">'Div 3'!$D$64:$G$64</definedName>
    <definedName name="OSRRefD11_53x" localSheetId="2">Summary!$D$64:$G$64</definedName>
    <definedName name="OSRRefD11_54x" localSheetId="48">'300'!$D$65:$G$65</definedName>
    <definedName name="OSRRefD11_54x" localSheetId="49">'300 &amp; 317'!$D$65:$G$65</definedName>
    <definedName name="OSRRefD11_54x" localSheetId="47">'Div 3'!$D$65:$G$65</definedName>
    <definedName name="OSRRefD11_54x" localSheetId="2">Summary!$D$65:$G$65</definedName>
    <definedName name="OSRRefD11_55x" localSheetId="48">'300'!$D$66:$G$66</definedName>
    <definedName name="OSRRefD11_55x" localSheetId="49">'300 &amp; 317'!$D$66:$G$66</definedName>
    <definedName name="OSRRefD11_55x" localSheetId="47">'Div 3'!$D$66:$G$66</definedName>
    <definedName name="OSRRefD11_55x" localSheetId="2">Summary!$D$66:$G$66</definedName>
    <definedName name="OSRRefD11_56x" localSheetId="48">'300'!$D$67:$G$67</definedName>
    <definedName name="OSRRefD11_56x" localSheetId="49">'300 &amp; 317'!$D$67:$G$67</definedName>
    <definedName name="OSRRefD11_56x" localSheetId="47">'Div 3'!$D$67:$G$67</definedName>
    <definedName name="OSRRefD11_56x" localSheetId="2">Summary!$D$67:$G$67</definedName>
    <definedName name="OSRRefD11_57x" localSheetId="48">'300'!$D$68:$G$68</definedName>
    <definedName name="OSRRefD11_57x" localSheetId="49">'300 &amp; 317'!$D$68:$G$68</definedName>
    <definedName name="OSRRefD11_57x" localSheetId="47">'Div 3'!$D$68:$G$68</definedName>
    <definedName name="OSRRefD11_57x" localSheetId="2">Summary!$D$68:$G$68</definedName>
    <definedName name="OSRRefD11_58x" localSheetId="48">'300'!$D$69:$G$69</definedName>
    <definedName name="OSRRefD11_58x" localSheetId="49">'300 &amp; 317'!$D$69:$G$69</definedName>
    <definedName name="OSRRefD11_58x" localSheetId="47">'Div 3'!$D$69:$G$69</definedName>
    <definedName name="OSRRefD11_58x" localSheetId="2">Summary!$D$69:$G$69</definedName>
    <definedName name="OSRRefD11_59x" localSheetId="48">'300'!$D$70:$G$70</definedName>
    <definedName name="OSRRefD11_59x" localSheetId="49">'300 &amp; 317'!$D$70:$G$70</definedName>
    <definedName name="OSRRefD11_59x" localSheetId="47">'Div 3'!$D$70:$G$70</definedName>
    <definedName name="OSRRefD11_59x" localSheetId="2">Summary!$D$70:$G$70</definedName>
    <definedName name="OSRRefD11_5x" localSheetId="48">'300'!$D$16:$G$16</definedName>
    <definedName name="OSRRefD11_5x" localSheetId="49">'300 &amp; 317'!$D$16:$G$16</definedName>
    <definedName name="OSRRefD11_5x" localSheetId="52">'307'!$D$16:$G$16</definedName>
    <definedName name="OSRRefD11_5x" localSheetId="53">'308'!$D$16:$G$16</definedName>
    <definedName name="OSRRefD11_5x" localSheetId="71">'310 &amp; 491'!$D$16:$G$16</definedName>
    <definedName name="OSRRefD11_5x" localSheetId="54">'311'!$D$16:$G$16</definedName>
    <definedName name="OSRRefD11_5x" localSheetId="57">'315'!$D$16:$G$16</definedName>
    <definedName name="OSRRefD11_5x" localSheetId="60">'316'!$D$16:$G$16</definedName>
    <definedName name="OSRRefD11_5x" localSheetId="62">'317'!$D$16:$G$16</definedName>
    <definedName name="OSRRefD11_5x" localSheetId="58">'326'!$D$16:$G$16</definedName>
    <definedName name="OSRRefD11_5x" localSheetId="51">'330'!$D$16:$G$16</definedName>
    <definedName name="OSRRefD11_5x" localSheetId="56">'331'!$D$16:$G$16</definedName>
    <definedName name="OSRRefD11_5x" localSheetId="59">'332'!$D$16:$G$16</definedName>
    <definedName name="OSRRefD11_5x" localSheetId="72">'491'!$D$16:$G$16</definedName>
    <definedName name="OSRRefD11_5x" localSheetId="47">'Div 3'!$D$16:$G$16</definedName>
    <definedName name="OSRRefD11_5x" localSheetId="70">'Div 4'!$D$16:$G$16</definedName>
    <definedName name="OSRRefD11_5x" localSheetId="61">'Div 6'!$D$16:$G$16</definedName>
    <definedName name="OSRRefD11_5x" localSheetId="2">Summary!$D$16:$G$16</definedName>
    <definedName name="OSRRefD11_60x" localSheetId="48">'300'!$D$71:$G$71</definedName>
    <definedName name="OSRRefD11_60x" localSheetId="49">'300 &amp; 317'!$D$71:$G$71</definedName>
    <definedName name="OSRRefD11_60x" localSheetId="47">'Div 3'!$D$71:$G$71</definedName>
    <definedName name="OSRRefD11_60x" localSheetId="2">Summary!$D$71:$G$71</definedName>
    <definedName name="OSRRefD11_61x" localSheetId="49">'300 &amp; 317'!$D$72:$G$72</definedName>
    <definedName name="OSRRefD11_61x" localSheetId="47">'Div 3'!$D$72:$G$72</definedName>
    <definedName name="OSRRefD11_61x" localSheetId="2">Summary!$D$72:$G$72</definedName>
    <definedName name="OSRRefD11_62x" localSheetId="49">'300 &amp; 317'!$D$73:$G$73</definedName>
    <definedName name="OSRRefD11_62x" localSheetId="47">'Div 3'!$D$73:$G$73</definedName>
    <definedName name="OSRRefD11_62x" localSheetId="2">Summary!$D$73:$G$73</definedName>
    <definedName name="OSRRefD11_63x" localSheetId="49">'300 &amp; 317'!$D$74:$G$74</definedName>
    <definedName name="OSRRefD11_63x" localSheetId="2">Summary!$D$74:$G$74</definedName>
    <definedName name="OSRRefD11_64x" localSheetId="49">'300 &amp; 317'!$D$75:$G$75</definedName>
    <definedName name="OSRRefD11_64x" localSheetId="2">Summary!$D$75:$G$75</definedName>
    <definedName name="OSRRefD11_65x" localSheetId="49">'300 &amp; 317'!$D$76:$G$76</definedName>
    <definedName name="OSRRefD11_65x" localSheetId="2">Summary!$D$76:$G$76</definedName>
    <definedName name="OSRRefD11_66x" localSheetId="49">'300 &amp; 317'!$D$77:$G$77</definedName>
    <definedName name="OSRRefD11_66x" localSheetId="2">Summary!$D$77:$G$77</definedName>
    <definedName name="OSRRefD11_67x" localSheetId="49">'300 &amp; 317'!$D$78:$G$78</definedName>
    <definedName name="OSRRefD11_67x" localSheetId="2">Summary!$D$78:$G$78</definedName>
    <definedName name="OSRRefD11_68x" localSheetId="49">'300 &amp; 317'!$D$79:$G$79</definedName>
    <definedName name="OSRRefD11_68x" localSheetId="2">Summary!$D$79:$G$79</definedName>
    <definedName name="OSRRefD11_69x" localSheetId="49">'300 &amp; 317'!$D$80:$G$80</definedName>
    <definedName name="OSRRefD11_69x" localSheetId="2">Summary!$D$80:$G$80</definedName>
    <definedName name="OSRRefD11_6x" localSheetId="48">'300'!$D$17:$G$17</definedName>
    <definedName name="OSRRefD11_6x" localSheetId="49">'300 &amp; 317'!$D$17:$G$17</definedName>
    <definedName name="OSRRefD11_6x" localSheetId="52">'307'!$D$17:$G$17</definedName>
    <definedName name="OSRRefD11_6x" localSheetId="53">'308'!$D$17:$G$17</definedName>
    <definedName name="OSRRefD11_6x" localSheetId="71">'310 &amp; 491'!$D$17:$G$17</definedName>
    <definedName name="OSRRefD11_6x" localSheetId="54">'311'!$D$17:$G$17</definedName>
    <definedName name="OSRRefD11_6x" localSheetId="57">'315'!$D$17:$G$17</definedName>
    <definedName name="OSRRefD11_6x" localSheetId="60">'316'!$D$17:$G$17</definedName>
    <definedName name="OSRRefD11_6x" localSheetId="62">'317'!$D$17:$G$17</definedName>
    <definedName name="OSRRefD11_6x" localSheetId="58">'326'!$D$17:$G$17</definedName>
    <definedName name="OSRRefD11_6x" localSheetId="51">'330'!$D$17:$G$17</definedName>
    <definedName name="OSRRefD11_6x" localSheetId="56">'331'!$D$17:$G$17</definedName>
    <definedName name="OSRRefD11_6x" localSheetId="59">'332'!$D$17:$G$17</definedName>
    <definedName name="OSRRefD11_6x" localSheetId="47">'Div 3'!$D$17:$G$17</definedName>
    <definedName name="OSRRefD11_6x" localSheetId="70">'Div 4'!$D$17:$G$17</definedName>
    <definedName name="OSRRefD11_6x" localSheetId="61">'Div 6'!$D$17:$G$17</definedName>
    <definedName name="OSRRefD11_6x" localSheetId="2">Summary!$D$17:$G$17</definedName>
    <definedName name="OSRRefD11_70x" localSheetId="49">'300 &amp; 317'!$D$81:$G$81</definedName>
    <definedName name="OSRRefD11_70x" localSheetId="2">Summary!$D$81:$G$81</definedName>
    <definedName name="OSRRefD11_71x" localSheetId="49">'300 &amp; 317'!$D$82:$G$82</definedName>
    <definedName name="OSRRefD11_71x" localSheetId="2">Summary!$D$82:$G$82</definedName>
    <definedName name="OSRRefD11_72x" localSheetId="49">'300 &amp; 317'!$D$83:$G$83</definedName>
    <definedName name="OSRRefD11_72x" localSheetId="2">Summary!$D$83:$G$83</definedName>
    <definedName name="OSRRefD11_73x" localSheetId="49">'300 &amp; 317'!$D$84:$G$84</definedName>
    <definedName name="OSRRefD11_73x" localSheetId="2">Summary!$D$84:$G$84</definedName>
    <definedName name="OSRRefD11_74x" localSheetId="49">'300 &amp; 317'!$D$85:$G$85</definedName>
    <definedName name="OSRRefD11_74x" localSheetId="2">Summary!$D$85:$G$85</definedName>
    <definedName name="OSRRefD11_75x" localSheetId="2">Summary!$D$86:$G$86</definedName>
    <definedName name="OSRRefD11_76x" localSheetId="2">Summary!$D$87:$G$87</definedName>
    <definedName name="OSRRefD11_77x" localSheetId="2">Summary!$D$88:$G$88</definedName>
    <definedName name="OSRRefD11_78x" localSheetId="2">Summary!$D$89:$G$89</definedName>
    <definedName name="OSRRefD11_79x" localSheetId="2">Summary!$D$90:$G$90</definedName>
    <definedName name="OSRRefD11_7x" localSheetId="48">'300'!$D$18:$G$18</definedName>
    <definedName name="OSRRefD11_7x" localSheetId="49">'300 &amp; 317'!$D$18:$G$18</definedName>
    <definedName name="OSRRefD11_7x" localSheetId="52">'307'!$D$18:$G$18</definedName>
    <definedName name="OSRRefD11_7x" localSheetId="53">'308'!$D$18:$G$18</definedName>
    <definedName name="OSRRefD11_7x" localSheetId="71">'310 &amp; 491'!$D$18:$G$18</definedName>
    <definedName name="OSRRefD11_7x" localSheetId="54">'311'!$D$18:$G$18</definedName>
    <definedName name="OSRRefD11_7x" localSheetId="57">'315'!$D$18:$G$18</definedName>
    <definedName name="OSRRefD11_7x" localSheetId="60">'316'!$D$18:$G$18</definedName>
    <definedName name="OSRRefD11_7x" localSheetId="62">'317'!$D$18:$G$18</definedName>
    <definedName name="OSRRefD11_7x" localSheetId="58">'326'!$D$18:$G$18</definedName>
    <definedName name="OSRRefD11_7x" localSheetId="51">'330'!$D$18:$G$18</definedName>
    <definedName name="OSRRefD11_7x" localSheetId="56">'331'!$D$18:$G$18</definedName>
    <definedName name="OSRRefD11_7x" localSheetId="59">'332'!$D$18:$G$18</definedName>
    <definedName name="OSRRefD11_7x" localSheetId="47">'Div 3'!$D$18:$G$18</definedName>
    <definedName name="OSRRefD11_7x" localSheetId="70">'Div 4'!$D$18:$G$18</definedName>
    <definedName name="OSRRefD11_7x" localSheetId="61">'Div 6'!$D$18:$G$18</definedName>
    <definedName name="OSRRefD11_7x" localSheetId="2">Summary!$D$18:$G$18</definedName>
    <definedName name="OSRRefD11_80x" localSheetId="2">Summary!$D$91:$G$91</definedName>
    <definedName name="OSRRefD11_81x" localSheetId="2">Summary!$D$92:$G$92</definedName>
    <definedName name="OSRRefD11_8x" localSheetId="48">'300'!$D$19:$G$19</definedName>
    <definedName name="OSRRefD11_8x" localSheetId="49">'300 &amp; 317'!$D$19:$G$19</definedName>
    <definedName name="OSRRefD11_8x" localSheetId="52">'307'!$D$19:$G$19</definedName>
    <definedName name="OSRRefD11_8x" localSheetId="53">'308'!$D$19:$G$19</definedName>
    <definedName name="OSRRefD11_8x" localSheetId="71">'310 &amp; 491'!$D$19:$G$19</definedName>
    <definedName name="OSRRefD11_8x" localSheetId="54">'311'!$D$19:$G$19</definedName>
    <definedName name="OSRRefD11_8x" localSheetId="57">'315'!$D$19:$G$19</definedName>
    <definedName name="OSRRefD11_8x" localSheetId="60">'316'!$D$19:$G$19</definedName>
    <definedName name="OSRRefD11_8x" localSheetId="62">'317'!$D$19:$G$19</definedName>
    <definedName name="OSRRefD11_8x" localSheetId="58">'326'!$D$19:$G$19</definedName>
    <definedName name="OSRRefD11_8x" localSheetId="51">'330'!$D$19:$G$19</definedName>
    <definedName name="OSRRefD11_8x" localSheetId="56">'331'!$D$19:$G$19</definedName>
    <definedName name="OSRRefD11_8x" localSheetId="59">'332'!$D$19:$G$19</definedName>
    <definedName name="OSRRefD11_8x" localSheetId="47">'Div 3'!$D$19:$G$19</definedName>
    <definedName name="OSRRefD11_8x" localSheetId="61">'Div 6'!$D$19:$G$19</definedName>
    <definedName name="OSRRefD11_8x" localSheetId="2">Summary!$D$19:$G$19</definedName>
    <definedName name="OSRRefD11_9x" localSheetId="48">'300'!$D$20:$G$20</definedName>
    <definedName name="OSRRefD11_9x" localSheetId="49">'300 &amp; 317'!$D$20:$G$20</definedName>
    <definedName name="OSRRefD11_9x" localSheetId="52">'307'!$D$20:$G$20</definedName>
    <definedName name="OSRRefD11_9x" localSheetId="53">'308'!$D$20:$G$20</definedName>
    <definedName name="OSRRefD11_9x" localSheetId="54">'311'!$D$20:$G$20</definedName>
    <definedName name="OSRRefD11_9x" localSheetId="57">'315'!$D$20:$G$20</definedName>
    <definedName name="OSRRefD11_9x" localSheetId="60">'316'!$D$20:$G$20</definedName>
    <definedName name="OSRRefD11_9x" localSheetId="62">'317'!$D$20:$G$20</definedName>
    <definedName name="OSRRefD11_9x" localSheetId="58">'326'!$D$20:$G$20</definedName>
    <definedName name="OSRRefD11_9x" localSheetId="51">'330'!$D$20:$G$20</definedName>
    <definedName name="OSRRefD11_9x" localSheetId="56">'331'!$D$20:$G$20</definedName>
    <definedName name="OSRRefD11_9x" localSheetId="59">'332'!$D$20:$G$20</definedName>
    <definedName name="OSRRefD11_9x" localSheetId="47">'Div 3'!$D$20:$G$20</definedName>
    <definedName name="OSRRefD11_9x" localSheetId="61">'Div 6'!$D$20:$G$20</definedName>
    <definedName name="OSRRefD11_9x" localSheetId="2">Summary!$D$20:$G$20</definedName>
    <definedName name="OSRRefD11x_0" localSheetId="48">'300'!$D$11:$D$71</definedName>
    <definedName name="OSRRefD11x_0" localSheetId="49">'300 &amp; 317'!$D$11:$D$85</definedName>
    <definedName name="OSRRefD11x_0" localSheetId="52">'307'!$D$11:$D$21</definedName>
    <definedName name="OSRRefD11x_0" localSheetId="53">'308'!$D$11:$D$31</definedName>
    <definedName name="OSRRefD11x_0" localSheetId="64">'309'!$D$11</definedName>
    <definedName name="OSRRefD11x_0" localSheetId="63">'310'!$D$11:$D$14</definedName>
    <definedName name="OSRRefD11x_0" localSheetId="71">'310 &amp; 491'!$D$11:$D$19</definedName>
    <definedName name="OSRRefD11x_0" localSheetId="54">'311'!$D$11:$D$30</definedName>
    <definedName name="OSRRefD11x_0" localSheetId="57">'315'!$D$11:$D$46</definedName>
    <definedName name="OSRRefD11x_0" localSheetId="60">'316'!$D$11:$D$20</definedName>
    <definedName name="OSRRefD11x_0" localSheetId="62">'317'!$D$11:$D$28</definedName>
    <definedName name="OSRRefD11x_0" localSheetId="66">'321'!$D$11:$D$12</definedName>
    <definedName name="OSRRefD11x_0" localSheetId="67">'322'!$D$11</definedName>
    <definedName name="OSRRefD11x_0" localSheetId="55">'324'!$D$11:$D$14</definedName>
    <definedName name="OSRRefD11x_0" localSheetId="58">'326'!$D$11:$D$29</definedName>
    <definedName name="OSRRefD11x_0" localSheetId="69">'327'!$D$11:$D$12</definedName>
    <definedName name="OSRRefD11x_0" localSheetId="51">'330'!$D$11:$D$21</definedName>
    <definedName name="OSRRefD11x_0" localSheetId="56">'331'!$D$11:$D$46</definedName>
    <definedName name="OSRRefD11x_0" localSheetId="59">'332'!$D$11:$D$20</definedName>
    <definedName name="OSRRefD11x_0" localSheetId="73">'405'!$D$11:$D$12</definedName>
    <definedName name="OSRRefD11x_0" localSheetId="76">'412'!$D$11</definedName>
    <definedName name="OSRRefD11x_0" localSheetId="77">'413'!$D$11:$D$12</definedName>
    <definedName name="OSRRefD11x_0" localSheetId="78">'414'!$D$11:$D$13</definedName>
    <definedName name="OSRRefD11x_0" localSheetId="79">'415'!$D$11:$D$14</definedName>
    <definedName name="OSRRefD11x_0" localSheetId="80">'418'!$D$11:$D$12</definedName>
    <definedName name="OSRRefD11x_0" localSheetId="81">'420'!$D$11</definedName>
    <definedName name="OSRRefD11x_0" localSheetId="88">'433'!$D$11:$D$14</definedName>
    <definedName name="OSRRefD11x_0" localSheetId="90">'444'!$D$11:$D$14</definedName>
    <definedName name="OSRRefD11x_0" localSheetId="91">'450'!$D$11:$D$12</definedName>
    <definedName name="OSRRefD11x_0" localSheetId="72">'491'!$D$11:$D$16</definedName>
    <definedName name="OSRRefD11x_0" localSheetId="86">'492'!$D$11:$D$14</definedName>
    <definedName name="OSRRefD11x_0" localSheetId="93">'501'!$D$11:$D$12</definedName>
    <definedName name="OSRRefD11x_0" localSheetId="47">'Div 3'!$D$11:$D$73</definedName>
    <definedName name="OSRRefD11x_0" localSheetId="70">'Div 4'!$D$11:$D$18</definedName>
    <definedName name="OSRRefD11x_0" localSheetId="92">'Div 5'!$D$11:$D$12</definedName>
    <definedName name="OSRRefD11x_0" localSheetId="61">'Div 6'!$D$11:$D$28</definedName>
    <definedName name="OSRRefD11x_0" localSheetId="2">Summary!$D$11:$D$92</definedName>
    <definedName name="OSRRefD11x_1" localSheetId="48">'300'!$E$11:$E$71</definedName>
    <definedName name="OSRRefD11x_1" localSheetId="49">'300 &amp; 317'!$E$11:$E$85</definedName>
    <definedName name="OSRRefD11x_1" localSheetId="52">'307'!$E$11:$E$21</definedName>
    <definedName name="OSRRefD11x_1" localSheetId="53">'308'!$E$11:$E$31</definedName>
    <definedName name="OSRRefD11x_1" localSheetId="64">'309'!$E$11</definedName>
    <definedName name="OSRRefD11x_1" localSheetId="63">'310'!$E$11:$E$14</definedName>
    <definedName name="OSRRefD11x_1" localSheetId="71">'310 &amp; 491'!$E$11:$E$19</definedName>
    <definedName name="OSRRefD11x_1" localSheetId="54">'311'!$E$11:$E$30</definedName>
    <definedName name="OSRRefD11x_1" localSheetId="57">'315'!$E$11:$E$46</definedName>
    <definedName name="OSRRefD11x_1" localSheetId="60">'316'!$E$11:$E$20</definedName>
    <definedName name="OSRRefD11x_1" localSheetId="62">'317'!$E$11:$E$28</definedName>
    <definedName name="OSRRefD11x_1" localSheetId="66">'321'!$E$11:$E$12</definedName>
    <definedName name="OSRRefD11x_1" localSheetId="67">'322'!$E$11</definedName>
    <definedName name="OSRRefD11x_1" localSheetId="55">'324'!$E$11:$E$14</definedName>
    <definedName name="OSRRefD11x_1" localSheetId="58">'326'!$E$11:$E$29</definedName>
    <definedName name="OSRRefD11x_1" localSheetId="69">'327'!$E$11:$E$12</definedName>
    <definedName name="OSRRefD11x_1" localSheetId="51">'330'!$E$11:$E$21</definedName>
    <definedName name="OSRRefD11x_1" localSheetId="56">'331'!$E$11:$E$46</definedName>
    <definedName name="OSRRefD11x_1" localSheetId="59">'332'!$E$11:$E$20</definedName>
    <definedName name="OSRRefD11x_1" localSheetId="73">'405'!$E$11:$E$12</definedName>
    <definedName name="OSRRefD11x_1" localSheetId="76">'412'!$E$11</definedName>
    <definedName name="OSRRefD11x_1" localSheetId="77">'413'!$E$11:$E$12</definedName>
    <definedName name="OSRRefD11x_1" localSheetId="78">'414'!$E$11:$E$13</definedName>
    <definedName name="OSRRefD11x_1" localSheetId="79">'415'!$E$11:$E$14</definedName>
    <definedName name="OSRRefD11x_1" localSheetId="80">'418'!$E$11:$E$12</definedName>
    <definedName name="OSRRefD11x_1" localSheetId="81">'420'!$E$11</definedName>
    <definedName name="OSRRefD11x_1" localSheetId="88">'433'!$E$11:$E$14</definedName>
    <definedName name="OSRRefD11x_1" localSheetId="90">'444'!$E$11:$E$14</definedName>
    <definedName name="OSRRefD11x_1" localSheetId="91">'450'!$E$11:$E$12</definedName>
    <definedName name="OSRRefD11x_1" localSheetId="72">'491'!$E$11:$E$16</definedName>
    <definedName name="OSRRefD11x_1" localSheetId="86">'492'!$E$11:$E$14</definedName>
    <definedName name="OSRRefD11x_1" localSheetId="93">'501'!$E$11:$E$12</definedName>
    <definedName name="OSRRefD11x_1" localSheetId="47">'Div 3'!$E$11:$E$73</definedName>
    <definedName name="OSRRefD11x_1" localSheetId="70">'Div 4'!$E$11:$E$18</definedName>
    <definedName name="OSRRefD11x_1" localSheetId="92">'Div 5'!$E$11:$E$12</definedName>
    <definedName name="OSRRefD11x_1" localSheetId="61">'Div 6'!$E$11:$E$28</definedName>
    <definedName name="OSRRefD11x_1" localSheetId="2">Summary!$E$11:$E$92</definedName>
    <definedName name="OSRRefD11x_2" localSheetId="48">'300'!$F$11:$F$71</definedName>
    <definedName name="OSRRefD11x_2" localSheetId="49">'300 &amp; 317'!$F$11:$F$85</definedName>
    <definedName name="OSRRefD11x_2" localSheetId="52">'307'!$F$11:$F$21</definedName>
    <definedName name="OSRRefD11x_2" localSheetId="53">'308'!$F$11:$F$31</definedName>
    <definedName name="OSRRefD11x_2" localSheetId="64">'309'!$F$11</definedName>
    <definedName name="OSRRefD11x_2" localSheetId="63">'310'!$F$11:$F$14</definedName>
    <definedName name="OSRRefD11x_2" localSheetId="71">'310 &amp; 491'!$F$11:$F$19</definedName>
    <definedName name="OSRRefD11x_2" localSheetId="54">'311'!$F$11:$F$30</definedName>
    <definedName name="OSRRefD11x_2" localSheetId="57">'315'!$F$11:$F$46</definedName>
    <definedName name="OSRRefD11x_2" localSheetId="60">'316'!$F$11:$F$20</definedName>
    <definedName name="OSRRefD11x_2" localSheetId="62">'317'!$F$11:$F$28</definedName>
    <definedName name="OSRRefD11x_2" localSheetId="66">'321'!$F$11:$F$12</definedName>
    <definedName name="OSRRefD11x_2" localSheetId="67">'322'!$F$11</definedName>
    <definedName name="OSRRefD11x_2" localSheetId="55">'324'!$F$11:$F$14</definedName>
    <definedName name="OSRRefD11x_2" localSheetId="58">'326'!$F$11:$F$29</definedName>
    <definedName name="OSRRefD11x_2" localSheetId="69">'327'!$F$11:$F$12</definedName>
    <definedName name="OSRRefD11x_2" localSheetId="51">'330'!$F$11:$F$21</definedName>
    <definedName name="OSRRefD11x_2" localSheetId="56">'331'!$F$11:$F$46</definedName>
    <definedName name="OSRRefD11x_2" localSheetId="59">'332'!$F$11:$F$20</definedName>
    <definedName name="OSRRefD11x_2" localSheetId="73">'405'!$F$11:$F$12</definedName>
    <definedName name="OSRRefD11x_2" localSheetId="76">'412'!$F$11</definedName>
    <definedName name="OSRRefD11x_2" localSheetId="77">'413'!$F$11:$F$12</definedName>
    <definedName name="OSRRefD11x_2" localSheetId="78">'414'!$F$11:$F$13</definedName>
    <definedName name="OSRRefD11x_2" localSheetId="79">'415'!$F$11:$F$14</definedName>
    <definedName name="OSRRefD11x_2" localSheetId="80">'418'!$F$11:$F$12</definedName>
    <definedName name="OSRRefD11x_2" localSheetId="81">'420'!$F$11</definedName>
    <definedName name="OSRRefD11x_2" localSheetId="88">'433'!$F$11:$F$14</definedName>
    <definedName name="OSRRefD11x_2" localSheetId="90">'444'!$F$11:$F$14</definedName>
    <definedName name="OSRRefD11x_2" localSheetId="91">'450'!$F$11:$F$12</definedName>
    <definedName name="OSRRefD11x_2" localSheetId="72">'491'!$F$11:$F$16</definedName>
    <definedName name="OSRRefD11x_2" localSheetId="86">'492'!$F$11:$F$14</definedName>
    <definedName name="OSRRefD11x_2" localSheetId="93">'501'!$F$11:$F$12</definedName>
    <definedName name="OSRRefD11x_2" localSheetId="47">'Div 3'!$F$11:$F$73</definedName>
    <definedName name="OSRRefD11x_2" localSheetId="70">'Div 4'!$F$11:$F$18</definedName>
    <definedName name="OSRRefD11x_2" localSheetId="92">'Div 5'!$F$11:$F$12</definedName>
    <definedName name="OSRRefD11x_2" localSheetId="61">'Div 6'!$F$11:$F$28</definedName>
    <definedName name="OSRRefD11x_2" localSheetId="2">Summary!$F$11:$F$92</definedName>
    <definedName name="OSRRefD11x_3" localSheetId="48">'300'!$G$11:$G$71</definedName>
    <definedName name="OSRRefD11x_3" localSheetId="49">'300 &amp; 317'!$G$11:$G$85</definedName>
    <definedName name="OSRRefD11x_3" localSheetId="52">'307'!$G$11:$G$21</definedName>
    <definedName name="OSRRefD11x_3" localSheetId="53">'308'!$G$11:$G$31</definedName>
    <definedName name="OSRRefD11x_3" localSheetId="64">'309'!$G$11</definedName>
    <definedName name="OSRRefD11x_3" localSheetId="63">'310'!$G$11:$G$14</definedName>
    <definedName name="OSRRefD11x_3" localSheetId="71">'310 &amp; 491'!$G$11:$G$19</definedName>
    <definedName name="OSRRefD11x_3" localSheetId="54">'311'!$G$11:$G$30</definedName>
    <definedName name="OSRRefD11x_3" localSheetId="57">'315'!$G$11:$G$46</definedName>
    <definedName name="OSRRefD11x_3" localSheetId="60">'316'!$G$11:$G$20</definedName>
    <definedName name="OSRRefD11x_3" localSheetId="62">'317'!$G$11:$G$28</definedName>
    <definedName name="OSRRefD11x_3" localSheetId="66">'321'!$G$11:$G$12</definedName>
    <definedName name="OSRRefD11x_3" localSheetId="67">'322'!$G$11</definedName>
    <definedName name="OSRRefD11x_3" localSheetId="55">'324'!$G$11:$G$14</definedName>
    <definedName name="OSRRefD11x_3" localSheetId="58">'326'!$G$11:$G$29</definedName>
    <definedName name="OSRRefD11x_3" localSheetId="69">'327'!$G$11:$G$12</definedName>
    <definedName name="OSRRefD11x_3" localSheetId="51">'330'!$G$11:$G$21</definedName>
    <definedName name="OSRRefD11x_3" localSheetId="56">'331'!$G$11:$G$46</definedName>
    <definedName name="OSRRefD11x_3" localSheetId="59">'332'!$G$11:$G$20</definedName>
    <definedName name="OSRRefD11x_3" localSheetId="73">'405'!$G$11:$G$12</definedName>
    <definedName name="OSRRefD11x_3" localSheetId="76">'412'!$G$11</definedName>
    <definedName name="OSRRefD11x_3" localSheetId="77">'413'!$G$11:$G$12</definedName>
    <definedName name="OSRRefD11x_3" localSheetId="78">'414'!$G$11:$G$13</definedName>
    <definedName name="OSRRefD11x_3" localSheetId="79">'415'!$G$11:$G$14</definedName>
    <definedName name="OSRRefD11x_3" localSheetId="80">'418'!$G$11:$G$12</definedName>
    <definedName name="OSRRefD11x_3" localSheetId="81">'420'!$G$11</definedName>
    <definedName name="OSRRefD11x_3" localSheetId="88">'433'!$G$11:$G$14</definedName>
    <definedName name="OSRRefD11x_3" localSheetId="90">'444'!$G$11:$G$14</definedName>
    <definedName name="OSRRefD11x_3" localSheetId="91">'450'!$G$11:$G$12</definedName>
    <definedName name="OSRRefD11x_3" localSheetId="72">'491'!$G$11:$G$16</definedName>
    <definedName name="OSRRefD11x_3" localSheetId="86">'492'!$G$11:$G$14</definedName>
    <definedName name="OSRRefD11x_3" localSheetId="93">'501'!$G$11:$G$12</definedName>
    <definedName name="OSRRefD11x_3" localSheetId="47">'Div 3'!$G$11:$G$73</definedName>
    <definedName name="OSRRefD11x_3" localSheetId="70">'Div 4'!$G$11:$G$18</definedName>
    <definedName name="OSRRefD11x_3" localSheetId="92">'Div 5'!$G$11:$G$12</definedName>
    <definedName name="OSRRefD11x_3" localSheetId="61">'Div 6'!$G$11:$G$28</definedName>
    <definedName name="OSRRefD11x_3" localSheetId="2">Summary!$G$11:$G$92</definedName>
    <definedName name="OSRRefD14_0x" localSheetId="48">'300'!$D$74:$G$74</definedName>
    <definedName name="OSRRefD14_0x" localSheetId="49">'300 &amp; 317'!$D$88:$G$88</definedName>
    <definedName name="OSRRefD14_0x" localSheetId="52">'307'!$D$24:$G$24</definedName>
    <definedName name="OSRRefD14_0x" localSheetId="53">'308'!$D$34:$G$34</definedName>
    <definedName name="OSRRefD14_0x" localSheetId="64">'309'!$D$14:$G$14</definedName>
    <definedName name="OSRRefD14_0x" localSheetId="63">'310'!$D$17:$G$17</definedName>
    <definedName name="OSRRefD14_0x" localSheetId="71">'310 &amp; 491'!$D$22:$G$22</definedName>
    <definedName name="OSRRefD14_0x" localSheetId="54">'311'!$D$33:$G$33</definedName>
    <definedName name="OSRRefD14_0x" localSheetId="65">'313'!$D$13:$G$13</definedName>
    <definedName name="OSRRefD14_0x" localSheetId="57">'315'!$D$49:$G$49</definedName>
    <definedName name="OSRRefD14_0x" localSheetId="62">'317'!$D$31:$G$31</definedName>
    <definedName name="OSRRefD14_0x" localSheetId="66">'321'!$D$15:$G$15</definedName>
    <definedName name="OSRRefD14_0x" localSheetId="67">'322'!$D$14:$G$14</definedName>
    <definedName name="OSRRefD14_0x" localSheetId="55">'324'!$D$17:$G$17</definedName>
    <definedName name="OSRRefD14_0x" localSheetId="68">'325'!$D$13:$G$13</definedName>
    <definedName name="OSRRefD14_0x" localSheetId="58">'326'!$D$32:$G$32</definedName>
    <definedName name="OSRRefD14_0x" localSheetId="69">'327'!$D$15:$G$15</definedName>
    <definedName name="OSRRefD14_0x" localSheetId="51">'330'!$D$24:$G$24</definedName>
    <definedName name="OSRRefD14_0x" localSheetId="56">'331'!$D$49:$G$49</definedName>
    <definedName name="OSRRefD14_0x" localSheetId="73">'405'!$D$15:$G$15</definedName>
    <definedName name="OSRRefD14_0x" localSheetId="76">'412'!$D$14:$G$14</definedName>
    <definedName name="OSRRefD14_0x" localSheetId="77">'413'!$D$15:$G$15</definedName>
    <definedName name="OSRRefD14_0x" localSheetId="78">'414'!$D$16:$G$16</definedName>
    <definedName name="OSRRefD14_0x" localSheetId="79">'415'!$D$17:$G$17</definedName>
    <definedName name="OSRRefD14_0x" localSheetId="80">'418'!$D$15:$G$15</definedName>
    <definedName name="OSRRefD14_0x" localSheetId="88">'433'!$D$17:$G$17</definedName>
    <definedName name="OSRRefD14_0x" localSheetId="90">'444'!$D$17:$G$17</definedName>
    <definedName name="OSRRefD14_0x" localSheetId="91">'450'!$D$15:$G$15</definedName>
    <definedName name="OSRRefD14_0x" localSheetId="72">'491'!$D$19:$G$19</definedName>
    <definedName name="OSRRefD14_0x" localSheetId="86">'492'!$D$17:$G$17</definedName>
    <definedName name="OSRRefD14_0x" localSheetId="47">'Div 3'!$D$76:$G$76</definedName>
    <definedName name="OSRRefD14_0x" localSheetId="70">'Div 4'!$D$21:$G$21</definedName>
    <definedName name="OSRRefD14_0x" localSheetId="61">'Div 6'!$D$31:$G$31</definedName>
    <definedName name="OSRRefD14_0x" localSheetId="2">Summary!$D$95:$G$95</definedName>
    <definedName name="OSRRefD14_10x" localSheetId="48">'300'!$D$84:$G$84</definedName>
    <definedName name="OSRRefD14_10x" localSheetId="49">'300 &amp; 317'!$D$98:$G$98</definedName>
    <definedName name="OSRRefD14_10x" localSheetId="53">'308'!$D$44:$G$44</definedName>
    <definedName name="OSRRefD14_10x" localSheetId="54">'311'!$D$43:$G$43</definedName>
    <definedName name="OSRRefD14_10x" localSheetId="57">'315'!$D$59:$G$59</definedName>
    <definedName name="OSRRefD14_10x" localSheetId="62">'317'!$D$41:$G$41</definedName>
    <definedName name="OSRRefD14_10x" localSheetId="56">'331'!$D$59:$G$59</definedName>
    <definedName name="OSRRefD14_10x" localSheetId="47">'Div 3'!$D$86:$G$86</definedName>
    <definedName name="OSRRefD14_10x" localSheetId="61">'Div 6'!$D$41:$G$41</definedName>
    <definedName name="OSRRefD14_10x" localSheetId="2">Summary!$D$105:$G$105</definedName>
    <definedName name="OSRRefD14_11x" localSheetId="48">'300'!$D$85:$G$85</definedName>
    <definedName name="OSRRefD14_11x" localSheetId="49">'300 &amp; 317'!$D$99:$G$99</definedName>
    <definedName name="OSRRefD14_11x" localSheetId="53">'308'!$D$45:$G$45</definedName>
    <definedName name="OSRRefD14_11x" localSheetId="54">'311'!$D$44:$G$44</definedName>
    <definedName name="OSRRefD14_11x" localSheetId="57">'315'!$D$60:$G$60</definedName>
    <definedName name="OSRRefD14_11x" localSheetId="56">'331'!$D$60:$G$60</definedName>
    <definedName name="OSRRefD14_11x" localSheetId="47">'Div 3'!$D$87:$G$87</definedName>
    <definedName name="OSRRefD14_11x" localSheetId="2">Summary!$D$106:$G$106</definedName>
    <definedName name="OSRRefD14_12x" localSheetId="48">'300'!$D$86:$G$86</definedName>
    <definedName name="OSRRefD14_12x" localSheetId="49">'300 &amp; 317'!$D$100:$G$100</definedName>
    <definedName name="OSRRefD14_12x" localSheetId="53">'308'!$D$46:$G$46</definedName>
    <definedName name="OSRRefD14_12x" localSheetId="54">'311'!$D$45:$G$45</definedName>
    <definedName name="OSRRefD14_12x" localSheetId="57">'315'!$D$61:$G$61</definedName>
    <definedName name="OSRRefD14_12x" localSheetId="56">'331'!$D$61:$G$61</definedName>
    <definedName name="OSRRefD14_12x" localSheetId="47">'Div 3'!$D$88:$G$88</definedName>
    <definedName name="OSRRefD14_12x" localSheetId="2">Summary!$D$107:$G$107</definedName>
    <definedName name="OSRRefD14_13x" localSheetId="48">'300'!$D$87:$G$87</definedName>
    <definedName name="OSRRefD14_13x" localSheetId="49">'300 &amp; 317'!$D$101:$G$101</definedName>
    <definedName name="OSRRefD14_13x" localSheetId="57">'315'!$D$62:$G$62</definedName>
    <definedName name="OSRRefD14_13x" localSheetId="56">'331'!$D$62:$G$62</definedName>
    <definedName name="OSRRefD14_13x" localSheetId="47">'Div 3'!$D$89:$G$89</definedName>
    <definedName name="OSRRefD14_13x" localSheetId="2">Summary!$D$108:$G$108</definedName>
    <definedName name="OSRRefD14_14x" localSheetId="48">'300'!$D$88:$G$88</definedName>
    <definedName name="OSRRefD14_14x" localSheetId="49">'300 &amp; 317'!$D$102:$G$102</definedName>
    <definedName name="OSRRefD14_14x" localSheetId="57">'315'!$D$63:$G$63</definedName>
    <definedName name="OSRRefD14_14x" localSheetId="56">'331'!$D$63:$G$63</definedName>
    <definedName name="OSRRefD14_14x" localSheetId="47">'Div 3'!$D$90:$G$90</definedName>
    <definedName name="OSRRefD14_14x" localSheetId="2">Summary!$D$109:$G$109</definedName>
    <definedName name="OSRRefD14_15x" localSheetId="48">'300'!$D$89:$G$89</definedName>
    <definedName name="OSRRefD14_15x" localSheetId="49">'300 &amp; 317'!$D$103:$G$103</definedName>
    <definedName name="OSRRefD14_15x" localSheetId="57">'315'!$D$64:$G$64</definedName>
    <definedName name="OSRRefD14_15x" localSheetId="56">'331'!$D$64:$G$64</definedName>
    <definedName name="OSRRefD14_15x" localSheetId="47">'Div 3'!$D$91:$G$91</definedName>
    <definedName name="OSRRefD14_15x" localSheetId="2">Summary!$D$110:$G$110</definedName>
    <definedName name="OSRRefD14_16x" localSheetId="48">'300'!$D$90:$G$90</definedName>
    <definedName name="OSRRefD14_16x" localSheetId="49">'300 &amp; 317'!$D$104:$G$104</definedName>
    <definedName name="OSRRefD14_16x" localSheetId="57">'315'!$D$65:$G$65</definedName>
    <definedName name="OSRRefD14_16x" localSheetId="56">'331'!$D$65:$G$65</definedName>
    <definedName name="OSRRefD14_16x" localSheetId="47">'Div 3'!$D$92:$G$92</definedName>
    <definedName name="OSRRefD14_16x" localSheetId="2">Summary!$D$111:$G$111</definedName>
    <definedName name="OSRRefD14_17x" localSheetId="48">'300'!$D$91:$G$91</definedName>
    <definedName name="OSRRefD14_17x" localSheetId="49">'300 &amp; 317'!$D$105:$G$105</definedName>
    <definedName name="OSRRefD14_17x" localSheetId="57">'315'!$D$66:$G$66</definedName>
    <definedName name="OSRRefD14_17x" localSheetId="56">'331'!$D$66:$G$66</definedName>
    <definedName name="OSRRefD14_17x" localSheetId="47">'Div 3'!$D$93:$G$93</definedName>
    <definedName name="OSRRefD14_17x" localSheetId="2">Summary!$D$112:$G$112</definedName>
    <definedName name="OSRRefD14_18x" localSheetId="48">'300'!$D$92:$G$92</definedName>
    <definedName name="OSRRefD14_18x" localSheetId="49">'300 &amp; 317'!$D$106:$G$106</definedName>
    <definedName name="OSRRefD14_18x" localSheetId="57">'315'!$D$67:$G$67</definedName>
    <definedName name="OSRRefD14_18x" localSheetId="56">'331'!$D$67:$G$67</definedName>
    <definedName name="OSRRefD14_18x" localSheetId="47">'Div 3'!$D$94:$G$94</definedName>
    <definedName name="OSRRefD14_18x" localSheetId="2">Summary!$D$113:$G$113</definedName>
    <definedName name="OSRRefD14_19x" localSheetId="48">'300'!$D$93:$G$93</definedName>
    <definedName name="OSRRefD14_19x" localSheetId="49">'300 &amp; 317'!$D$107:$G$107</definedName>
    <definedName name="OSRRefD14_19x" localSheetId="57">'315'!$D$68:$G$68</definedName>
    <definedName name="OSRRefD14_19x" localSheetId="56">'331'!$D$68:$G$68</definedName>
    <definedName name="OSRRefD14_19x" localSheetId="47">'Div 3'!$D$95:$G$95</definedName>
    <definedName name="OSRRefD14_19x" localSheetId="2">Summary!$D$114:$G$114</definedName>
    <definedName name="OSRRefD14_1x" localSheetId="48">'300'!$D$75:$G$75</definedName>
    <definedName name="OSRRefD14_1x" localSheetId="49">'300 &amp; 317'!$D$89:$G$89</definedName>
    <definedName name="OSRRefD14_1x" localSheetId="52">'307'!$D$25:$G$25</definedName>
    <definedName name="OSRRefD14_1x" localSheetId="53">'308'!$D$35:$G$35</definedName>
    <definedName name="OSRRefD14_1x" localSheetId="63">'310'!$D$18:$G$18</definedName>
    <definedName name="OSRRefD14_1x" localSheetId="71">'310 &amp; 491'!$D$23:$G$23</definedName>
    <definedName name="OSRRefD14_1x" localSheetId="54">'311'!$D$34:$G$34</definedName>
    <definedName name="OSRRefD14_1x" localSheetId="57">'315'!$D$50:$G$50</definedName>
    <definedName name="OSRRefD14_1x" localSheetId="62">'317'!$D$32:$G$32</definedName>
    <definedName name="OSRRefD14_1x" localSheetId="67">'322'!$D$15:$G$15</definedName>
    <definedName name="OSRRefD14_1x" localSheetId="55">'324'!$D$18:$G$18</definedName>
    <definedName name="OSRRefD14_1x" localSheetId="68">'325'!$D$14:$G$14</definedName>
    <definedName name="OSRRefD14_1x" localSheetId="58">'326'!$D$33:$G$33</definedName>
    <definedName name="OSRRefD14_1x" localSheetId="69">'327'!$D$16:$G$16</definedName>
    <definedName name="OSRRefD14_1x" localSheetId="51">'330'!$D$25:$G$25</definedName>
    <definedName name="OSRRefD14_1x" localSheetId="56">'331'!$D$50:$G$50</definedName>
    <definedName name="OSRRefD14_1x" localSheetId="79">'415'!$D$18:$G$18</definedName>
    <definedName name="OSRRefD14_1x" localSheetId="88">'433'!$D$18:$G$18</definedName>
    <definedName name="OSRRefD14_1x" localSheetId="90">'444'!$D$18:$G$18</definedName>
    <definedName name="OSRRefD14_1x" localSheetId="72">'491'!$D$20:$G$20</definedName>
    <definedName name="OSRRefD14_1x" localSheetId="86">'492'!$D$18:$G$18</definedName>
    <definedName name="OSRRefD14_1x" localSheetId="47">'Div 3'!$D$77:$G$77</definedName>
    <definedName name="OSRRefD14_1x" localSheetId="70">'Div 4'!$D$22:$G$22</definedName>
    <definedName name="OSRRefD14_1x" localSheetId="61">'Div 6'!$D$32:$G$32</definedName>
    <definedName name="OSRRefD14_1x" localSheetId="2">Summary!$D$96:$G$96</definedName>
    <definedName name="OSRRefD14_20x" localSheetId="48">'300'!$D$94:$G$94</definedName>
    <definedName name="OSRRefD14_20x" localSheetId="49">'300 &amp; 317'!$D$108:$G$108</definedName>
    <definedName name="OSRRefD14_20x" localSheetId="57">'315'!$D$69:$G$69</definedName>
    <definedName name="OSRRefD14_20x" localSheetId="56">'331'!$D$69:$G$69</definedName>
    <definedName name="OSRRefD14_20x" localSheetId="47">'Div 3'!$D$96:$G$96</definedName>
    <definedName name="OSRRefD14_20x" localSheetId="2">Summary!$D$115:$G$115</definedName>
    <definedName name="OSRRefD14_21x" localSheetId="48">'300'!$D$95:$G$95</definedName>
    <definedName name="OSRRefD14_21x" localSheetId="49">'300 &amp; 317'!$D$109:$G$109</definedName>
    <definedName name="OSRRefD14_21x" localSheetId="47">'Div 3'!$D$97:$G$97</definedName>
    <definedName name="OSRRefD14_21x" localSheetId="2">Summary!$D$116:$G$116</definedName>
    <definedName name="OSRRefD14_22x" localSheetId="48">'300'!$D$96:$G$96</definedName>
    <definedName name="OSRRefD14_22x" localSheetId="49">'300 &amp; 317'!$D$110:$G$110</definedName>
    <definedName name="OSRRefD14_22x" localSheetId="47">'Div 3'!$D$98:$G$98</definedName>
    <definedName name="OSRRefD14_22x" localSheetId="2">Summary!$D$117:$G$117</definedName>
    <definedName name="OSRRefD14_23x" localSheetId="48">'300'!$D$97:$G$97</definedName>
    <definedName name="OSRRefD14_23x" localSheetId="49">'300 &amp; 317'!$D$111:$G$111</definedName>
    <definedName name="OSRRefD14_23x" localSheetId="47">'Div 3'!$D$99:$G$99</definedName>
    <definedName name="OSRRefD14_23x" localSheetId="2">Summary!$D$118:$G$118</definedName>
    <definedName name="OSRRefD14_24x" localSheetId="48">'300'!$D$98:$G$98</definedName>
    <definedName name="OSRRefD14_24x" localSheetId="49">'300 &amp; 317'!$D$112:$G$112</definedName>
    <definedName name="OSRRefD14_24x" localSheetId="47">'Div 3'!$D$100:$G$100</definedName>
    <definedName name="OSRRefD14_24x" localSheetId="2">Summary!$D$119:$G$119</definedName>
    <definedName name="OSRRefD14_25x" localSheetId="48">'300'!$D$99:$G$99</definedName>
    <definedName name="OSRRefD14_25x" localSheetId="49">'300 &amp; 317'!$D$113:$G$113</definedName>
    <definedName name="OSRRefD14_25x" localSheetId="47">'Div 3'!$D$101:$G$101</definedName>
    <definedName name="OSRRefD14_25x" localSheetId="2">Summary!$D$120:$G$120</definedName>
    <definedName name="OSRRefD14_26x" localSheetId="48">'300'!$D$100:$G$100</definedName>
    <definedName name="OSRRefD14_26x" localSheetId="49">'300 &amp; 317'!$D$114:$G$114</definedName>
    <definedName name="OSRRefD14_26x" localSheetId="47">'Div 3'!$D$102:$G$102</definedName>
    <definedName name="OSRRefD14_26x" localSheetId="2">Summary!$D$121:$G$121</definedName>
    <definedName name="OSRRefD14_27x" localSheetId="48">'300'!$D$101:$G$101</definedName>
    <definedName name="OSRRefD14_27x" localSheetId="49">'300 &amp; 317'!$D$115:$G$115</definedName>
    <definedName name="OSRRefD14_27x" localSheetId="47">'Div 3'!$D$103:$G$103</definedName>
    <definedName name="OSRRefD14_27x" localSheetId="2">Summary!$D$122:$G$122</definedName>
    <definedName name="OSRRefD14_28x" localSheetId="48">'300'!$D$102:$G$102</definedName>
    <definedName name="OSRRefD14_28x" localSheetId="49">'300 &amp; 317'!$D$116:$G$116</definedName>
    <definedName name="OSRRefD14_28x" localSheetId="47">'Div 3'!$D$104:$G$104</definedName>
    <definedName name="OSRRefD14_28x" localSheetId="2">Summary!$D$123:$G$123</definedName>
    <definedName name="OSRRefD14_29x" localSheetId="48">'300'!$D$103:$G$103</definedName>
    <definedName name="OSRRefD14_29x" localSheetId="49">'300 &amp; 317'!$D$117:$G$117</definedName>
    <definedName name="OSRRefD14_29x" localSheetId="47">'Div 3'!$D$105:$G$105</definedName>
    <definedName name="OSRRefD14_29x" localSheetId="2">Summary!$D$124:$G$124</definedName>
    <definedName name="OSRRefD14_2x" localSheetId="48">'300'!$D$76:$G$76</definedName>
    <definedName name="OSRRefD14_2x" localSheetId="49">'300 &amp; 317'!$D$90:$G$90</definedName>
    <definedName name="OSRRefD14_2x" localSheetId="52">'307'!$D$26:$G$26</definedName>
    <definedName name="OSRRefD14_2x" localSheetId="53">'308'!$D$36:$G$36</definedName>
    <definedName name="OSRRefD14_2x" localSheetId="63">'310'!$D$19:$G$19</definedName>
    <definedName name="OSRRefD14_2x" localSheetId="71">'310 &amp; 491'!$D$24:$G$24</definedName>
    <definedName name="OSRRefD14_2x" localSheetId="54">'311'!$D$35:$G$35</definedName>
    <definedName name="OSRRefD14_2x" localSheetId="57">'315'!$D$51:$G$51</definedName>
    <definedName name="OSRRefD14_2x" localSheetId="62">'317'!$D$33:$G$33</definedName>
    <definedName name="OSRRefD14_2x" localSheetId="55">'324'!$D$19:$G$19</definedName>
    <definedName name="OSRRefD14_2x" localSheetId="58">'326'!$D$34:$G$34</definedName>
    <definedName name="OSRRefD14_2x" localSheetId="51">'330'!$D$26:$G$26</definedName>
    <definedName name="OSRRefD14_2x" localSheetId="56">'331'!$D$51:$G$51</definedName>
    <definedName name="OSRRefD14_2x" localSheetId="79">'415'!$D$19:$G$19</definedName>
    <definedName name="OSRRefD14_2x" localSheetId="88">'433'!$D$19:$G$19</definedName>
    <definedName name="OSRRefD14_2x" localSheetId="90">'444'!$D$19:$G$19</definedName>
    <definedName name="OSRRefD14_2x" localSheetId="72">'491'!$D$21:$G$21</definedName>
    <definedName name="OSRRefD14_2x" localSheetId="86">'492'!$D$19:$G$19</definedName>
    <definedName name="OSRRefD14_2x" localSheetId="47">'Div 3'!$D$78:$G$78</definedName>
    <definedName name="OSRRefD14_2x" localSheetId="70">'Div 4'!$D$23:$G$23</definedName>
    <definedName name="OSRRefD14_2x" localSheetId="61">'Div 6'!$D$33:$G$33</definedName>
    <definedName name="OSRRefD14_2x" localSheetId="2">Summary!$D$97:$G$97</definedName>
    <definedName name="OSRRefD14_30x" localSheetId="48">'300'!$D$104:$G$104</definedName>
    <definedName name="OSRRefD14_30x" localSheetId="49">'300 &amp; 317'!$D$118:$G$118</definedName>
    <definedName name="OSRRefD14_30x" localSheetId="47">'Div 3'!$D$106:$G$106</definedName>
    <definedName name="OSRRefD14_30x" localSheetId="2">Summary!$D$125:$G$125</definedName>
    <definedName name="OSRRefD14_31x" localSheetId="49">'300 &amp; 317'!$D$119:$G$119</definedName>
    <definedName name="OSRRefD14_31x" localSheetId="47">'Div 3'!$D$107:$G$107</definedName>
    <definedName name="OSRRefD14_31x" localSheetId="2">Summary!$D$126:$G$126</definedName>
    <definedName name="OSRRefD14_32x" localSheetId="49">'300 &amp; 317'!$D$120:$G$120</definedName>
    <definedName name="OSRRefD14_32x" localSheetId="47">'Div 3'!$D$108:$G$108</definedName>
    <definedName name="OSRRefD14_32x" localSheetId="2">Summary!$D$127:$G$127</definedName>
    <definedName name="OSRRefD14_33x" localSheetId="49">'300 &amp; 317'!$D$121:$G$121</definedName>
    <definedName name="OSRRefD14_33x" localSheetId="2">Summary!$D$128:$G$128</definedName>
    <definedName name="OSRRefD14_34x" localSheetId="49">'300 &amp; 317'!$D$122:$G$122</definedName>
    <definedName name="OSRRefD14_34x" localSheetId="2">Summary!$D$129:$G$129</definedName>
    <definedName name="OSRRefD14_35x" localSheetId="49">'300 &amp; 317'!$D$123:$G$123</definedName>
    <definedName name="OSRRefD14_35x" localSheetId="2">Summary!$D$130:$G$130</definedName>
    <definedName name="OSRRefD14_36x" localSheetId="49">'300 &amp; 317'!$D$124:$G$124</definedName>
    <definedName name="OSRRefD14_36x" localSheetId="2">Summary!$D$131:$G$131</definedName>
    <definedName name="OSRRefD14_37x" localSheetId="49">'300 &amp; 317'!$D$125:$G$125</definedName>
    <definedName name="OSRRefD14_37x" localSheetId="2">Summary!$D$132:$G$132</definedName>
    <definedName name="OSRRefD14_38x" localSheetId="49">'300 &amp; 317'!$D$126:$G$126</definedName>
    <definedName name="OSRRefD14_38x" localSheetId="2">Summary!$D$133:$G$133</definedName>
    <definedName name="OSRRefD14_39x" localSheetId="2">Summary!$D$134:$G$134</definedName>
    <definedName name="OSRRefD14_3x" localSheetId="48">'300'!$D$77:$G$77</definedName>
    <definedName name="OSRRefD14_3x" localSheetId="49">'300 &amp; 317'!$D$91:$G$91</definedName>
    <definedName name="OSRRefD14_3x" localSheetId="52">'307'!$D$27:$G$27</definedName>
    <definedName name="OSRRefD14_3x" localSheetId="53">'308'!$D$37:$G$37</definedName>
    <definedName name="OSRRefD14_3x" localSheetId="54">'311'!$D$36:$G$36</definedName>
    <definedName name="OSRRefD14_3x" localSheetId="57">'315'!$D$52:$G$52</definedName>
    <definedName name="OSRRefD14_3x" localSheetId="62">'317'!$D$34:$G$34</definedName>
    <definedName name="OSRRefD14_3x" localSheetId="58">'326'!$D$35:$G$35</definedName>
    <definedName name="OSRRefD14_3x" localSheetId="51">'330'!$D$27:$G$27</definedName>
    <definedName name="OSRRefD14_3x" localSheetId="56">'331'!$D$52:$G$52</definedName>
    <definedName name="OSRRefD14_3x" localSheetId="47">'Div 3'!$D$79:$G$79</definedName>
    <definedName name="OSRRefD14_3x" localSheetId="61">'Div 6'!$D$34:$G$34</definedName>
    <definedName name="OSRRefD14_3x" localSheetId="2">Summary!$D$98:$G$98</definedName>
    <definedName name="OSRRefD14_40x" localSheetId="2">Summary!$D$135:$G$135</definedName>
    <definedName name="OSRRefD14_4x" localSheetId="48">'300'!$D$78:$G$78</definedName>
    <definedName name="OSRRefD14_4x" localSheetId="49">'300 &amp; 317'!$D$92:$G$92</definedName>
    <definedName name="OSRRefD14_4x" localSheetId="52">'307'!$D$28:$G$28</definedName>
    <definedName name="OSRRefD14_4x" localSheetId="53">'308'!$D$38:$G$38</definedName>
    <definedName name="OSRRefD14_4x" localSheetId="54">'311'!$D$37:$G$37</definedName>
    <definedName name="OSRRefD14_4x" localSheetId="57">'315'!$D$53:$G$53</definedName>
    <definedName name="OSRRefD14_4x" localSheetId="62">'317'!$D$35:$G$35</definedName>
    <definedName name="OSRRefD14_4x" localSheetId="58">'326'!$D$36:$G$36</definedName>
    <definedName name="OSRRefD14_4x" localSheetId="51">'330'!$D$28:$G$28</definedName>
    <definedName name="OSRRefD14_4x" localSheetId="56">'331'!$D$53:$G$53</definedName>
    <definedName name="OSRRefD14_4x" localSheetId="47">'Div 3'!$D$80:$G$80</definedName>
    <definedName name="OSRRefD14_4x" localSheetId="61">'Div 6'!$D$35:$G$35</definedName>
    <definedName name="OSRRefD14_4x" localSheetId="2">Summary!$D$99:$G$99</definedName>
    <definedName name="OSRRefD14_5x" localSheetId="48">'300'!$D$79:$G$79</definedName>
    <definedName name="OSRRefD14_5x" localSheetId="49">'300 &amp; 317'!$D$93:$G$93</definedName>
    <definedName name="OSRRefD14_5x" localSheetId="52">'307'!$D$29:$G$29</definedName>
    <definedName name="OSRRefD14_5x" localSheetId="53">'308'!$D$39:$G$39</definedName>
    <definedName name="OSRRefD14_5x" localSheetId="54">'311'!$D$38:$G$38</definedName>
    <definedName name="OSRRefD14_5x" localSheetId="57">'315'!$D$54:$G$54</definedName>
    <definedName name="OSRRefD14_5x" localSheetId="62">'317'!$D$36:$G$36</definedName>
    <definedName name="OSRRefD14_5x" localSheetId="51">'330'!$D$29:$G$29</definedName>
    <definedName name="OSRRefD14_5x" localSheetId="56">'331'!$D$54:$G$54</definedName>
    <definedName name="OSRRefD14_5x" localSheetId="47">'Div 3'!$D$81:$G$81</definedName>
    <definedName name="OSRRefD14_5x" localSheetId="61">'Div 6'!$D$36:$G$36</definedName>
    <definedName name="OSRRefD14_5x" localSheetId="2">Summary!$D$100:$G$100</definedName>
    <definedName name="OSRRefD14_6x" localSheetId="48">'300'!$D$80:$G$80</definedName>
    <definedName name="OSRRefD14_6x" localSheetId="49">'300 &amp; 317'!$D$94:$G$94</definedName>
    <definedName name="OSRRefD14_6x" localSheetId="52">'307'!$D$30:$G$30</definedName>
    <definedName name="OSRRefD14_6x" localSheetId="53">'308'!$D$40:$G$40</definedName>
    <definedName name="OSRRefD14_6x" localSheetId="54">'311'!$D$39:$G$39</definedName>
    <definedName name="OSRRefD14_6x" localSheetId="57">'315'!$D$55:$G$55</definedName>
    <definedName name="OSRRefD14_6x" localSheetId="62">'317'!$D$37:$G$37</definedName>
    <definedName name="OSRRefD14_6x" localSheetId="51">'330'!$D$30:$G$30</definedName>
    <definedName name="OSRRefD14_6x" localSheetId="56">'331'!$D$55:$G$55</definedName>
    <definedName name="OSRRefD14_6x" localSheetId="47">'Div 3'!$D$82:$G$82</definedName>
    <definedName name="OSRRefD14_6x" localSheetId="61">'Div 6'!$D$37:$G$37</definedName>
    <definedName name="OSRRefD14_6x" localSheetId="2">Summary!$D$101:$G$101</definedName>
    <definedName name="OSRRefD14_7x" localSheetId="48">'300'!$D$81:$G$81</definedName>
    <definedName name="OSRRefD14_7x" localSheetId="49">'300 &amp; 317'!$D$95:$G$95</definedName>
    <definedName name="OSRRefD14_7x" localSheetId="52">'307'!$D$31:$G$31</definedName>
    <definedName name="OSRRefD14_7x" localSheetId="53">'308'!$D$41:$G$41</definedName>
    <definedName name="OSRRefD14_7x" localSheetId="54">'311'!$D$40:$G$40</definedName>
    <definedName name="OSRRefD14_7x" localSheetId="57">'315'!$D$56:$G$56</definedName>
    <definedName name="OSRRefD14_7x" localSheetId="62">'317'!$D$38:$G$38</definedName>
    <definedName name="OSRRefD14_7x" localSheetId="51">'330'!$D$31:$G$31</definedName>
    <definedName name="OSRRefD14_7x" localSheetId="56">'331'!$D$56:$G$56</definedName>
    <definedName name="OSRRefD14_7x" localSheetId="47">'Div 3'!$D$83:$G$83</definedName>
    <definedName name="OSRRefD14_7x" localSheetId="61">'Div 6'!$D$38:$G$38</definedName>
    <definedName name="OSRRefD14_7x" localSheetId="2">Summary!$D$102:$G$102</definedName>
    <definedName name="OSRRefD14_8x" localSheetId="48">'300'!$D$82:$G$82</definedName>
    <definedName name="OSRRefD14_8x" localSheetId="49">'300 &amp; 317'!$D$96:$G$96</definedName>
    <definedName name="OSRRefD14_8x" localSheetId="53">'308'!$D$42:$G$42</definedName>
    <definedName name="OSRRefD14_8x" localSheetId="54">'311'!$D$41:$G$41</definedName>
    <definedName name="OSRRefD14_8x" localSheetId="57">'315'!$D$57:$G$57</definedName>
    <definedName name="OSRRefD14_8x" localSheetId="62">'317'!$D$39:$G$39</definedName>
    <definedName name="OSRRefD14_8x" localSheetId="56">'331'!$D$57:$G$57</definedName>
    <definedName name="OSRRefD14_8x" localSheetId="47">'Div 3'!$D$84:$G$84</definedName>
    <definedName name="OSRRefD14_8x" localSheetId="61">'Div 6'!$D$39:$G$39</definedName>
    <definedName name="OSRRefD14_8x" localSheetId="2">Summary!$D$103:$G$103</definedName>
    <definedName name="OSRRefD14_9x" localSheetId="48">'300'!$D$83:$G$83</definedName>
    <definedName name="OSRRefD14_9x" localSheetId="49">'300 &amp; 317'!$D$97:$G$97</definedName>
    <definedName name="OSRRefD14_9x" localSheetId="53">'308'!$D$43:$G$43</definedName>
    <definedName name="OSRRefD14_9x" localSheetId="54">'311'!$D$42:$G$42</definedName>
    <definedName name="OSRRefD14_9x" localSheetId="57">'315'!$D$58:$G$58</definedName>
    <definedName name="OSRRefD14_9x" localSheetId="62">'317'!$D$40:$G$40</definedName>
    <definedName name="OSRRefD14_9x" localSheetId="56">'331'!$D$58:$G$58</definedName>
    <definedName name="OSRRefD14_9x" localSheetId="47">'Div 3'!$D$85:$G$85</definedName>
    <definedName name="OSRRefD14_9x" localSheetId="61">'Div 6'!$D$40:$G$40</definedName>
    <definedName name="OSRRefD14_9x" localSheetId="2">Summary!$D$104:$G$104</definedName>
    <definedName name="OSRRefD14x_0" localSheetId="48">'300'!$D$74:$D$104</definedName>
    <definedName name="OSRRefD14x_0" localSheetId="49">'300 &amp; 317'!$D$88:$D$126</definedName>
    <definedName name="OSRRefD14x_0" localSheetId="52">'307'!$D$24:$D$31</definedName>
    <definedName name="OSRRefD14x_0" localSheetId="53">'308'!$D$34:$D$46</definedName>
    <definedName name="OSRRefD14x_0" localSheetId="64">'309'!$D$14</definedName>
    <definedName name="OSRRefD14x_0" localSheetId="63">'310'!$D$17:$D$19</definedName>
    <definedName name="OSRRefD14x_0" localSheetId="71">'310 &amp; 491'!$D$22:$D$24</definedName>
    <definedName name="OSRRefD14x_0" localSheetId="54">'311'!$D$33:$D$45</definedName>
    <definedName name="OSRRefD14x_0" localSheetId="65">'313'!$D$13</definedName>
    <definedName name="OSRRefD14x_0" localSheetId="57">'315'!$D$49:$D$69</definedName>
    <definedName name="OSRRefD14x_0" localSheetId="62">'317'!$D$31:$D$41</definedName>
    <definedName name="OSRRefD14x_0" localSheetId="66">'321'!$D$15</definedName>
    <definedName name="OSRRefD14x_0" localSheetId="67">'322'!$D$14:$D$15</definedName>
    <definedName name="OSRRefD14x_0" localSheetId="55">'324'!$D$17:$D$19</definedName>
    <definedName name="OSRRefD14x_0" localSheetId="68">'325'!$D$13:$D$14</definedName>
    <definedName name="OSRRefD14x_0" localSheetId="58">'326'!$D$32:$D$36</definedName>
    <definedName name="OSRRefD14x_0" localSheetId="69">'327'!$D$15:$D$16</definedName>
    <definedName name="OSRRefD14x_0" localSheetId="51">'330'!$D$24:$D$31</definedName>
    <definedName name="OSRRefD14x_0" localSheetId="56">'331'!$D$49:$D$69</definedName>
    <definedName name="OSRRefD14x_0" localSheetId="73">'405'!$D$15</definedName>
    <definedName name="OSRRefD14x_0" localSheetId="76">'412'!$D$14</definedName>
    <definedName name="OSRRefD14x_0" localSheetId="77">'413'!$D$15</definedName>
    <definedName name="OSRRefD14x_0" localSheetId="78">'414'!$D$16</definedName>
    <definedName name="OSRRefD14x_0" localSheetId="79">'415'!$D$17:$D$19</definedName>
    <definedName name="OSRRefD14x_0" localSheetId="80">'418'!$D$15</definedName>
    <definedName name="OSRRefD14x_0" localSheetId="88">'433'!$D$17:$D$19</definedName>
    <definedName name="OSRRefD14x_0" localSheetId="90">'444'!$D$17:$D$19</definedName>
    <definedName name="OSRRefD14x_0" localSheetId="91">'450'!$D$15</definedName>
    <definedName name="OSRRefD14x_0" localSheetId="72">'491'!$D$19:$D$21</definedName>
    <definedName name="OSRRefD14x_0" localSheetId="86">'492'!$D$17:$D$19</definedName>
    <definedName name="OSRRefD14x_0" localSheetId="47">'Div 3'!$D$76:$D$108</definedName>
    <definedName name="OSRRefD14x_0" localSheetId="70">'Div 4'!$D$21:$D$23</definedName>
    <definedName name="OSRRefD14x_0" localSheetId="61">'Div 6'!$D$31:$D$41</definedName>
    <definedName name="OSRRefD14x_0" localSheetId="2">Summary!$D$95:$D$135</definedName>
    <definedName name="OSRRefD14x_1" localSheetId="48">'300'!$E$74:$E$104</definedName>
    <definedName name="OSRRefD14x_1" localSheetId="49">'300 &amp; 317'!$E$88:$E$126</definedName>
    <definedName name="OSRRefD14x_1" localSheetId="52">'307'!$E$24:$E$31</definedName>
    <definedName name="OSRRefD14x_1" localSheetId="53">'308'!$E$34:$E$46</definedName>
    <definedName name="OSRRefD14x_1" localSheetId="64">'309'!$E$14</definedName>
    <definedName name="OSRRefD14x_1" localSheetId="63">'310'!$E$17:$E$19</definedName>
    <definedName name="OSRRefD14x_1" localSheetId="71">'310 &amp; 491'!$E$22:$E$24</definedName>
    <definedName name="OSRRefD14x_1" localSheetId="54">'311'!$E$33:$E$45</definedName>
    <definedName name="OSRRefD14x_1" localSheetId="65">'313'!$E$13</definedName>
    <definedName name="OSRRefD14x_1" localSheetId="57">'315'!$E$49:$E$69</definedName>
    <definedName name="OSRRefD14x_1" localSheetId="62">'317'!$E$31:$E$41</definedName>
    <definedName name="OSRRefD14x_1" localSheetId="66">'321'!$E$15</definedName>
    <definedName name="OSRRefD14x_1" localSheetId="67">'322'!$E$14:$E$15</definedName>
    <definedName name="OSRRefD14x_1" localSheetId="55">'324'!$E$17:$E$19</definedName>
    <definedName name="OSRRefD14x_1" localSheetId="68">'325'!$E$13:$E$14</definedName>
    <definedName name="OSRRefD14x_1" localSheetId="58">'326'!$E$32:$E$36</definedName>
    <definedName name="OSRRefD14x_1" localSheetId="69">'327'!$E$15:$E$16</definedName>
    <definedName name="OSRRefD14x_1" localSheetId="51">'330'!$E$24:$E$31</definedName>
    <definedName name="OSRRefD14x_1" localSheetId="56">'331'!$E$49:$E$69</definedName>
    <definedName name="OSRRefD14x_1" localSheetId="73">'405'!$E$15</definedName>
    <definedName name="OSRRefD14x_1" localSheetId="76">'412'!$E$14</definedName>
    <definedName name="OSRRefD14x_1" localSheetId="77">'413'!$E$15</definedName>
    <definedName name="OSRRefD14x_1" localSheetId="78">'414'!$E$16</definedName>
    <definedName name="OSRRefD14x_1" localSheetId="79">'415'!$E$17:$E$19</definedName>
    <definedName name="OSRRefD14x_1" localSheetId="80">'418'!$E$15</definedName>
    <definedName name="OSRRefD14x_1" localSheetId="88">'433'!$E$17:$E$19</definedName>
    <definedName name="OSRRefD14x_1" localSheetId="90">'444'!$E$17:$E$19</definedName>
    <definedName name="OSRRefD14x_1" localSheetId="91">'450'!$E$15</definedName>
    <definedName name="OSRRefD14x_1" localSheetId="72">'491'!$E$19:$E$21</definedName>
    <definedName name="OSRRefD14x_1" localSheetId="86">'492'!$E$17:$E$19</definedName>
    <definedName name="OSRRefD14x_1" localSheetId="47">'Div 3'!$E$76:$E$108</definedName>
    <definedName name="OSRRefD14x_1" localSheetId="70">'Div 4'!$E$21:$E$23</definedName>
    <definedName name="OSRRefD14x_1" localSheetId="61">'Div 6'!$E$31:$E$41</definedName>
    <definedName name="OSRRefD14x_1" localSheetId="2">Summary!$E$95:$E$135</definedName>
    <definedName name="OSRRefD14x_2" localSheetId="48">'300'!$F$74:$F$104</definedName>
    <definedName name="OSRRefD14x_2" localSheetId="49">'300 &amp; 317'!$F$88:$F$126</definedName>
    <definedName name="OSRRefD14x_2" localSheetId="52">'307'!$F$24:$F$31</definedName>
    <definedName name="OSRRefD14x_2" localSheetId="53">'308'!$F$34:$F$46</definedName>
    <definedName name="OSRRefD14x_2" localSheetId="64">'309'!$F$14</definedName>
    <definedName name="OSRRefD14x_2" localSheetId="63">'310'!$F$17:$F$19</definedName>
    <definedName name="OSRRefD14x_2" localSheetId="71">'310 &amp; 491'!$F$22:$F$24</definedName>
    <definedName name="OSRRefD14x_2" localSheetId="54">'311'!$F$33:$F$45</definedName>
    <definedName name="OSRRefD14x_2" localSheetId="65">'313'!$F$13</definedName>
    <definedName name="OSRRefD14x_2" localSheetId="57">'315'!$F$49:$F$69</definedName>
    <definedName name="OSRRefD14x_2" localSheetId="62">'317'!$F$31:$F$41</definedName>
    <definedName name="OSRRefD14x_2" localSheetId="66">'321'!$F$15</definedName>
    <definedName name="OSRRefD14x_2" localSheetId="67">'322'!$F$14:$F$15</definedName>
    <definedName name="OSRRefD14x_2" localSheetId="55">'324'!$F$17:$F$19</definedName>
    <definedName name="OSRRefD14x_2" localSheetId="68">'325'!$F$13:$F$14</definedName>
    <definedName name="OSRRefD14x_2" localSheetId="58">'326'!$F$32:$F$36</definedName>
    <definedName name="OSRRefD14x_2" localSheetId="69">'327'!$F$15:$F$16</definedName>
    <definedName name="OSRRefD14x_2" localSheetId="51">'330'!$F$24:$F$31</definedName>
    <definedName name="OSRRefD14x_2" localSheetId="56">'331'!$F$49:$F$69</definedName>
    <definedName name="OSRRefD14x_2" localSheetId="73">'405'!$F$15</definedName>
    <definedName name="OSRRefD14x_2" localSheetId="76">'412'!$F$14</definedName>
    <definedName name="OSRRefD14x_2" localSheetId="77">'413'!$F$15</definedName>
    <definedName name="OSRRefD14x_2" localSheetId="78">'414'!$F$16</definedName>
    <definedName name="OSRRefD14x_2" localSheetId="79">'415'!$F$17:$F$19</definedName>
    <definedName name="OSRRefD14x_2" localSheetId="80">'418'!$F$15</definedName>
    <definedName name="OSRRefD14x_2" localSheetId="88">'433'!$F$17:$F$19</definedName>
    <definedName name="OSRRefD14x_2" localSheetId="90">'444'!$F$17:$F$19</definedName>
    <definedName name="OSRRefD14x_2" localSheetId="91">'450'!$F$15</definedName>
    <definedName name="OSRRefD14x_2" localSheetId="72">'491'!$F$19:$F$21</definedName>
    <definedName name="OSRRefD14x_2" localSheetId="86">'492'!$F$17:$F$19</definedName>
    <definedName name="OSRRefD14x_2" localSheetId="47">'Div 3'!$F$76:$F$108</definedName>
    <definedName name="OSRRefD14x_2" localSheetId="70">'Div 4'!$F$21:$F$23</definedName>
    <definedName name="OSRRefD14x_2" localSheetId="61">'Div 6'!$F$31:$F$41</definedName>
    <definedName name="OSRRefD14x_2" localSheetId="2">Summary!$F$95:$F$135</definedName>
    <definedName name="OSRRefD14x_3" localSheetId="48">'300'!$G$74:$G$104</definedName>
    <definedName name="OSRRefD14x_3" localSheetId="49">'300 &amp; 317'!$G$88:$G$126</definedName>
    <definedName name="OSRRefD14x_3" localSheetId="52">'307'!$G$24:$G$31</definedName>
    <definedName name="OSRRefD14x_3" localSheetId="53">'308'!$G$34:$G$46</definedName>
    <definedName name="OSRRefD14x_3" localSheetId="64">'309'!$G$14</definedName>
    <definedName name="OSRRefD14x_3" localSheetId="63">'310'!$G$17:$G$19</definedName>
    <definedName name="OSRRefD14x_3" localSheetId="71">'310 &amp; 491'!$G$22:$G$24</definedName>
    <definedName name="OSRRefD14x_3" localSheetId="54">'311'!$G$33:$G$45</definedName>
    <definedName name="OSRRefD14x_3" localSheetId="65">'313'!$G$13</definedName>
    <definedName name="OSRRefD14x_3" localSheetId="57">'315'!$G$49:$G$69</definedName>
    <definedName name="OSRRefD14x_3" localSheetId="62">'317'!$G$31:$G$41</definedName>
    <definedName name="OSRRefD14x_3" localSheetId="66">'321'!$G$15</definedName>
    <definedName name="OSRRefD14x_3" localSheetId="67">'322'!$G$14:$G$15</definedName>
    <definedName name="OSRRefD14x_3" localSheetId="55">'324'!$G$17:$G$19</definedName>
    <definedName name="OSRRefD14x_3" localSheetId="68">'325'!$G$13:$G$14</definedName>
    <definedName name="OSRRefD14x_3" localSheetId="58">'326'!$G$32:$G$36</definedName>
    <definedName name="OSRRefD14x_3" localSheetId="69">'327'!$G$15:$G$16</definedName>
    <definedName name="OSRRefD14x_3" localSheetId="51">'330'!$G$24:$G$31</definedName>
    <definedName name="OSRRefD14x_3" localSheetId="56">'331'!$G$49:$G$69</definedName>
    <definedName name="OSRRefD14x_3" localSheetId="73">'405'!$G$15</definedName>
    <definedName name="OSRRefD14x_3" localSheetId="76">'412'!$G$14</definedName>
    <definedName name="OSRRefD14x_3" localSheetId="77">'413'!$G$15</definedName>
    <definedName name="OSRRefD14x_3" localSheetId="78">'414'!$G$16</definedName>
    <definedName name="OSRRefD14x_3" localSheetId="79">'415'!$G$17:$G$19</definedName>
    <definedName name="OSRRefD14x_3" localSheetId="80">'418'!$G$15</definedName>
    <definedName name="OSRRefD14x_3" localSheetId="88">'433'!$G$17:$G$19</definedName>
    <definedName name="OSRRefD14x_3" localSheetId="90">'444'!$G$17:$G$19</definedName>
    <definedName name="OSRRefD14x_3" localSheetId="91">'450'!$G$15</definedName>
    <definedName name="OSRRefD14x_3" localSheetId="72">'491'!$G$19:$G$21</definedName>
    <definedName name="OSRRefD14x_3" localSheetId="86">'492'!$G$17:$G$19</definedName>
    <definedName name="OSRRefD14x_3" localSheetId="47">'Div 3'!$G$76:$G$108</definedName>
    <definedName name="OSRRefD14x_3" localSheetId="70">'Div 4'!$G$21:$G$23</definedName>
    <definedName name="OSRRefD14x_3" localSheetId="61">'Div 6'!$G$31:$G$41</definedName>
    <definedName name="OSRRefD14x_3" localSheetId="2">Summary!$G$95:$G$135</definedName>
    <definedName name="OSRRefD20_0x" localSheetId="40">'200'!$D$18:$G$18</definedName>
    <definedName name="OSRRefD20_0x" localSheetId="41">'201'!$D$18:$G$18</definedName>
    <definedName name="OSRRefD20_0x" localSheetId="42">'202'!$D$18:$G$18</definedName>
    <definedName name="OSRRefD20_0x" localSheetId="43">'203'!$D$18:$G$18</definedName>
    <definedName name="OSRRefD20_0x" localSheetId="44">'204'!$D$18:$G$18</definedName>
    <definedName name="OSRRefD20_0x" localSheetId="45">'205'!$D$18:$G$18</definedName>
    <definedName name="OSRRefD20_0x" localSheetId="46">'206'!$D$18:$G$18</definedName>
    <definedName name="OSRRefD20_0x" localSheetId="48">'300'!$D$110:$G$110</definedName>
    <definedName name="OSRRefD20_0x" localSheetId="49">'300 &amp; 317'!$D$132:$G$132</definedName>
    <definedName name="OSRRefD20_0x" localSheetId="50">'301'!$D$18:$G$18</definedName>
    <definedName name="OSRRefD20_0x" localSheetId="52">'307'!$D$37:$G$37</definedName>
    <definedName name="OSRRefD20_0x" localSheetId="53">'308'!$D$52:$G$52</definedName>
    <definedName name="OSRRefD20_0x" localSheetId="64">'309'!$D$20:$G$20</definedName>
    <definedName name="OSRRefD20_0x" localSheetId="63">'310'!$D$25:$G$25</definedName>
    <definedName name="OSRRefD20_0x" localSheetId="71">'310 &amp; 491'!$D$30:$G$30</definedName>
    <definedName name="OSRRefD20_0x" localSheetId="54">'311'!$D$51:$G$51</definedName>
    <definedName name="OSRRefD20_0x" localSheetId="65">'313'!$D$19:$G$19</definedName>
    <definedName name="OSRRefD20_0x" localSheetId="57">'315'!$D$75:$G$75</definedName>
    <definedName name="OSRRefD20_0x" localSheetId="60">'316'!$D$28:$G$28</definedName>
    <definedName name="OSRRefD20_0x" localSheetId="62">'317'!$D$47:$G$47</definedName>
    <definedName name="OSRRefD20_0x" localSheetId="66">'321'!$D$21:$G$21</definedName>
    <definedName name="OSRRefD20_0x" localSheetId="67">'322'!$D$21:$G$21</definedName>
    <definedName name="OSRRefD20_0x" localSheetId="55">'324'!$D$25:$G$25</definedName>
    <definedName name="OSRRefD20_0x" localSheetId="68">'325'!$D$20:$G$20</definedName>
    <definedName name="OSRRefD20_0x" localSheetId="58">'326'!$D$42:$G$42</definedName>
    <definedName name="OSRRefD20_0x" localSheetId="69">'327'!$D$22:$G$22</definedName>
    <definedName name="OSRRefD20_0x" localSheetId="51">'330'!$D$37:$G$37</definedName>
    <definedName name="OSRRefD20_0x" localSheetId="56">'331'!$D$75:$G$75</definedName>
    <definedName name="OSRRefD20_0x" localSheetId="59">'332'!$D$28:$G$28</definedName>
    <definedName name="OSRRefD20_0x" localSheetId="73">'405'!$D$21:$G$21</definedName>
    <definedName name="OSRRefD20_0x" localSheetId="74">'406'!$D$18:$G$18</definedName>
    <definedName name="OSRRefD20_0x" localSheetId="75">'411'!$D$18:$G$18</definedName>
    <definedName name="OSRRefD20_0x" localSheetId="76">'412'!$D$20:$G$20</definedName>
    <definedName name="OSRRefD20_0x" localSheetId="77">'413'!$D$21:$G$21</definedName>
    <definedName name="OSRRefD20_0x" localSheetId="78">'414'!$D$22:$G$22</definedName>
    <definedName name="OSRRefD20_0x" localSheetId="79">'415'!$D$25:$G$25</definedName>
    <definedName name="OSRRefD20_0x" localSheetId="80">'418'!$D$21:$G$21</definedName>
    <definedName name="OSRRefD20_0x" localSheetId="82">'423'!$D$18:$G$18</definedName>
    <definedName name="OSRRefD20_0x" localSheetId="83">'424'!$D$18:$G$18</definedName>
    <definedName name="OSRRefD20_0x" localSheetId="84">'425'!$D$18:$G$18</definedName>
    <definedName name="OSRRefD20_0x" localSheetId="87">'430'!$D$18:$G$18</definedName>
    <definedName name="OSRRefD20_0x" localSheetId="88">'433'!$D$25:$G$25</definedName>
    <definedName name="OSRRefD20_0x" localSheetId="89">'435'!$D$18:$G$18</definedName>
    <definedName name="OSRRefD20_0x" localSheetId="90">'444'!$D$25:$G$25</definedName>
    <definedName name="OSRRefD20_0x" localSheetId="91">'450'!$D$21:$G$21</definedName>
    <definedName name="OSRRefD20_0x" localSheetId="72">'491'!$D$27:$G$27</definedName>
    <definedName name="OSRRefD20_0x" localSheetId="86">'492'!$D$25:$G$25</definedName>
    <definedName name="OSRRefD20_0x" localSheetId="93">'501'!$D$20:$G$20</definedName>
    <definedName name="OSRRefD20_0x" localSheetId="39">'Div 2'!$D$18:$G$18</definedName>
    <definedName name="OSRRefD20_0x" localSheetId="47">'Div 3'!$D$114:$G$114</definedName>
    <definedName name="OSRRefD20_0x" localSheetId="70">'Div 4'!$D$29:$G$29</definedName>
    <definedName name="OSRRefD20_0x" localSheetId="92">'Div 5'!$D$20:$G$20</definedName>
    <definedName name="OSRRefD20_0x" localSheetId="61">'Div 6'!$D$47:$G$47</definedName>
    <definedName name="OSRRefD20_0x" localSheetId="2">Summary!$D$141:$G$141</definedName>
    <definedName name="OSRRefD20_10x" localSheetId="41">'201'!$D$56:$G$56</definedName>
    <definedName name="OSRRefD20_10x" localSheetId="42">'202'!$D$58:$G$58</definedName>
    <definedName name="OSRRefD20_10x" localSheetId="43">'203'!$D$58:$G$58</definedName>
    <definedName name="OSRRefD20_10x" localSheetId="48">'300'!$D$151:$G$151</definedName>
    <definedName name="OSRRefD20_10x" localSheetId="49">'300 &amp; 317'!$D$173:$G$173</definedName>
    <definedName name="OSRRefD20_10x" localSheetId="50">'301'!$D$57:$G$57</definedName>
    <definedName name="OSRRefD20_10x" localSheetId="52">'307'!$D$77:$G$77</definedName>
    <definedName name="OSRRefD20_10x" localSheetId="53">'308'!$D$93:$G$93</definedName>
    <definedName name="OSRRefD20_10x" localSheetId="63">'310'!$D$63:$G$63</definedName>
    <definedName name="OSRRefD20_10x" localSheetId="71">'310 &amp; 491'!$D$70:$G$70</definedName>
    <definedName name="OSRRefD20_10x" localSheetId="54">'311'!$D$92:$G$92</definedName>
    <definedName name="OSRRefD20_10x" localSheetId="57">'315'!$D$113:$G$113</definedName>
    <definedName name="OSRRefD20_10x" localSheetId="60">'316'!$D$71:$G$71</definedName>
    <definedName name="OSRRefD20_10x" localSheetId="62">'317'!$D$86:$G$86</definedName>
    <definedName name="OSRRefD20_10x" localSheetId="66">'321'!$D$61:$G$61</definedName>
    <definedName name="OSRRefD20_10x" localSheetId="67">'322'!$D$62:$G$62</definedName>
    <definedName name="OSRRefD20_10x" localSheetId="68">'325'!$D$57:$G$57</definedName>
    <definedName name="OSRRefD20_10x" localSheetId="58">'326'!$D$79:$G$79</definedName>
    <definedName name="OSRRefD20_10x" localSheetId="51">'330'!$D$77:$G$77</definedName>
    <definedName name="OSRRefD20_10x" localSheetId="56">'331'!$D$113:$G$113</definedName>
    <definedName name="OSRRefD20_10x" localSheetId="59">'332'!$D$71:$G$71</definedName>
    <definedName name="OSRRefD20_10x" localSheetId="73">'405'!$D$59:$G$59</definedName>
    <definedName name="OSRRefD20_10x" localSheetId="75">'411'!$D$57:$G$57</definedName>
    <definedName name="OSRRefD20_10x" localSheetId="76">'412'!$D$58:$G$58</definedName>
    <definedName name="OSRRefD20_10x" localSheetId="77">'413'!$D$61:$G$61</definedName>
    <definedName name="OSRRefD20_10x" localSheetId="78">'414'!$D$60:$G$60</definedName>
    <definedName name="OSRRefD20_10x" localSheetId="79">'415'!$D$63:$G$63</definedName>
    <definedName name="OSRRefD20_10x" localSheetId="80">'418'!$D$60:$G$60</definedName>
    <definedName name="OSRRefD20_10x" localSheetId="88">'433'!$D$63:$G$63</definedName>
    <definedName name="OSRRefD20_10x" localSheetId="90">'444'!$D$63:$G$63</definedName>
    <definedName name="OSRRefD20_10x" localSheetId="91">'450'!$D$59:$G$59</definedName>
    <definedName name="OSRRefD20_10x" localSheetId="72">'491'!$D$66:$G$66</definedName>
    <definedName name="OSRRefD20_10x" localSheetId="86">'492'!$D$63:$G$63</definedName>
    <definedName name="OSRRefD20_10x" localSheetId="93">'501'!$D$61:$G$61</definedName>
    <definedName name="OSRRefD20_10x" localSheetId="39">'Div 2'!$D$59:$G$59</definedName>
    <definedName name="OSRRefD20_10x" localSheetId="47">'Div 3'!$D$155:$G$155</definedName>
    <definedName name="OSRRefD20_10x" localSheetId="70">'Div 4'!$D$69:$G$69</definedName>
    <definedName name="OSRRefD20_10x" localSheetId="92">'Div 5'!$D$61:$G$61</definedName>
    <definedName name="OSRRefD20_10x" localSheetId="61">'Div 6'!$D$86:$G$86</definedName>
    <definedName name="OSRRefD20_10x" localSheetId="2">Summary!$D$183:$G$183</definedName>
    <definedName name="OSRRefD20_11x" localSheetId="41">'201'!$D$60:$G$60</definedName>
    <definedName name="OSRRefD20_11x" localSheetId="42">'202'!$D$60:$G$60</definedName>
    <definedName name="OSRRefD20_11x" localSheetId="43">'203'!$D$60:$G$60</definedName>
    <definedName name="OSRRefD20_11x" localSheetId="48">'300'!$D$154:$G$154</definedName>
    <definedName name="OSRRefD20_11x" localSheetId="49">'300 &amp; 317'!$D$176:$G$176</definedName>
    <definedName name="OSRRefD20_11x" localSheetId="50">'301'!$D$59:$G$59</definedName>
    <definedName name="OSRRefD20_11x" localSheetId="52">'307'!$D$82:$G$82</definedName>
    <definedName name="OSRRefD20_11x" localSheetId="53">'308'!$D$96:$G$96</definedName>
    <definedName name="OSRRefD20_11x" localSheetId="63">'310'!$D$65:$G$65</definedName>
    <definedName name="OSRRefD20_11x" localSheetId="71">'310 &amp; 491'!$D$72:$G$72</definedName>
    <definedName name="OSRRefD20_11x" localSheetId="54">'311'!$D$95:$G$95</definedName>
    <definedName name="OSRRefD20_11x" localSheetId="57">'315'!$D$115:$G$115</definedName>
    <definedName name="OSRRefD20_11x" localSheetId="60">'316'!$D$73:$G$73</definedName>
    <definedName name="OSRRefD20_11x" localSheetId="62">'317'!$D$90:$G$90</definedName>
    <definedName name="OSRRefD20_11x" localSheetId="66">'321'!$D$64:$G$64</definedName>
    <definedName name="OSRRefD20_11x" localSheetId="68">'325'!$D$59:$G$59</definedName>
    <definedName name="OSRRefD20_11x" localSheetId="58">'326'!$D$81:$G$81</definedName>
    <definedName name="OSRRefD20_11x" localSheetId="51">'330'!$D$82:$G$82</definedName>
    <definedName name="OSRRefD20_11x" localSheetId="56">'331'!$D$115:$G$115</definedName>
    <definedName name="OSRRefD20_11x" localSheetId="59">'332'!$D$73:$G$73</definedName>
    <definedName name="OSRRefD20_11x" localSheetId="73">'405'!$D$61:$G$61</definedName>
    <definedName name="OSRRefD20_11x" localSheetId="75">'411'!$D$62:$G$62</definedName>
    <definedName name="OSRRefD20_11x" localSheetId="76">'412'!$D$63:$G$63</definedName>
    <definedName name="OSRRefD20_11x" localSheetId="77">'413'!$D$69:$G$69</definedName>
    <definedName name="OSRRefD20_11x" localSheetId="78">'414'!$D$62:$G$62</definedName>
    <definedName name="OSRRefD20_11x" localSheetId="79">'415'!$D$65:$G$65</definedName>
    <definedName name="OSRRefD20_11x" localSheetId="80">'418'!$D$63:$G$63</definedName>
    <definedName name="OSRRefD20_11x" localSheetId="88">'433'!$D$65:$G$65</definedName>
    <definedName name="OSRRefD20_11x" localSheetId="90">'444'!$D$65:$G$65</definedName>
    <definedName name="OSRRefD20_11x" localSheetId="91">'450'!$D$61:$G$61</definedName>
    <definedName name="OSRRefD20_11x" localSheetId="72">'491'!$D$68:$G$68</definedName>
    <definedName name="OSRRefD20_11x" localSheetId="86">'492'!$D$65:$G$65</definedName>
    <definedName name="OSRRefD20_11x" localSheetId="93">'501'!$D$63:$G$63</definedName>
    <definedName name="OSRRefD20_11x" localSheetId="39">'Div 2'!$D$61:$G$61</definedName>
    <definedName name="OSRRefD20_11x" localSheetId="47">'Div 3'!$D$158:$G$158</definedName>
    <definedName name="OSRRefD20_11x" localSheetId="70">'Div 4'!$D$71:$G$71</definedName>
    <definedName name="OSRRefD20_11x" localSheetId="92">'Div 5'!$D$63:$G$63</definedName>
    <definedName name="OSRRefD20_11x" localSheetId="61">'Div 6'!$D$90:$G$90</definedName>
    <definedName name="OSRRefD20_11x" localSheetId="2">Summary!$D$186:$G$186</definedName>
    <definedName name="OSRRefD20_12x" localSheetId="41">'201'!$D$62:$G$62</definedName>
    <definedName name="OSRRefD20_12x" localSheetId="42">'202'!$D$62:$G$62</definedName>
    <definedName name="OSRRefD20_12x" localSheetId="43">'203'!$D$64:$G$64</definedName>
    <definedName name="OSRRefD20_12x" localSheetId="48">'300'!$D$157:$G$157</definedName>
    <definedName name="OSRRefD20_12x" localSheetId="49">'300 &amp; 317'!$D$179:$G$179</definedName>
    <definedName name="OSRRefD20_12x" localSheetId="50">'301'!$D$61:$G$61</definedName>
    <definedName name="OSRRefD20_12x" localSheetId="52">'307'!$D$85:$G$85</definedName>
    <definedName name="OSRRefD20_12x" localSheetId="53">'308'!$D$100:$G$100</definedName>
    <definedName name="OSRRefD20_12x" localSheetId="63">'310'!$D$67:$G$67</definedName>
    <definedName name="OSRRefD20_12x" localSheetId="71">'310 &amp; 491'!$D$74:$G$74</definedName>
    <definedName name="OSRRefD20_12x" localSheetId="54">'311'!$D$99:$G$99</definedName>
    <definedName name="OSRRefD20_12x" localSheetId="57">'315'!$D$117:$G$117</definedName>
    <definedName name="OSRRefD20_12x" localSheetId="62">'317'!$D$92:$G$92</definedName>
    <definedName name="OSRRefD20_12x" localSheetId="66">'321'!$D$66:$G$66</definedName>
    <definedName name="OSRRefD20_12x" localSheetId="68">'325'!$D$61:$G$61</definedName>
    <definedName name="OSRRefD20_12x" localSheetId="58">'326'!$D$83:$G$83</definedName>
    <definedName name="OSRRefD20_12x" localSheetId="51">'330'!$D$85:$G$85</definedName>
    <definedName name="OSRRefD20_12x" localSheetId="56">'331'!$D$117:$G$117</definedName>
    <definedName name="OSRRefD20_12x" localSheetId="73">'405'!$D$66:$G$66</definedName>
    <definedName name="OSRRefD20_12x" localSheetId="75">'411'!$D$64:$G$64</definedName>
    <definedName name="OSRRefD20_12x" localSheetId="76">'412'!$D$69:$G$69</definedName>
    <definedName name="OSRRefD20_12x" localSheetId="78">'414'!$D$64:$G$64</definedName>
    <definedName name="OSRRefD20_12x" localSheetId="79">'415'!$D$68:$G$68</definedName>
    <definedName name="OSRRefD20_12x" localSheetId="80">'418'!$D$73:$G$73</definedName>
    <definedName name="OSRRefD20_12x" localSheetId="88">'433'!$D$69:$G$69</definedName>
    <definedName name="OSRRefD20_12x" localSheetId="90">'444'!$D$69:$G$69</definedName>
    <definedName name="OSRRefD20_12x" localSheetId="91">'450'!$D$63:$G$63</definedName>
    <definedName name="OSRRefD20_12x" localSheetId="72">'491'!$D$70:$G$70</definedName>
    <definedName name="OSRRefD20_12x" localSheetId="86">'492'!$D$67:$G$67</definedName>
    <definedName name="OSRRefD20_12x" localSheetId="93">'501'!$D$66:$G$66</definedName>
    <definedName name="OSRRefD20_12x" localSheetId="39">'Div 2'!$D$63:$G$63</definedName>
    <definedName name="OSRRefD20_12x" localSheetId="47">'Div 3'!$D$161:$G$161</definedName>
    <definedName name="OSRRefD20_12x" localSheetId="70">'Div 4'!$D$73:$G$73</definedName>
    <definedName name="OSRRefD20_12x" localSheetId="92">'Div 5'!$D$66:$G$66</definedName>
    <definedName name="OSRRefD20_12x" localSheetId="61">'Div 6'!$D$92:$G$92</definedName>
    <definedName name="OSRRefD20_12x" localSheetId="2">Summary!$D$189:$G$189</definedName>
    <definedName name="OSRRefD20_13x" localSheetId="41">'201'!$D$64:$G$64</definedName>
    <definedName name="OSRRefD20_13x" localSheetId="43">'203'!$D$66:$G$66</definedName>
    <definedName name="OSRRefD20_13x" localSheetId="48">'300'!$D$159:$G$159</definedName>
    <definedName name="OSRRefD20_13x" localSheetId="49">'300 &amp; 317'!$D$181:$G$181</definedName>
    <definedName name="OSRRefD20_13x" localSheetId="50">'301'!$D$63:$G$63</definedName>
    <definedName name="OSRRefD20_13x" localSheetId="53">'308'!$D$103:$G$103</definedName>
    <definedName name="OSRRefD20_13x" localSheetId="63">'310'!$D$69:$G$69</definedName>
    <definedName name="OSRRefD20_13x" localSheetId="71">'310 &amp; 491'!$D$76:$G$76</definedName>
    <definedName name="OSRRefD20_13x" localSheetId="54">'311'!$D$102:$G$102</definedName>
    <definedName name="OSRRefD20_13x" localSheetId="57">'315'!$D$121:$G$121</definedName>
    <definedName name="OSRRefD20_13x" localSheetId="68">'325'!$D$67:$G$67</definedName>
    <definedName name="OSRRefD20_13x" localSheetId="58">'326'!$D$86:$G$86</definedName>
    <definedName name="OSRRefD20_13x" localSheetId="56">'331'!$D$119:$G$119</definedName>
    <definedName name="OSRRefD20_13x" localSheetId="73">'405'!$D$68:$G$68</definedName>
    <definedName name="OSRRefD20_13x" localSheetId="75">'411'!$D$71:$G$71</definedName>
    <definedName name="OSRRefD20_13x" localSheetId="76">'412'!$D$72:$G$72</definedName>
    <definedName name="OSRRefD20_13x" localSheetId="78">'414'!$D$68:$G$68</definedName>
    <definedName name="OSRRefD20_13x" localSheetId="79">'415'!$D$73:$G$73</definedName>
    <definedName name="OSRRefD20_13x" localSheetId="80">'418'!$D$76:$G$76</definedName>
    <definedName name="OSRRefD20_13x" localSheetId="88">'433'!$D$74:$G$74</definedName>
    <definedName name="OSRRefD20_13x" localSheetId="90">'444'!$D$73:$G$73</definedName>
    <definedName name="OSRRefD20_13x" localSheetId="91">'450'!$D$65:$G$65</definedName>
    <definedName name="OSRRefD20_13x" localSheetId="72">'491'!$D$72:$G$72</definedName>
    <definedName name="OSRRefD20_13x" localSheetId="86">'492'!$D$71:$G$71</definedName>
    <definedName name="OSRRefD20_13x" localSheetId="93">'501'!$D$68:$G$68</definedName>
    <definedName name="OSRRefD20_13x" localSheetId="39">'Div 2'!$D$68:$G$68</definedName>
    <definedName name="OSRRefD20_13x" localSheetId="47">'Div 3'!$D$163:$G$163</definedName>
    <definedName name="OSRRefD20_13x" localSheetId="70">'Div 4'!$D$75:$G$75</definedName>
    <definedName name="OSRRefD20_13x" localSheetId="92">'Div 5'!$D$68:$G$68</definedName>
    <definedName name="OSRRefD20_13x" localSheetId="2">Summary!$D$191:$G$191</definedName>
    <definedName name="OSRRefD20_14x" localSheetId="41">'201'!$D$68:$G$68</definedName>
    <definedName name="OSRRefD20_14x" localSheetId="48">'300'!$D$161:$G$161</definedName>
    <definedName name="OSRRefD20_14x" localSheetId="49">'300 &amp; 317'!$D$183:$G$183</definedName>
    <definedName name="OSRRefD20_14x" localSheetId="50">'301'!$D$68:$G$68</definedName>
    <definedName name="OSRRefD20_14x" localSheetId="53">'308'!$D$105:$G$105</definedName>
    <definedName name="OSRRefD20_14x" localSheetId="63">'310'!$D$72:$G$72</definedName>
    <definedName name="OSRRefD20_14x" localSheetId="71">'310 &amp; 491'!$D$78:$G$78</definedName>
    <definedName name="OSRRefD20_14x" localSheetId="54">'311'!$D$104:$G$104</definedName>
    <definedName name="OSRRefD20_14x" localSheetId="57">'315'!$D$124:$G$124</definedName>
    <definedName name="OSRRefD20_14x" localSheetId="68">'325'!$D$70:$G$70</definedName>
    <definedName name="OSRRefD20_14x" localSheetId="58">'326'!$D$90:$G$90</definedName>
    <definedName name="OSRRefD20_14x" localSheetId="56">'331'!$D$122:$G$122</definedName>
    <definedName name="OSRRefD20_14x" localSheetId="73">'405'!$D$77:$G$77</definedName>
    <definedName name="OSRRefD20_14x" localSheetId="75">'411'!$D$73:$G$73</definedName>
    <definedName name="OSRRefD20_14x" localSheetId="78">'414'!$D$70:$G$70</definedName>
    <definedName name="OSRRefD20_14x" localSheetId="79">'415'!$D$75:$G$75</definedName>
    <definedName name="OSRRefD20_14x" localSheetId="88">'433'!$D$83:$G$83</definedName>
    <definedName name="OSRRefD20_14x" localSheetId="90">'444'!$D$82:$G$82</definedName>
    <definedName name="OSRRefD20_14x" localSheetId="91">'450'!$D$69:$G$69</definedName>
    <definedName name="OSRRefD20_14x" localSheetId="72">'491'!$D$74:$G$74</definedName>
    <definedName name="OSRRefD20_14x" localSheetId="86">'492'!$D$76:$G$76</definedName>
    <definedName name="OSRRefD20_14x" localSheetId="39">'Div 2'!$D$73:$G$73</definedName>
    <definedName name="OSRRefD20_14x" localSheetId="47">'Div 3'!$D$165:$G$165</definedName>
    <definedName name="OSRRefD20_14x" localSheetId="70">'Div 4'!$D$77:$G$77</definedName>
    <definedName name="OSRRefD20_14x" localSheetId="2">Summary!$D$193:$G$193</definedName>
    <definedName name="OSRRefD20_15x" localSheetId="41">'201'!$D$70:$G$70</definedName>
    <definedName name="OSRRefD20_15x" localSheetId="48">'300'!$D$163:$G$163</definedName>
    <definedName name="OSRRefD20_15x" localSheetId="49">'300 &amp; 317'!$D$185:$G$185</definedName>
    <definedName name="OSRRefD20_15x" localSheetId="50">'301'!$D$72:$G$72</definedName>
    <definedName name="OSRRefD20_15x" localSheetId="63">'310'!$D$74:$G$74</definedName>
    <definedName name="OSRRefD20_15x" localSheetId="71">'310 &amp; 491'!$D$82:$G$82</definedName>
    <definedName name="OSRRefD20_15x" localSheetId="57">'315'!$D$132:$G$132</definedName>
    <definedName name="OSRRefD20_15x" localSheetId="58">'326'!$D$93:$G$93</definedName>
    <definedName name="OSRRefD20_15x" localSheetId="56">'331'!$D$126:$G$126</definedName>
    <definedName name="OSRRefD20_15x" localSheetId="73">'405'!$D$79:$G$79</definedName>
    <definedName name="OSRRefD20_15x" localSheetId="75">'411'!$D$75:$G$75</definedName>
    <definedName name="OSRRefD20_15x" localSheetId="79">'415'!$D$82:$G$82</definedName>
    <definedName name="OSRRefD20_15x" localSheetId="88">'433'!$D$85:$G$85</definedName>
    <definedName name="OSRRefD20_15x" localSheetId="90">'444'!$D$85:$G$85</definedName>
    <definedName name="OSRRefD20_15x" localSheetId="91">'450'!$D$76:$G$76</definedName>
    <definedName name="OSRRefD20_15x" localSheetId="72">'491'!$D$78:$G$78</definedName>
    <definedName name="OSRRefD20_15x" localSheetId="86">'492'!$D$87:$G$87</definedName>
    <definedName name="OSRRefD20_15x" localSheetId="39">'Div 2'!$D$76:$G$76</definedName>
    <definedName name="OSRRefD20_15x" localSheetId="47">'Div 3'!$D$167:$G$167</definedName>
    <definedName name="OSRRefD20_15x" localSheetId="70">'Div 4'!$D$79:$G$79</definedName>
    <definedName name="OSRRefD20_15x" localSheetId="2">Summary!$D$195:$G$195</definedName>
    <definedName name="OSRRefD20_16x" localSheetId="41">'201'!$D$72:$G$72</definedName>
    <definedName name="OSRRefD20_16x" localSheetId="48">'300'!$D$165:$G$165</definedName>
    <definedName name="OSRRefD20_16x" localSheetId="49">'300 &amp; 317'!$D$187:$G$187</definedName>
    <definedName name="OSRRefD20_16x" localSheetId="50">'301'!$D$74:$G$74</definedName>
    <definedName name="OSRRefD20_16x" localSheetId="63">'310'!$D$77:$G$77</definedName>
    <definedName name="OSRRefD20_16x" localSheetId="71">'310 &amp; 491'!$D$85:$G$85</definedName>
    <definedName name="OSRRefD20_16x" localSheetId="57">'315'!$D$134:$G$134</definedName>
    <definedName name="OSRRefD20_16x" localSheetId="58">'326'!$D$100:$G$100</definedName>
    <definedName name="OSRRefD20_16x" localSheetId="56">'331'!$D$130:$G$130</definedName>
    <definedName name="OSRRefD20_16x" localSheetId="73">'405'!$D$81:$G$81</definedName>
    <definedName name="OSRRefD20_16x" localSheetId="79">'415'!$D$85:$G$85</definedName>
    <definedName name="OSRRefD20_16x" localSheetId="91">'450'!$D$79:$G$79</definedName>
    <definedName name="OSRRefD20_16x" localSheetId="72">'491'!$D$81:$G$81</definedName>
    <definedName name="OSRRefD20_16x" localSheetId="86">'492'!$D$90:$G$90</definedName>
    <definedName name="OSRRefD20_16x" localSheetId="39">'Div 2'!$D$79:$G$79</definedName>
    <definedName name="OSRRefD20_16x" localSheetId="47">'Div 3'!$D$169:$G$169</definedName>
    <definedName name="OSRRefD20_16x" localSheetId="70">'Div 4'!$D$84:$G$84</definedName>
    <definedName name="OSRRefD20_16x" localSheetId="2">Summary!$D$197:$G$197</definedName>
    <definedName name="OSRRefD20_17x" localSheetId="48">'300'!$D$170:$G$170</definedName>
    <definedName name="OSRRefD20_17x" localSheetId="49">'300 &amp; 317'!$D$192:$G$192</definedName>
    <definedName name="OSRRefD20_17x" localSheetId="50">'301'!$D$82:$G$82</definedName>
    <definedName name="OSRRefD20_17x" localSheetId="63">'310'!$D$85:$G$85</definedName>
    <definedName name="OSRRefD20_17x" localSheetId="71">'310 &amp; 491'!$D$91:$G$91</definedName>
    <definedName name="OSRRefD20_17x" localSheetId="57">'315'!$D$136:$G$136</definedName>
    <definedName name="OSRRefD20_17x" localSheetId="58">'326'!$D$103:$G$103</definedName>
    <definedName name="OSRRefD20_17x" localSheetId="56">'331'!$D$133:$G$133</definedName>
    <definedName name="OSRRefD20_17x" localSheetId="72">'491'!$D$87:$G$87</definedName>
    <definedName name="OSRRefD20_17x" localSheetId="86">'492'!$D$92:$G$92</definedName>
    <definedName name="OSRRefD20_17x" localSheetId="39">'Div 2'!$D$84:$G$84</definedName>
    <definedName name="OSRRefD20_17x" localSheetId="47">'Div 3'!$D$171:$G$171</definedName>
    <definedName name="OSRRefD20_17x" localSheetId="70">'Div 4'!$D$87:$G$87</definedName>
    <definedName name="OSRRefD20_17x" localSheetId="2">Summary!$D$199:$G$199</definedName>
    <definedName name="OSRRefD20_18x" localSheetId="48">'300'!$D$175:$G$175</definedName>
    <definedName name="OSRRefD20_18x" localSheetId="49">'300 &amp; 317'!$D$197:$G$197</definedName>
    <definedName name="OSRRefD20_18x" localSheetId="50">'301'!$D$84:$G$84</definedName>
    <definedName name="OSRRefD20_18x" localSheetId="63">'310'!$D$88:$G$88</definedName>
    <definedName name="OSRRefD20_18x" localSheetId="71">'310 &amp; 491'!$D$94:$G$94</definedName>
    <definedName name="OSRRefD20_18x" localSheetId="58">'326'!$D$105:$G$105</definedName>
    <definedName name="OSRRefD20_18x" localSheetId="56">'331'!$D$142:$G$142</definedName>
    <definedName name="OSRRefD20_18x" localSheetId="72">'491'!$D$90:$G$90</definedName>
    <definedName name="OSRRefD20_18x" localSheetId="39">'Div 2'!$D$87:$G$87</definedName>
    <definedName name="OSRRefD20_18x" localSheetId="47">'Div 3'!$D$176:$G$176</definedName>
    <definedName name="OSRRefD20_18x" localSheetId="70">'Div 4'!$D$93:$G$93</definedName>
    <definedName name="OSRRefD20_18x" localSheetId="2">Summary!$D$201:$G$201</definedName>
    <definedName name="OSRRefD20_19x" localSheetId="48">'300'!$D$180:$G$180</definedName>
    <definedName name="OSRRefD20_19x" localSheetId="49">'300 &amp; 317'!$D$202:$G$202</definedName>
    <definedName name="OSRRefD20_19x" localSheetId="50">'301'!$D$86:$G$86</definedName>
    <definedName name="OSRRefD20_19x" localSheetId="63">'310'!$D$90:$G$90</definedName>
    <definedName name="OSRRefD20_19x" localSheetId="71">'310 &amp; 491'!$D$106:$G$106</definedName>
    <definedName name="OSRRefD20_19x" localSheetId="58">'326'!$D$108:$G$108</definedName>
    <definedName name="OSRRefD20_19x" localSheetId="56">'331'!$D$145:$G$145</definedName>
    <definedName name="OSRRefD20_19x" localSheetId="72">'491'!$D$102:$G$102</definedName>
    <definedName name="OSRRefD20_19x" localSheetId="39">'Div 2'!$D$89:$G$89</definedName>
    <definedName name="OSRRefD20_19x" localSheetId="47">'Div 3'!$D$181:$G$181</definedName>
    <definedName name="OSRRefD20_19x" localSheetId="70">'Div 4'!$D$96:$G$96</definedName>
    <definedName name="OSRRefD20_19x" localSheetId="2">Summary!$D$206:$G$206</definedName>
    <definedName name="OSRRefD20_1x" localSheetId="40">'200'!$D$20:$G$20</definedName>
    <definedName name="OSRRefD20_1x" localSheetId="41">'201'!$D$28:$G$28</definedName>
    <definedName name="OSRRefD20_1x" localSheetId="42">'202'!$D$28:$G$28</definedName>
    <definedName name="OSRRefD20_1x" localSheetId="43">'203'!$D$29:$G$29</definedName>
    <definedName name="OSRRefD20_1x" localSheetId="44">'204'!$D$29:$G$29</definedName>
    <definedName name="OSRRefD20_1x" localSheetId="45">'205'!$D$28:$G$28</definedName>
    <definedName name="OSRRefD20_1x" localSheetId="46">'206'!$D$28:$G$28</definedName>
    <definedName name="OSRRefD20_1x" localSheetId="48">'300'!$D$121:$G$121</definedName>
    <definedName name="OSRRefD20_1x" localSheetId="49">'300 &amp; 317'!$D$143:$G$143</definedName>
    <definedName name="OSRRefD20_1x" localSheetId="50">'301'!$D$28:$G$28</definedName>
    <definedName name="OSRRefD20_1x" localSheetId="52">'307'!$D$46:$G$46</definedName>
    <definedName name="OSRRefD20_1x" localSheetId="53">'308'!$D$63:$G$63</definedName>
    <definedName name="OSRRefD20_1x" localSheetId="64">'309'!$D$29:$G$29</definedName>
    <definedName name="OSRRefD20_1x" localSheetId="63">'310'!$D$35:$G$35</definedName>
    <definedName name="OSRRefD20_1x" localSheetId="71">'310 &amp; 491'!$D$40:$G$40</definedName>
    <definedName name="OSRRefD20_1x" localSheetId="54">'311'!$D$62:$G$62</definedName>
    <definedName name="OSRRefD20_1x" localSheetId="65">'313'!$D$29:$G$29</definedName>
    <definedName name="OSRRefD20_1x" localSheetId="57">'315'!$D$85:$G$85</definedName>
    <definedName name="OSRRefD20_1x" localSheetId="60">'316'!$D$38:$G$38</definedName>
    <definedName name="OSRRefD20_1x" localSheetId="62">'317'!$D$58:$G$58</definedName>
    <definedName name="OSRRefD20_1x" localSheetId="66">'321'!$D$31:$G$31</definedName>
    <definedName name="OSRRefD20_1x" localSheetId="67">'322'!$D$30:$G$30</definedName>
    <definedName name="OSRRefD20_1x" localSheetId="55">'324'!$D$34:$G$34</definedName>
    <definedName name="OSRRefD20_1x" localSheetId="68">'325'!$D$29:$G$29</definedName>
    <definedName name="OSRRefD20_1x" localSheetId="58">'326'!$D$52:$G$52</definedName>
    <definedName name="OSRRefD20_1x" localSheetId="51">'330'!$D$46:$G$46</definedName>
    <definedName name="OSRRefD20_1x" localSheetId="56">'331'!$D$85:$G$85</definedName>
    <definedName name="OSRRefD20_1x" localSheetId="59">'332'!$D$38:$G$38</definedName>
    <definedName name="OSRRefD20_1x" localSheetId="73">'405'!$D$30:$G$30</definedName>
    <definedName name="OSRRefD20_1x" localSheetId="74">'406'!$D$20:$G$20</definedName>
    <definedName name="OSRRefD20_1x" localSheetId="75">'411'!$D$28:$G$28</definedName>
    <definedName name="OSRRefD20_1x" localSheetId="76">'412'!$D$29:$G$29</definedName>
    <definedName name="OSRRefD20_1x" localSheetId="77">'413'!$D$31:$G$31</definedName>
    <definedName name="OSRRefD20_1x" localSheetId="78">'414'!$D$32:$G$32</definedName>
    <definedName name="OSRRefD20_1x" localSheetId="79">'415'!$D$35:$G$35</definedName>
    <definedName name="OSRRefD20_1x" localSheetId="80">'418'!$D$30:$G$30</definedName>
    <definedName name="OSRRefD20_1x" localSheetId="82">'423'!$D$27:$G$27</definedName>
    <definedName name="OSRRefD20_1x" localSheetId="83">'424'!$D$20:$G$20</definedName>
    <definedName name="OSRRefD20_1x" localSheetId="84">'425'!$D$24:$G$24</definedName>
    <definedName name="OSRRefD20_1x" localSheetId="87">'430'!$D$28:$G$28</definedName>
    <definedName name="OSRRefD20_1x" localSheetId="88">'433'!$D$36:$G$36</definedName>
    <definedName name="OSRRefD20_1x" localSheetId="90">'444'!$D$36:$G$36</definedName>
    <definedName name="OSRRefD20_1x" localSheetId="91">'450'!$D$32:$G$32</definedName>
    <definedName name="OSRRefD20_1x" localSheetId="72">'491'!$D$37:$G$37</definedName>
    <definedName name="OSRRefD20_1x" localSheetId="86">'492'!$D$36:$G$36</definedName>
    <definedName name="OSRRefD20_1x" localSheetId="93">'501'!$D$31:$G$31</definedName>
    <definedName name="OSRRefD20_1x" localSheetId="39">'Div 2'!$D$30:$G$30</definedName>
    <definedName name="OSRRefD20_1x" localSheetId="47">'Div 3'!$D$125:$G$125</definedName>
    <definedName name="OSRRefD20_1x" localSheetId="70">'Div 4'!$D$40:$G$40</definedName>
    <definedName name="OSRRefD20_1x" localSheetId="92">'Div 5'!$D$31:$G$31</definedName>
    <definedName name="OSRRefD20_1x" localSheetId="61">'Div 6'!$D$58:$G$58</definedName>
    <definedName name="OSRRefD20_1x" localSheetId="2">Summary!$D$152:$G$152</definedName>
    <definedName name="OSRRefD20_20x" localSheetId="48">'300'!$D$183:$G$183</definedName>
    <definedName name="OSRRefD20_20x" localSheetId="49">'300 &amp; 317'!$D$205:$G$205</definedName>
    <definedName name="OSRRefD20_20x" localSheetId="50">'301'!$D$88:$G$88</definedName>
    <definedName name="OSRRefD20_20x" localSheetId="71">'310 &amp; 491'!$D$109:$G$109</definedName>
    <definedName name="OSRRefD20_20x" localSheetId="56">'331'!$D$147:$G$147</definedName>
    <definedName name="OSRRefD20_20x" localSheetId="72">'491'!$D$105:$G$105</definedName>
    <definedName name="OSRRefD20_20x" localSheetId="47">'Div 3'!$D$186:$G$186</definedName>
    <definedName name="OSRRefD20_20x" localSheetId="70">'Div 4'!$D$108:$G$108</definedName>
    <definedName name="OSRRefD20_20x" localSheetId="2">Summary!$D$211:$G$211</definedName>
    <definedName name="OSRRefD20_21x" localSheetId="48">'300'!$D$193:$G$193</definedName>
    <definedName name="OSRRefD20_21x" localSheetId="49">'300 &amp; 317'!$D$215:$G$215</definedName>
    <definedName name="OSRRefD20_21x" localSheetId="71">'310 &amp; 491'!$D$111:$G$111</definedName>
    <definedName name="OSRRefD20_21x" localSheetId="56">'331'!$D$150:$G$150</definedName>
    <definedName name="OSRRefD20_21x" localSheetId="72">'491'!$D$107:$G$107</definedName>
    <definedName name="OSRRefD20_21x" localSheetId="47">'Div 3'!$D$189:$G$189</definedName>
    <definedName name="OSRRefD20_21x" localSheetId="70">'Div 4'!$D$111:$G$111</definedName>
    <definedName name="OSRRefD20_21x" localSheetId="2">Summary!$D$217:$G$217</definedName>
    <definedName name="OSRRefD20_22x" localSheetId="48">'300'!$D$196:$G$196</definedName>
    <definedName name="OSRRefD20_22x" localSheetId="49">'300 &amp; 317'!$D$218:$G$218</definedName>
    <definedName name="OSRRefD20_22x" localSheetId="71">'310 &amp; 491'!$D$113:$G$113</definedName>
    <definedName name="OSRRefD20_22x" localSheetId="72">'491'!$D$109:$G$109</definedName>
    <definedName name="OSRRefD20_22x" localSheetId="47">'Div 3'!$D$199:$G$199</definedName>
    <definedName name="OSRRefD20_22x" localSheetId="70">'Div 4'!$D$113:$G$113</definedName>
    <definedName name="OSRRefD20_22x" localSheetId="2">Summary!$D$220:$G$220</definedName>
    <definedName name="OSRRefD20_23x" localSheetId="48">'300'!$D$198:$G$198</definedName>
    <definedName name="OSRRefD20_23x" localSheetId="49">'300 &amp; 317'!$D$220:$G$220</definedName>
    <definedName name="OSRRefD20_23x" localSheetId="47">'Div 3'!$D$202:$G$202</definedName>
    <definedName name="OSRRefD20_23x" localSheetId="70">'Div 4'!$D$116:$G$116</definedName>
    <definedName name="OSRRefD20_23x" localSheetId="2">Summary!$D$232:$G$232</definedName>
    <definedName name="OSRRefD20_24x" localSheetId="48">'300'!$D$202:$G$202</definedName>
    <definedName name="OSRRefD20_24x" localSheetId="49">'300 &amp; 317'!$D$224:$G$224</definedName>
    <definedName name="OSRRefD20_24x" localSheetId="47">'Div 3'!$D$204:$G$204</definedName>
    <definedName name="OSRRefD20_24x" localSheetId="2">Summary!$D$235:$G$235</definedName>
    <definedName name="OSRRefD20_25x" localSheetId="47">'Div 3'!$D$208:$G$208</definedName>
    <definedName name="OSRRefD20_25x" localSheetId="2">Summary!$D$237:$G$237</definedName>
    <definedName name="OSRRefD20_26x" localSheetId="2">Summary!$D$241:$G$241</definedName>
    <definedName name="OSRRefD20_2x" localSheetId="40">'200'!$D$22:$G$22</definedName>
    <definedName name="OSRRefD20_2x" localSheetId="41">'201'!$D$39:$G$39</definedName>
    <definedName name="OSRRefD20_2x" localSheetId="42">'202'!$D$39:$G$39</definedName>
    <definedName name="OSRRefD20_2x" localSheetId="43">'203'!$D$40:$G$40</definedName>
    <definedName name="OSRRefD20_2x" localSheetId="44">'204'!$D$40:$G$40</definedName>
    <definedName name="OSRRefD20_2x" localSheetId="45">'205'!$D$39:$G$39</definedName>
    <definedName name="OSRRefD20_2x" localSheetId="46">'206'!$D$39:$G$39</definedName>
    <definedName name="OSRRefD20_2x" localSheetId="48">'300'!$D$132:$G$132</definedName>
    <definedName name="OSRRefD20_2x" localSheetId="49">'300 &amp; 317'!$D$154:$G$154</definedName>
    <definedName name="OSRRefD20_2x" localSheetId="50">'301'!$D$39:$G$39</definedName>
    <definedName name="OSRRefD20_2x" localSheetId="52">'307'!$D$57:$G$57</definedName>
    <definedName name="OSRRefD20_2x" localSheetId="53">'308'!$D$74:$G$74</definedName>
    <definedName name="OSRRefD20_2x" localSheetId="64">'309'!$D$40:$G$40</definedName>
    <definedName name="OSRRefD20_2x" localSheetId="63">'310'!$D$46:$G$46</definedName>
    <definedName name="OSRRefD20_2x" localSheetId="71">'310 &amp; 491'!$D$51:$G$51</definedName>
    <definedName name="OSRRefD20_2x" localSheetId="54">'311'!$D$73:$G$73</definedName>
    <definedName name="OSRRefD20_2x" localSheetId="65">'313'!$D$40:$G$40</definedName>
    <definedName name="OSRRefD20_2x" localSheetId="57">'315'!$D$96:$G$96</definedName>
    <definedName name="OSRRefD20_2x" localSheetId="60">'316'!$D$49:$G$49</definedName>
    <definedName name="OSRRefD20_2x" localSheetId="62">'317'!$D$69:$G$69</definedName>
    <definedName name="OSRRefD20_2x" localSheetId="66">'321'!$D$42:$G$42</definedName>
    <definedName name="OSRRefD20_2x" localSheetId="67">'322'!$D$41:$G$41</definedName>
    <definedName name="OSRRefD20_2x" localSheetId="68">'325'!$D$40:$G$40</definedName>
    <definedName name="OSRRefD20_2x" localSheetId="58">'326'!$D$63:$G$63</definedName>
    <definedName name="OSRRefD20_2x" localSheetId="51">'330'!$D$57:$G$57</definedName>
    <definedName name="OSRRefD20_2x" localSheetId="56">'331'!$D$96:$G$96</definedName>
    <definedName name="OSRRefD20_2x" localSheetId="59">'332'!$D$49:$G$49</definedName>
    <definedName name="OSRRefD20_2x" localSheetId="73">'405'!$D$41:$G$41</definedName>
    <definedName name="OSRRefD20_2x" localSheetId="74">'406'!$D$22:$G$22</definedName>
    <definedName name="OSRRefD20_2x" localSheetId="75">'411'!$D$39:$G$39</definedName>
    <definedName name="OSRRefD20_2x" localSheetId="76">'412'!$D$40:$G$40</definedName>
    <definedName name="OSRRefD20_2x" localSheetId="77">'413'!$D$42:$G$42</definedName>
    <definedName name="OSRRefD20_2x" localSheetId="78">'414'!$D$43:$G$43</definedName>
    <definedName name="OSRRefD20_2x" localSheetId="79">'415'!$D$46:$G$46</definedName>
    <definedName name="OSRRefD20_2x" localSheetId="80">'418'!$D$41:$G$41</definedName>
    <definedName name="OSRRefD20_2x" localSheetId="82">'423'!$D$38:$G$38</definedName>
    <definedName name="OSRRefD20_2x" localSheetId="83">'424'!$D$22:$G$22</definedName>
    <definedName name="OSRRefD20_2x" localSheetId="84">'425'!$D$26:$G$26</definedName>
    <definedName name="OSRRefD20_2x" localSheetId="87">'430'!$D$39:$G$39</definedName>
    <definedName name="OSRRefD20_2x" localSheetId="88">'433'!$D$47:$G$47</definedName>
    <definedName name="OSRRefD20_2x" localSheetId="90">'444'!$D$47:$G$47</definedName>
    <definedName name="OSRRefD20_2x" localSheetId="91">'450'!$D$43:$G$43</definedName>
    <definedName name="OSRRefD20_2x" localSheetId="72">'491'!$D$48:$G$48</definedName>
    <definedName name="OSRRefD20_2x" localSheetId="86">'492'!$D$47:$G$47</definedName>
    <definedName name="OSRRefD20_2x" localSheetId="93">'501'!$D$42:$G$42</definedName>
    <definedName name="OSRRefD20_2x" localSheetId="39">'Div 2'!$D$41:$G$41</definedName>
    <definedName name="OSRRefD20_2x" localSheetId="47">'Div 3'!$D$136:$G$136</definedName>
    <definedName name="OSRRefD20_2x" localSheetId="70">'Div 4'!$D$51:$G$51</definedName>
    <definedName name="OSRRefD20_2x" localSheetId="92">'Div 5'!$D$42:$G$42</definedName>
    <definedName name="OSRRefD20_2x" localSheetId="61">'Div 6'!$D$69:$G$69</definedName>
    <definedName name="OSRRefD20_2x" localSheetId="2">Summary!$D$163:$G$163</definedName>
    <definedName name="OSRRefD20_3x" localSheetId="40">'200'!$D$24:$G$24</definedName>
    <definedName name="OSRRefD20_3x" localSheetId="41">'201'!$D$41:$G$41</definedName>
    <definedName name="OSRRefD20_3x" localSheetId="42">'202'!$D$41:$G$41</definedName>
    <definedName name="OSRRefD20_3x" localSheetId="43">'203'!$D$42:$G$42</definedName>
    <definedName name="OSRRefD20_3x" localSheetId="44">'204'!$D$42:$G$42</definedName>
    <definedName name="OSRRefD20_3x" localSheetId="45">'205'!$D$41:$G$41</definedName>
    <definedName name="OSRRefD20_3x" localSheetId="46">'206'!$D$41:$G$41</definedName>
    <definedName name="OSRRefD20_3x" localSheetId="48">'300'!$D$134:$G$134</definedName>
    <definedName name="OSRRefD20_3x" localSheetId="49">'300 &amp; 317'!$D$156:$G$156</definedName>
    <definedName name="OSRRefD20_3x" localSheetId="50">'301'!$D$42:$G$42</definedName>
    <definedName name="OSRRefD20_3x" localSheetId="52">'307'!$D$59:$G$59</definedName>
    <definedName name="OSRRefD20_3x" localSheetId="53">'308'!$D$76:$G$76</definedName>
    <definedName name="OSRRefD20_3x" localSheetId="64">'309'!$D$42:$G$42</definedName>
    <definedName name="OSRRefD20_3x" localSheetId="63">'310'!$D$48:$G$48</definedName>
    <definedName name="OSRRefD20_3x" localSheetId="71">'310 &amp; 491'!$D$53:$G$53</definedName>
    <definedName name="OSRRefD20_3x" localSheetId="54">'311'!$D$75:$G$75</definedName>
    <definedName name="OSRRefD20_3x" localSheetId="65">'313'!$D$42:$G$42</definedName>
    <definedName name="OSRRefD20_3x" localSheetId="57">'315'!$D$98:$G$98</definedName>
    <definedName name="OSRRefD20_3x" localSheetId="60">'316'!$D$51:$G$51</definedName>
    <definedName name="OSRRefD20_3x" localSheetId="62">'317'!$D$71:$G$71</definedName>
    <definedName name="OSRRefD20_3x" localSheetId="66">'321'!$D$44:$G$44</definedName>
    <definedName name="OSRRefD20_3x" localSheetId="67">'322'!$D$43:$G$43</definedName>
    <definedName name="OSRRefD20_3x" localSheetId="68">'325'!$D$42:$G$42</definedName>
    <definedName name="OSRRefD20_3x" localSheetId="58">'326'!$D$65:$G$65</definedName>
    <definedName name="OSRRefD20_3x" localSheetId="51">'330'!$D$59:$G$59</definedName>
    <definedName name="OSRRefD20_3x" localSheetId="56">'331'!$D$98:$G$98</definedName>
    <definedName name="OSRRefD20_3x" localSheetId="59">'332'!$D$51:$G$51</definedName>
    <definedName name="OSRRefD20_3x" localSheetId="73">'405'!$D$43:$G$43</definedName>
    <definedName name="OSRRefD20_3x" localSheetId="74">'406'!$D$24:$G$24</definedName>
    <definedName name="OSRRefD20_3x" localSheetId="75">'411'!$D$41:$G$41</definedName>
    <definedName name="OSRRefD20_3x" localSheetId="76">'412'!$D$42:$G$42</definedName>
    <definedName name="OSRRefD20_3x" localSheetId="77">'413'!$D$44:$G$44</definedName>
    <definedName name="OSRRefD20_3x" localSheetId="78">'414'!$D$45:$G$45</definedName>
    <definedName name="OSRRefD20_3x" localSheetId="79">'415'!$D$48:$G$48</definedName>
    <definedName name="OSRRefD20_3x" localSheetId="80">'418'!$D$43:$G$43</definedName>
    <definedName name="OSRRefD20_3x" localSheetId="82">'423'!$D$40:$G$40</definedName>
    <definedName name="OSRRefD20_3x" localSheetId="83">'424'!$D$24:$G$24</definedName>
    <definedName name="OSRRefD20_3x" localSheetId="84">'425'!$D$28:$G$28</definedName>
    <definedName name="OSRRefD20_3x" localSheetId="87">'430'!$D$41:$G$41</definedName>
    <definedName name="OSRRefD20_3x" localSheetId="88">'433'!$D$49:$G$49</definedName>
    <definedName name="OSRRefD20_3x" localSheetId="90">'444'!$D$49:$G$49</definedName>
    <definedName name="OSRRefD20_3x" localSheetId="91">'450'!$D$45:$G$45</definedName>
    <definedName name="OSRRefD20_3x" localSheetId="72">'491'!$D$50:$G$50</definedName>
    <definedName name="OSRRefD20_3x" localSheetId="86">'492'!$D$49:$G$49</definedName>
    <definedName name="OSRRefD20_3x" localSheetId="93">'501'!$D$44:$G$44</definedName>
    <definedName name="OSRRefD20_3x" localSheetId="39">'Div 2'!$D$43:$G$43</definedName>
    <definedName name="OSRRefD20_3x" localSheetId="47">'Div 3'!$D$138:$G$138</definedName>
    <definedName name="OSRRefD20_3x" localSheetId="70">'Div 4'!$D$53:$G$53</definedName>
    <definedName name="OSRRefD20_3x" localSheetId="92">'Div 5'!$D$44:$G$44</definedName>
    <definedName name="OSRRefD20_3x" localSheetId="61">'Div 6'!$D$71:$G$71</definedName>
    <definedName name="OSRRefD20_3x" localSheetId="2">Summary!$D$165:$G$165</definedName>
    <definedName name="OSRRefD20_4x" localSheetId="40">'200'!$D$26:$G$26</definedName>
    <definedName name="OSRRefD20_4x" localSheetId="41">'201'!$D$43:$G$43</definedName>
    <definedName name="OSRRefD20_4x" localSheetId="42">'202'!$D$43:$G$43</definedName>
    <definedName name="OSRRefD20_4x" localSheetId="43">'203'!$D$44:$G$44</definedName>
    <definedName name="OSRRefD20_4x" localSheetId="44">'204'!$D$44:$G$44</definedName>
    <definedName name="OSRRefD20_4x" localSheetId="45">'205'!$D$43:$G$43</definedName>
    <definedName name="OSRRefD20_4x" localSheetId="46">'206'!$D$43:$G$43</definedName>
    <definedName name="OSRRefD20_4x" localSheetId="48">'300'!$D$137:$G$137</definedName>
    <definedName name="OSRRefD20_4x" localSheetId="49">'300 &amp; 317'!$D$159:$G$159</definedName>
    <definedName name="OSRRefD20_4x" localSheetId="50">'301'!$D$44:$G$44</definedName>
    <definedName name="OSRRefD20_4x" localSheetId="52">'307'!$D$61:$G$61</definedName>
    <definedName name="OSRRefD20_4x" localSheetId="53">'308'!$D$78:$G$78</definedName>
    <definedName name="OSRRefD20_4x" localSheetId="64">'309'!$D$44:$G$44</definedName>
    <definedName name="OSRRefD20_4x" localSheetId="63">'310'!$D$50:$G$50</definedName>
    <definedName name="OSRRefD20_4x" localSheetId="71">'310 &amp; 491'!$D$55:$G$55</definedName>
    <definedName name="OSRRefD20_4x" localSheetId="54">'311'!$D$77:$G$77</definedName>
    <definedName name="OSRRefD20_4x" localSheetId="65">'313'!$D$44:$G$44</definedName>
    <definedName name="OSRRefD20_4x" localSheetId="57">'315'!$D$100:$G$100</definedName>
    <definedName name="OSRRefD20_4x" localSheetId="60">'316'!$D$53:$G$53</definedName>
    <definedName name="OSRRefD20_4x" localSheetId="62">'317'!$D$73:$G$73</definedName>
    <definedName name="OSRRefD20_4x" localSheetId="66">'321'!$D$46:$G$46</definedName>
    <definedName name="OSRRefD20_4x" localSheetId="67">'322'!$D$45:$G$45</definedName>
    <definedName name="OSRRefD20_4x" localSheetId="68">'325'!$D$44:$G$44</definedName>
    <definedName name="OSRRefD20_4x" localSheetId="58">'326'!$D$67:$G$67</definedName>
    <definedName name="OSRRefD20_4x" localSheetId="51">'330'!$D$61:$G$61</definedName>
    <definedName name="OSRRefD20_4x" localSheetId="56">'331'!$D$100:$G$100</definedName>
    <definedName name="OSRRefD20_4x" localSheetId="59">'332'!$D$53:$G$53</definedName>
    <definedName name="OSRRefD20_4x" localSheetId="73">'405'!$D$45:$G$45</definedName>
    <definedName name="OSRRefD20_4x" localSheetId="74">'406'!$D$26:$G$26</definedName>
    <definedName name="OSRRefD20_4x" localSheetId="75">'411'!$D$43:$G$43</definedName>
    <definedName name="OSRRefD20_4x" localSheetId="76">'412'!$D$44:$G$44</definedName>
    <definedName name="OSRRefD20_4x" localSheetId="77">'413'!$D$46:$G$46</definedName>
    <definedName name="OSRRefD20_4x" localSheetId="78">'414'!$D$47:$G$47</definedName>
    <definedName name="OSRRefD20_4x" localSheetId="79">'415'!$D$50:$G$50</definedName>
    <definedName name="OSRRefD20_4x" localSheetId="80">'418'!$D$45:$G$45</definedName>
    <definedName name="OSRRefD20_4x" localSheetId="82">'423'!$D$43:$G$43</definedName>
    <definedName name="OSRRefD20_4x" localSheetId="84">'425'!$D$30:$G$30</definedName>
    <definedName name="OSRRefD20_4x" localSheetId="87">'430'!$D$43:$G$43</definedName>
    <definedName name="OSRRefD20_4x" localSheetId="88">'433'!$D$51:$G$51</definedName>
    <definedName name="OSRRefD20_4x" localSheetId="90">'444'!$D$51:$G$51</definedName>
    <definedName name="OSRRefD20_4x" localSheetId="91">'450'!$D$47:$G$47</definedName>
    <definedName name="OSRRefD20_4x" localSheetId="72">'491'!$D$52:$G$52</definedName>
    <definedName name="OSRRefD20_4x" localSheetId="86">'492'!$D$51:$G$51</definedName>
    <definedName name="OSRRefD20_4x" localSheetId="93">'501'!$D$46:$G$46</definedName>
    <definedName name="OSRRefD20_4x" localSheetId="39">'Div 2'!$D$45:$G$45</definedName>
    <definedName name="OSRRefD20_4x" localSheetId="47">'Div 3'!$D$141:$G$141</definedName>
    <definedName name="OSRRefD20_4x" localSheetId="70">'Div 4'!$D$55:$G$55</definedName>
    <definedName name="OSRRefD20_4x" localSheetId="92">'Div 5'!$D$46:$G$46</definedName>
    <definedName name="OSRRefD20_4x" localSheetId="61">'Div 6'!$D$73:$G$73</definedName>
    <definedName name="OSRRefD20_4x" localSheetId="2">Summary!$D$168:$G$168</definedName>
    <definedName name="OSRRefD20_5x" localSheetId="41">'201'!$D$46:$G$46</definedName>
    <definedName name="OSRRefD20_5x" localSheetId="42">'202'!$D$46:$G$46</definedName>
    <definedName name="OSRRefD20_5x" localSheetId="43">'203'!$D$46:$G$46</definedName>
    <definedName name="OSRRefD20_5x" localSheetId="44">'204'!$D$48:$G$48</definedName>
    <definedName name="OSRRefD20_5x" localSheetId="45">'205'!$D$47:$G$47</definedName>
    <definedName name="OSRRefD20_5x" localSheetId="46">'206'!$D$45:$G$45</definedName>
    <definedName name="OSRRefD20_5x" localSheetId="48">'300'!$D$139:$G$139</definedName>
    <definedName name="OSRRefD20_5x" localSheetId="49">'300 &amp; 317'!$D$161:$G$161</definedName>
    <definedName name="OSRRefD20_5x" localSheetId="50">'301'!$D$47:$G$47</definedName>
    <definedName name="OSRRefD20_5x" localSheetId="52">'307'!$D$63:$G$63</definedName>
    <definedName name="OSRRefD20_5x" localSheetId="53">'308'!$D$80:$G$80</definedName>
    <definedName name="OSRRefD20_5x" localSheetId="64">'309'!$D$46:$G$46</definedName>
    <definedName name="OSRRefD20_5x" localSheetId="63">'310'!$D$52:$G$52</definedName>
    <definedName name="OSRRefD20_5x" localSheetId="71">'310 &amp; 491'!$D$57:$G$57</definedName>
    <definedName name="OSRRefD20_5x" localSheetId="54">'311'!$D$79:$G$79</definedName>
    <definedName name="OSRRefD20_5x" localSheetId="65">'313'!$D$46:$G$46</definedName>
    <definedName name="OSRRefD20_5x" localSheetId="57">'315'!$D$102:$G$102</definedName>
    <definedName name="OSRRefD20_5x" localSheetId="60">'316'!$D$55:$G$55</definedName>
    <definedName name="OSRRefD20_5x" localSheetId="62">'317'!$D$75:$G$75</definedName>
    <definedName name="OSRRefD20_5x" localSheetId="66">'321'!$D$48:$G$48</definedName>
    <definedName name="OSRRefD20_5x" localSheetId="67">'322'!$D$47:$G$47</definedName>
    <definedName name="OSRRefD20_5x" localSheetId="68">'325'!$D$46:$G$46</definedName>
    <definedName name="OSRRefD20_5x" localSheetId="58">'326'!$D$69:$G$69</definedName>
    <definedName name="OSRRefD20_5x" localSheetId="51">'330'!$D$63:$G$63</definedName>
    <definedName name="OSRRefD20_5x" localSheetId="56">'331'!$D$102:$G$102</definedName>
    <definedName name="OSRRefD20_5x" localSheetId="59">'332'!$D$55:$G$55</definedName>
    <definedName name="OSRRefD20_5x" localSheetId="73">'405'!$D$48:$G$48</definedName>
    <definedName name="OSRRefD20_5x" localSheetId="75">'411'!$D$46:$G$46</definedName>
    <definedName name="OSRRefD20_5x" localSheetId="76">'412'!$D$47:$G$47</definedName>
    <definedName name="OSRRefD20_5x" localSheetId="77">'413'!$D$48:$G$48</definedName>
    <definedName name="OSRRefD20_5x" localSheetId="78">'414'!$D$49:$G$49</definedName>
    <definedName name="OSRRefD20_5x" localSheetId="79">'415'!$D$52:$G$52</definedName>
    <definedName name="OSRRefD20_5x" localSheetId="80">'418'!$D$48:$G$48</definedName>
    <definedName name="OSRRefD20_5x" localSheetId="82">'423'!$D$45:$G$45</definedName>
    <definedName name="OSRRefD20_5x" localSheetId="87">'430'!$D$47:$G$47</definedName>
    <definedName name="OSRRefD20_5x" localSheetId="88">'433'!$D$53:$G$53</definedName>
    <definedName name="OSRRefD20_5x" localSheetId="90">'444'!$D$53:$G$53</definedName>
    <definedName name="OSRRefD20_5x" localSheetId="91">'450'!$D$49:$G$49</definedName>
    <definedName name="OSRRefD20_5x" localSheetId="72">'491'!$D$54:$G$54</definedName>
    <definedName name="OSRRefD20_5x" localSheetId="86">'492'!$D$53:$G$53</definedName>
    <definedName name="OSRRefD20_5x" localSheetId="93">'501'!$D$48:$G$48</definedName>
    <definedName name="OSRRefD20_5x" localSheetId="39">'Div 2'!$D$47:$G$47</definedName>
    <definedName name="OSRRefD20_5x" localSheetId="47">'Div 3'!$D$143:$G$143</definedName>
    <definedName name="OSRRefD20_5x" localSheetId="70">'Div 4'!$D$57:$G$57</definedName>
    <definedName name="OSRRefD20_5x" localSheetId="92">'Div 5'!$D$48:$G$48</definedName>
    <definedName name="OSRRefD20_5x" localSheetId="61">'Div 6'!$D$75:$G$75</definedName>
    <definedName name="OSRRefD20_5x" localSheetId="2">Summary!$D$170:$G$170</definedName>
    <definedName name="OSRRefD20_6x" localSheetId="41">'201'!$D$48:$G$48</definedName>
    <definedName name="OSRRefD20_6x" localSheetId="42">'202'!$D$48:$G$48</definedName>
    <definedName name="OSRRefD20_6x" localSheetId="43">'203'!$D$48:$G$48</definedName>
    <definedName name="OSRRefD20_6x" localSheetId="44">'204'!$D$50:$G$50</definedName>
    <definedName name="OSRRefD20_6x" localSheetId="45">'205'!$D$49:$G$49</definedName>
    <definedName name="OSRRefD20_6x" localSheetId="46">'206'!$D$47:$G$47</definedName>
    <definedName name="OSRRefD20_6x" localSheetId="48">'300'!$D$142:$G$142</definedName>
    <definedName name="OSRRefD20_6x" localSheetId="49">'300 &amp; 317'!$D$164:$G$164</definedName>
    <definedName name="OSRRefD20_6x" localSheetId="50">'301'!$D$49:$G$49</definedName>
    <definedName name="OSRRefD20_6x" localSheetId="52">'307'!$D$66:$G$66</definedName>
    <definedName name="OSRRefD20_6x" localSheetId="53">'308'!$D$82:$G$82</definedName>
    <definedName name="OSRRefD20_6x" localSheetId="64">'309'!$D$49:$G$49</definedName>
    <definedName name="OSRRefD20_6x" localSheetId="63">'310'!$D$55:$G$55</definedName>
    <definedName name="OSRRefD20_6x" localSheetId="71">'310 &amp; 491'!$D$61:$G$61</definedName>
    <definedName name="OSRRefD20_6x" localSheetId="54">'311'!$D$81:$G$81</definedName>
    <definedName name="OSRRefD20_6x" localSheetId="65">'313'!$D$48:$G$48</definedName>
    <definedName name="OSRRefD20_6x" localSheetId="57">'315'!$D$104:$G$104</definedName>
    <definedName name="OSRRefD20_6x" localSheetId="60">'316'!$D$57:$G$57</definedName>
    <definedName name="OSRRefD20_6x" localSheetId="62">'317'!$D$77:$G$77</definedName>
    <definedName name="OSRRefD20_6x" localSheetId="66">'321'!$D$50:$G$50</definedName>
    <definedName name="OSRRefD20_6x" localSheetId="67">'322'!$D$49:$G$49</definedName>
    <definedName name="OSRRefD20_6x" localSheetId="68">'325'!$D$49:$G$49</definedName>
    <definedName name="OSRRefD20_6x" localSheetId="58">'326'!$D$71:$G$71</definedName>
    <definedName name="OSRRefD20_6x" localSheetId="51">'330'!$D$66:$G$66</definedName>
    <definedName name="OSRRefD20_6x" localSheetId="56">'331'!$D$104:$G$104</definedName>
    <definedName name="OSRRefD20_6x" localSheetId="59">'332'!$D$57:$G$57</definedName>
    <definedName name="OSRRefD20_6x" localSheetId="73">'405'!$D$50:$G$50</definedName>
    <definedName name="OSRRefD20_6x" localSheetId="75">'411'!$D$48:$G$48</definedName>
    <definedName name="OSRRefD20_6x" localSheetId="76">'412'!$D$49:$G$49</definedName>
    <definedName name="OSRRefD20_6x" localSheetId="77">'413'!$D$50:$G$50</definedName>
    <definedName name="OSRRefD20_6x" localSheetId="78">'414'!$D$51:$G$51</definedName>
    <definedName name="OSRRefD20_6x" localSheetId="79">'415'!$D$55:$G$55</definedName>
    <definedName name="OSRRefD20_6x" localSheetId="80">'418'!$D$50:$G$50</definedName>
    <definedName name="OSRRefD20_6x" localSheetId="82">'423'!$D$47:$G$47</definedName>
    <definedName name="OSRRefD20_6x" localSheetId="87">'430'!$D$50:$G$50</definedName>
    <definedName name="OSRRefD20_6x" localSheetId="88">'433'!$D$55:$G$55</definedName>
    <definedName name="OSRRefD20_6x" localSheetId="90">'444'!$D$55:$G$55</definedName>
    <definedName name="OSRRefD20_6x" localSheetId="91">'450'!$D$51:$G$51</definedName>
    <definedName name="OSRRefD20_6x" localSheetId="72">'491'!$D$58:$G$58</definedName>
    <definedName name="OSRRefD20_6x" localSheetId="86">'492'!$D$55:$G$55</definedName>
    <definedName name="OSRRefD20_6x" localSheetId="93">'501'!$D$51:$G$51</definedName>
    <definedName name="OSRRefD20_6x" localSheetId="39">'Div 2'!$D$49:$G$49</definedName>
    <definedName name="OSRRefD20_6x" localSheetId="47">'Div 3'!$D$146:$G$146</definedName>
    <definedName name="OSRRefD20_6x" localSheetId="70">'Div 4'!$D$61:$G$61</definedName>
    <definedName name="OSRRefD20_6x" localSheetId="92">'Div 5'!$D$51:$G$51</definedName>
    <definedName name="OSRRefD20_6x" localSheetId="61">'Div 6'!$D$77:$G$77</definedName>
    <definedName name="OSRRefD20_6x" localSheetId="2">Summary!$D$174:$G$174</definedName>
    <definedName name="OSRRefD20_7x" localSheetId="41">'201'!$D$50:$G$50</definedName>
    <definedName name="OSRRefD20_7x" localSheetId="42">'202'!$D$50:$G$50</definedName>
    <definedName name="OSRRefD20_7x" localSheetId="43">'203'!$D$50:$G$50</definedName>
    <definedName name="OSRRefD20_7x" localSheetId="44">'204'!$D$52:$G$52</definedName>
    <definedName name="OSRRefD20_7x" localSheetId="45">'205'!$D$51:$G$51</definedName>
    <definedName name="OSRRefD20_7x" localSheetId="48">'300'!$D$145:$G$145</definedName>
    <definedName name="OSRRefD20_7x" localSheetId="49">'300 &amp; 317'!$D$167:$G$167</definedName>
    <definedName name="OSRRefD20_7x" localSheetId="50">'301'!$D$51:$G$51</definedName>
    <definedName name="OSRRefD20_7x" localSheetId="52">'307'!$D$69:$G$69</definedName>
    <definedName name="OSRRefD20_7x" localSheetId="53">'308'!$D$84:$G$84</definedName>
    <definedName name="OSRRefD20_7x" localSheetId="64">'309'!$D$52:$G$52</definedName>
    <definedName name="OSRRefD20_7x" localSheetId="63">'310'!$D$57:$G$57</definedName>
    <definedName name="OSRRefD20_7x" localSheetId="71">'310 &amp; 491'!$D$63:$G$63</definedName>
    <definedName name="OSRRefD20_7x" localSheetId="54">'311'!$D$83:$G$83</definedName>
    <definedName name="OSRRefD20_7x" localSheetId="65">'313'!$D$50:$G$50</definedName>
    <definedName name="OSRRefD20_7x" localSheetId="57">'315'!$D$106:$G$106</definedName>
    <definedName name="OSRRefD20_7x" localSheetId="60">'316'!$D$60:$G$60</definedName>
    <definedName name="OSRRefD20_7x" localSheetId="62">'317'!$D$80:$G$80</definedName>
    <definedName name="OSRRefD20_7x" localSheetId="66">'321'!$D$53:$G$53</definedName>
    <definedName name="OSRRefD20_7x" localSheetId="67">'322'!$D$52:$G$52</definedName>
    <definedName name="OSRRefD20_7x" localSheetId="68">'325'!$D$51:$G$51</definedName>
    <definedName name="OSRRefD20_7x" localSheetId="58">'326'!$D$73:$G$73</definedName>
    <definedName name="OSRRefD20_7x" localSheetId="51">'330'!$D$69:$G$69</definedName>
    <definedName name="OSRRefD20_7x" localSheetId="56">'331'!$D$106:$G$106</definedName>
    <definedName name="OSRRefD20_7x" localSheetId="59">'332'!$D$60:$G$60</definedName>
    <definedName name="OSRRefD20_7x" localSheetId="73">'405'!$D$52:$G$52</definedName>
    <definedName name="OSRRefD20_7x" localSheetId="75">'411'!$D$50:$G$50</definedName>
    <definedName name="OSRRefD20_7x" localSheetId="76">'412'!$D$51:$G$51</definedName>
    <definedName name="OSRRefD20_7x" localSheetId="77">'413'!$D$52:$G$52</definedName>
    <definedName name="OSRRefD20_7x" localSheetId="78">'414'!$D$53:$G$53</definedName>
    <definedName name="OSRRefD20_7x" localSheetId="79">'415'!$D$57:$G$57</definedName>
    <definedName name="OSRRefD20_7x" localSheetId="80">'418'!$D$52:$G$52</definedName>
    <definedName name="OSRRefD20_7x" localSheetId="87">'430'!$D$52:$G$52</definedName>
    <definedName name="OSRRefD20_7x" localSheetId="88">'433'!$D$57:$G$57</definedName>
    <definedName name="OSRRefD20_7x" localSheetId="90">'444'!$D$57:$G$57</definedName>
    <definedName name="OSRRefD20_7x" localSheetId="91">'450'!$D$53:$G$53</definedName>
    <definedName name="OSRRefD20_7x" localSheetId="72">'491'!$D$60:$G$60</definedName>
    <definedName name="OSRRefD20_7x" localSheetId="86">'492'!$D$57:$G$57</definedName>
    <definedName name="OSRRefD20_7x" localSheetId="93">'501'!$D$53:$G$53</definedName>
    <definedName name="OSRRefD20_7x" localSheetId="39">'Div 2'!$D$52:$G$52</definedName>
    <definedName name="OSRRefD20_7x" localSheetId="47">'Div 3'!$D$149:$G$149</definedName>
    <definedName name="OSRRefD20_7x" localSheetId="70">'Div 4'!$D$63:$G$63</definedName>
    <definedName name="OSRRefD20_7x" localSheetId="92">'Div 5'!$D$53:$G$53</definedName>
    <definedName name="OSRRefD20_7x" localSheetId="61">'Div 6'!$D$80:$G$80</definedName>
    <definedName name="OSRRefD20_7x" localSheetId="2">Summary!$D$177:$G$177</definedName>
    <definedName name="OSRRefD20_8x" localSheetId="41">'201'!$D$52:$G$52</definedName>
    <definedName name="OSRRefD20_8x" localSheetId="42">'202'!$D$53:$G$53</definedName>
    <definedName name="OSRRefD20_8x" localSheetId="43">'203'!$D$52:$G$52</definedName>
    <definedName name="OSRRefD20_8x" localSheetId="44">'204'!$D$55:$G$55</definedName>
    <definedName name="OSRRefD20_8x" localSheetId="48">'300'!$D$147:$G$147</definedName>
    <definedName name="OSRRefD20_8x" localSheetId="49">'300 &amp; 317'!$D$169:$G$169</definedName>
    <definedName name="OSRRefD20_8x" localSheetId="50">'301'!$D$53:$G$53</definedName>
    <definedName name="OSRRefD20_8x" localSheetId="52">'307'!$D$71:$G$71</definedName>
    <definedName name="OSRRefD20_8x" localSheetId="53">'308'!$D$87:$G$87</definedName>
    <definedName name="OSRRefD20_8x" localSheetId="64">'309'!$D$56:$G$56</definedName>
    <definedName name="OSRRefD20_8x" localSheetId="63">'310'!$D$59:$G$59</definedName>
    <definedName name="OSRRefD20_8x" localSheetId="71">'310 &amp; 491'!$D$65:$G$65</definedName>
    <definedName name="OSRRefD20_8x" localSheetId="54">'311'!$D$86:$G$86</definedName>
    <definedName name="OSRRefD20_8x" localSheetId="57">'315'!$D$109:$G$109</definedName>
    <definedName name="OSRRefD20_8x" localSheetId="60">'316'!$D$63:$G$63</definedName>
    <definedName name="OSRRefD20_8x" localSheetId="62">'317'!$D$82:$G$82</definedName>
    <definedName name="OSRRefD20_8x" localSheetId="66">'321'!$D$55:$G$55</definedName>
    <definedName name="OSRRefD20_8x" localSheetId="67">'322'!$D$55:$G$55</definedName>
    <definedName name="OSRRefD20_8x" localSheetId="68">'325'!$D$53:$G$53</definedName>
    <definedName name="OSRRefD20_8x" localSheetId="58">'326'!$D$75:$G$75</definedName>
    <definedName name="OSRRefD20_8x" localSheetId="51">'330'!$D$71:$G$71</definedName>
    <definedName name="OSRRefD20_8x" localSheetId="56">'331'!$D$109:$G$109</definedName>
    <definedName name="OSRRefD20_8x" localSheetId="59">'332'!$D$63:$G$63</definedName>
    <definedName name="OSRRefD20_8x" localSheetId="73">'405'!$D$54:$G$54</definedName>
    <definedName name="OSRRefD20_8x" localSheetId="75">'411'!$D$52:$G$52</definedName>
    <definedName name="OSRRefD20_8x" localSheetId="76">'412'!$D$53:$G$53</definedName>
    <definedName name="OSRRefD20_8x" localSheetId="77">'413'!$D$54:$G$54</definedName>
    <definedName name="OSRRefD20_8x" localSheetId="78">'414'!$D$55:$G$55</definedName>
    <definedName name="OSRRefD20_8x" localSheetId="79">'415'!$D$59:$G$59</definedName>
    <definedName name="OSRRefD20_8x" localSheetId="80">'418'!$D$54:$G$54</definedName>
    <definedName name="OSRRefD20_8x" localSheetId="88">'433'!$D$59:$G$59</definedName>
    <definedName name="OSRRefD20_8x" localSheetId="90">'444'!$D$59:$G$59</definedName>
    <definedName name="OSRRefD20_8x" localSheetId="91">'450'!$D$55:$G$55</definedName>
    <definedName name="OSRRefD20_8x" localSheetId="72">'491'!$D$62:$G$62</definedName>
    <definedName name="OSRRefD20_8x" localSheetId="86">'492'!$D$59:$G$59</definedName>
    <definedName name="OSRRefD20_8x" localSheetId="93">'501'!$D$55:$G$55</definedName>
    <definedName name="OSRRefD20_8x" localSheetId="39">'Div 2'!$D$54:$G$54</definedName>
    <definedName name="OSRRefD20_8x" localSheetId="47">'Div 3'!$D$151:$G$151</definedName>
    <definedName name="OSRRefD20_8x" localSheetId="70">'Div 4'!$D$65:$G$65</definedName>
    <definedName name="OSRRefD20_8x" localSheetId="92">'Div 5'!$D$55:$G$55</definedName>
    <definedName name="OSRRefD20_8x" localSheetId="61">'Div 6'!$D$82:$G$82</definedName>
    <definedName name="OSRRefD20_8x" localSheetId="2">Summary!$D$179:$G$179</definedName>
    <definedName name="OSRRefD20_9x" localSheetId="41">'201'!$D$54:$G$54</definedName>
    <definedName name="OSRRefD20_9x" localSheetId="42">'202'!$D$55:$G$55</definedName>
    <definedName name="OSRRefD20_9x" localSheetId="43">'203'!$D$56:$G$56</definedName>
    <definedName name="OSRRefD20_9x" localSheetId="48">'300'!$D$149:$G$149</definedName>
    <definedName name="OSRRefD20_9x" localSheetId="49">'300 &amp; 317'!$D$171:$G$171</definedName>
    <definedName name="OSRRefD20_9x" localSheetId="50">'301'!$D$55:$G$55</definedName>
    <definedName name="OSRRefD20_9x" localSheetId="52">'307'!$D$74:$G$74</definedName>
    <definedName name="OSRRefD20_9x" localSheetId="53">'308'!$D$89:$G$89</definedName>
    <definedName name="OSRRefD20_9x" localSheetId="63">'310'!$D$61:$G$61</definedName>
    <definedName name="OSRRefD20_9x" localSheetId="71">'310 &amp; 491'!$D$68:$G$68</definedName>
    <definedName name="OSRRefD20_9x" localSheetId="54">'311'!$D$88:$G$88</definedName>
    <definedName name="OSRRefD20_9x" localSheetId="57">'315'!$D$111:$G$111</definedName>
    <definedName name="OSRRefD20_9x" localSheetId="60">'316'!$D$65:$G$65</definedName>
    <definedName name="OSRRefD20_9x" localSheetId="62">'317'!$D$84:$G$84</definedName>
    <definedName name="OSRRefD20_9x" localSheetId="66">'321'!$D$58:$G$58</definedName>
    <definedName name="OSRRefD20_9x" localSheetId="67">'322'!$D$60:$G$60</definedName>
    <definedName name="OSRRefD20_9x" localSheetId="68">'325'!$D$55:$G$55</definedName>
    <definedName name="OSRRefD20_9x" localSheetId="58">'326'!$D$77:$G$77</definedName>
    <definedName name="OSRRefD20_9x" localSheetId="51">'330'!$D$74:$G$74</definedName>
    <definedName name="OSRRefD20_9x" localSheetId="56">'331'!$D$111:$G$111</definedName>
    <definedName name="OSRRefD20_9x" localSheetId="59">'332'!$D$65:$G$65</definedName>
    <definedName name="OSRRefD20_9x" localSheetId="73">'405'!$D$56:$G$56</definedName>
    <definedName name="OSRRefD20_9x" localSheetId="75">'411'!$D$54:$G$54</definedName>
    <definedName name="OSRRefD20_9x" localSheetId="76">'412'!$D$56:$G$56</definedName>
    <definedName name="OSRRefD20_9x" localSheetId="77">'413'!$D$58:$G$58</definedName>
    <definedName name="OSRRefD20_9x" localSheetId="78">'414'!$D$58:$G$58</definedName>
    <definedName name="OSRRefD20_9x" localSheetId="79">'415'!$D$61:$G$61</definedName>
    <definedName name="OSRRefD20_9x" localSheetId="80">'418'!$D$57:$G$57</definedName>
    <definedName name="OSRRefD20_9x" localSheetId="88">'433'!$D$61:$G$61</definedName>
    <definedName name="OSRRefD20_9x" localSheetId="90">'444'!$D$61:$G$61</definedName>
    <definedName name="OSRRefD20_9x" localSheetId="91">'450'!$D$57:$G$57</definedName>
    <definedName name="OSRRefD20_9x" localSheetId="72">'491'!$D$64:$G$64</definedName>
    <definedName name="OSRRefD20_9x" localSheetId="86">'492'!$D$61:$G$61</definedName>
    <definedName name="OSRRefD20_9x" localSheetId="93">'501'!$D$57:$G$57</definedName>
    <definedName name="OSRRefD20_9x" localSheetId="39">'Div 2'!$D$56:$G$56</definedName>
    <definedName name="OSRRefD20_9x" localSheetId="47">'Div 3'!$D$153:$G$153</definedName>
    <definedName name="OSRRefD20_9x" localSheetId="70">'Div 4'!$D$67:$G$67</definedName>
    <definedName name="OSRRefD20_9x" localSheetId="92">'Div 5'!$D$57:$G$57</definedName>
    <definedName name="OSRRefD20_9x" localSheetId="61">'Div 6'!$D$84:$G$84</definedName>
    <definedName name="OSRRefD20_9x" localSheetId="2">Summary!$D$181:$G$181</definedName>
    <definedName name="OSRRefD20x_0" localSheetId="40">'200'!$D$18,'200'!$D$20,'200'!$D$22,'200'!$D$24,'200'!$D$26</definedName>
    <definedName name="OSRRefD20x_0" localSheetId="41">'201'!$D$18,'201'!$D$28,'201'!$D$39,'201'!$D$41,'201'!$D$43,'201'!$D$46,'201'!$D$48,'201'!$D$50,'201'!$D$52,'201'!$D$54,'201'!$D$56,'201'!$D$60,'201'!$D$62,'201'!$D$64,'201'!$D$68,'201'!$D$70,'201'!$D$72</definedName>
    <definedName name="OSRRefD20x_0" localSheetId="42">'202'!$D$18,'202'!$D$28,'202'!$D$39,'202'!$D$41,'202'!$D$43,'202'!$D$46,'202'!$D$48,'202'!$D$50,'202'!$D$53,'202'!$D$55,'202'!$D$58,'202'!$D$60,'202'!$D$62</definedName>
    <definedName name="OSRRefD20x_0" localSheetId="43">'203'!$D$18,'203'!$D$29,'203'!$D$40,'203'!$D$42,'203'!$D$44,'203'!$D$46,'203'!$D$48,'203'!$D$50,'203'!$D$52,'203'!$D$56,'203'!$D$58,'203'!$D$60,'203'!$D$64,'203'!$D$66</definedName>
    <definedName name="OSRRefD20x_0" localSheetId="44">'204'!$D$18,'204'!$D$29,'204'!$D$40,'204'!$D$42,'204'!$D$44,'204'!$D$48,'204'!$D$50,'204'!$D$52,'204'!$D$55</definedName>
    <definedName name="OSRRefD20x_0" localSheetId="45">'205'!$D$18,'205'!$D$28,'205'!$D$39,'205'!$D$41,'205'!$D$43,'205'!$D$47,'205'!$D$49,'205'!$D$51</definedName>
    <definedName name="OSRRefD20x_0" localSheetId="46">'206'!$D$18,'206'!$D$28,'206'!$D$39,'206'!$D$41,'206'!$D$43,'206'!$D$45,'206'!$D$47</definedName>
    <definedName name="OSRRefD20x_0" localSheetId="48">'300'!$D$110,'300'!$D$121,'300'!$D$132,'300'!$D$134,'300'!$D$137,'300'!$D$139,'300'!$D$142,'300'!$D$145,'300'!$D$147,'300'!$D$149,'300'!$D$151,'300'!$D$154,'300'!$D$157,'300'!$D$159,'300'!$D$161,'300'!$D$163,'300'!$D$165,'300'!$D$170,'300'!$D$175,'300'!$D$180,'300'!$D$183,'300'!$D$193,'300'!$D$196,'300'!$D$198,'300'!$D$202</definedName>
    <definedName name="OSRRefD20x_0" localSheetId="49">'300 &amp; 317'!$D$132,'300 &amp; 317'!$D$143,'300 &amp; 317'!$D$154,'300 &amp; 317'!$D$156,'300 &amp; 317'!$D$159,'300 &amp; 317'!$D$161,'300 &amp; 317'!$D$164,'300 &amp; 317'!$D$167,'300 &amp; 317'!$D$169,'300 &amp; 317'!$D$171,'300 &amp; 317'!$D$173,'300 &amp; 317'!$D$176,'300 &amp; 317'!$D$179,'300 &amp; 317'!$D$181,'300 &amp; 317'!$D$183,'300 &amp; 317'!$D$185,'300 &amp; 317'!$D$187,'300 &amp; 317'!$D$192,'300 &amp; 317'!$D$197,'300 &amp; 317'!$D$202,'300 &amp; 317'!$D$205,'300 &amp; 317'!$D$215,'300 &amp; 317'!$D$218,'300 &amp; 317'!$D$220,'300 &amp; 317'!$D$224</definedName>
    <definedName name="OSRRefD20x_0" localSheetId="50">'301'!$D$18,'301'!$D$28,'301'!$D$39,'301'!$D$42,'301'!$D$44,'301'!$D$47,'301'!$D$49,'301'!$D$51,'301'!$D$53,'301'!$D$55,'301'!$D$57,'301'!$D$59,'301'!$D$61,'301'!$D$63,'301'!$D$68,'301'!$D$72,'301'!$D$74,'301'!$D$82,'301'!$D$84,'301'!$D$86,'301'!$D$88</definedName>
    <definedName name="OSRRefD20x_0" localSheetId="52">'307'!$D$37,'307'!$D$46,'307'!$D$57,'307'!$D$59,'307'!$D$61,'307'!$D$63,'307'!$D$66,'307'!$D$69,'307'!$D$71,'307'!$D$74,'307'!$D$77,'307'!$D$82,'307'!$D$85</definedName>
    <definedName name="OSRRefD20x_0" localSheetId="53">'308'!$D$52,'308'!$D$63,'308'!$D$74,'308'!$D$76,'308'!$D$78,'308'!$D$80,'308'!$D$82,'308'!$D$84,'308'!$D$87,'308'!$D$89,'308'!$D$93,'308'!$D$96,'308'!$D$100,'308'!$D$103,'308'!$D$105</definedName>
    <definedName name="OSRRefD20x_0" localSheetId="64">'309'!$D$20,'309'!$D$29,'309'!$D$40,'309'!$D$42,'309'!$D$44,'309'!$D$46,'309'!$D$49,'309'!$D$52,'309'!$D$56</definedName>
    <definedName name="OSRRefD20x_0" localSheetId="63">'310'!$D$25,'310'!$D$35,'310'!$D$46,'310'!$D$48,'310'!$D$50,'310'!$D$52,'310'!$D$55,'310'!$D$57,'310'!$D$59,'310'!$D$61,'310'!$D$63,'310'!$D$65,'310'!$D$67,'310'!$D$69,'310'!$D$72,'310'!$D$74,'310'!$D$77,'310'!$D$85,'310'!$D$88,'310'!$D$90</definedName>
    <definedName name="OSRRefD20x_0" localSheetId="71">'310 &amp; 491'!$D$30,'310 &amp; 491'!$D$40,'310 &amp; 491'!$D$51,'310 &amp; 491'!$D$53,'310 &amp; 491'!$D$55,'310 &amp; 491'!$D$57,'310 &amp; 491'!$D$61,'310 &amp; 491'!$D$63,'310 &amp; 491'!$D$65,'310 &amp; 491'!$D$68,'310 &amp; 491'!$D$70,'310 &amp; 491'!$D$72,'310 &amp; 491'!$D$74,'310 &amp; 491'!$D$76,'310 &amp; 491'!$D$78,'310 &amp; 491'!$D$82,'310 &amp; 491'!$D$85,'310 &amp; 491'!$D$91,'310 &amp; 491'!$D$94,'310 &amp; 491'!$D$106,'310 &amp; 491'!$D$109,'310 &amp; 491'!$D$111,'310 &amp; 491'!$D$113</definedName>
    <definedName name="OSRRefD20x_0" localSheetId="54">'311'!$D$51,'311'!$D$62,'311'!$D$73,'311'!$D$75,'311'!$D$77,'311'!$D$79,'311'!$D$81,'311'!$D$83,'311'!$D$86,'311'!$D$88,'311'!$D$92,'311'!$D$95,'311'!$D$99,'311'!$D$102,'311'!$D$104</definedName>
    <definedName name="OSRRefD20x_0" localSheetId="65">'313'!$D$19,'313'!$D$29,'313'!$D$40,'313'!$D$42,'313'!$D$44,'313'!$D$46,'313'!$D$48,'313'!$D$50</definedName>
    <definedName name="OSRRefD20x_0" localSheetId="57">'315'!$D$75,'315'!$D$85,'315'!$D$96,'315'!$D$98,'315'!$D$100,'315'!$D$102,'315'!$D$104,'315'!$D$106,'315'!$D$109,'315'!$D$111,'315'!$D$113,'315'!$D$115,'315'!$D$117,'315'!$D$121,'315'!$D$124,'315'!$D$132,'315'!$D$134,'315'!$D$136</definedName>
    <definedName name="OSRRefD20x_0" localSheetId="60">'316'!$D$28,'316'!$D$38,'316'!$D$49,'316'!$D$51,'316'!$D$53,'316'!$D$55,'316'!$D$57,'316'!$D$60,'316'!$D$63,'316'!$D$65,'316'!$D$71,'316'!$D$73</definedName>
    <definedName name="OSRRefD20x_0" localSheetId="62">'317'!$D$47,'317'!$D$58,'317'!$D$69,'317'!$D$71,'317'!$D$73,'317'!$D$75,'317'!$D$77,'317'!$D$80,'317'!$D$82,'317'!$D$84,'317'!$D$86,'317'!$D$90,'317'!$D$92</definedName>
    <definedName name="OSRRefD20x_0" localSheetId="66">'321'!$D$21,'321'!$D$31,'321'!$D$42,'321'!$D$44,'321'!$D$46,'321'!$D$48,'321'!$D$50,'321'!$D$53,'321'!$D$55,'321'!$D$58,'321'!$D$61,'321'!$D$64,'321'!$D$66</definedName>
    <definedName name="OSRRefD20x_0" localSheetId="67">'322'!$D$21,'322'!$D$30,'322'!$D$41,'322'!$D$43,'322'!$D$45,'322'!$D$47,'322'!$D$49,'322'!$D$52,'322'!$D$55,'322'!$D$60,'322'!$D$62</definedName>
    <definedName name="OSRRefD20x_0" localSheetId="55">'324'!$D$25,'324'!$D$34</definedName>
    <definedName name="OSRRefD20x_0" localSheetId="68">'325'!$D$20,'325'!$D$29,'325'!$D$40,'325'!$D$42,'325'!$D$44,'325'!$D$46,'325'!$D$49,'325'!$D$51,'325'!$D$53,'325'!$D$55,'325'!$D$57,'325'!$D$59,'325'!$D$61,'325'!$D$67,'325'!$D$70</definedName>
    <definedName name="OSRRefD20x_0" localSheetId="58">'326'!$D$42,'326'!$D$52,'326'!$D$63,'326'!$D$65,'326'!$D$67,'326'!$D$69,'326'!$D$71,'326'!$D$73,'326'!$D$75,'326'!$D$77,'326'!$D$79,'326'!$D$81,'326'!$D$83,'326'!$D$86,'326'!$D$90,'326'!$D$93,'326'!$D$100,'326'!$D$103,'326'!$D$105,'326'!$D$108</definedName>
    <definedName name="OSRRefD20x_0" localSheetId="69">'327'!$D$22</definedName>
    <definedName name="OSRRefD20x_0" localSheetId="51">'330'!$D$37,'330'!$D$46,'330'!$D$57,'330'!$D$59,'330'!$D$61,'330'!$D$63,'330'!$D$66,'330'!$D$69,'330'!$D$71,'330'!$D$74,'330'!$D$77,'330'!$D$82,'330'!$D$85</definedName>
    <definedName name="OSRRefD20x_0" localSheetId="56">'331'!$D$75,'331'!$D$85,'331'!$D$96,'331'!$D$98,'331'!$D$100,'331'!$D$102,'331'!$D$104,'331'!$D$106,'331'!$D$109,'331'!$D$111,'331'!$D$113,'331'!$D$115,'331'!$D$117,'331'!$D$119,'331'!$D$122,'331'!$D$126,'331'!$D$130,'331'!$D$133,'331'!$D$142,'331'!$D$145,'331'!$D$147,'331'!$D$150</definedName>
    <definedName name="OSRRefD20x_0" localSheetId="59">'332'!$D$28,'332'!$D$38,'332'!$D$49,'332'!$D$51,'332'!$D$53,'332'!$D$55,'332'!$D$57,'332'!$D$60,'332'!$D$63,'332'!$D$65,'332'!$D$71,'332'!$D$73</definedName>
    <definedName name="OSRRefD20x_0" localSheetId="73">'405'!$D$21,'405'!$D$30,'405'!$D$41,'405'!$D$43,'405'!$D$45,'405'!$D$48,'405'!$D$50,'405'!$D$52,'405'!$D$54,'405'!$D$56,'405'!$D$59,'405'!$D$61,'405'!$D$66,'405'!$D$68,'405'!$D$77,'405'!$D$79,'405'!$D$81</definedName>
    <definedName name="OSRRefD20x_0" localSheetId="74">'406'!$D$18,'406'!$D$20,'406'!$D$22,'406'!$D$24,'406'!$D$26</definedName>
    <definedName name="OSRRefD20x_0" localSheetId="75">'411'!$D$18,'411'!$D$28,'411'!$D$39,'411'!$D$41,'411'!$D$43,'411'!$D$46,'411'!$D$48,'411'!$D$50,'411'!$D$52,'411'!$D$54,'411'!$D$57,'411'!$D$62,'411'!$D$64,'411'!$D$71,'411'!$D$73,'411'!$D$75</definedName>
    <definedName name="OSRRefD20x_0" localSheetId="76">'412'!$D$20,'412'!$D$29,'412'!$D$40,'412'!$D$42,'412'!$D$44,'412'!$D$47,'412'!$D$49,'412'!$D$51,'412'!$D$53,'412'!$D$56,'412'!$D$58,'412'!$D$63,'412'!$D$69,'412'!$D$72</definedName>
    <definedName name="OSRRefD20x_0" localSheetId="77">'413'!$D$21,'413'!$D$31,'413'!$D$42,'413'!$D$44,'413'!$D$46,'413'!$D$48,'413'!$D$50,'413'!$D$52,'413'!$D$54,'413'!$D$58,'413'!$D$61,'413'!$D$69</definedName>
    <definedName name="OSRRefD20x_0" localSheetId="78">'414'!$D$22,'414'!$D$32,'414'!$D$43,'414'!$D$45,'414'!$D$47,'414'!$D$49,'414'!$D$51,'414'!$D$53,'414'!$D$55,'414'!$D$58,'414'!$D$60,'414'!$D$62,'414'!$D$64,'414'!$D$68,'414'!$D$70</definedName>
    <definedName name="OSRRefD20x_0" localSheetId="79">'415'!$D$25,'415'!$D$35,'415'!$D$46,'415'!$D$48,'415'!$D$50,'415'!$D$52,'415'!$D$55,'415'!$D$57,'415'!$D$59,'415'!$D$61,'415'!$D$63,'415'!$D$65,'415'!$D$68,'415'!$D$73,'415'!$D$75,'415'!$D$82,'415'!$D$85</definedName>
    <definedName name="OSRRefD20x_0" localSheetId="80">'418'!$D$21,'418'!$D$30,'418'!$D$41,'418'!$D$43,'418'!$D$45,'418'!$D$48,'418'!$D$50,'418'!$D$52,'418'!$D$54,'418'!$D$57,'418'!$D$60,'418'!$D$63,'418'!$D$73,'418'!$D$76</definedName>
    <definedName name="OSRRefD20x_0" localSheetId="82">'423'!$D$18,'423'!$D$27,'423'!$D$38,'423'!$D$40,'423'!$D$43,'423'!$D$45,'423'!$D$47</definedName>
    <definedName name="OSRRefD20x_0" localSheetId="83">'424'!$D$18,'424'!$D$20,'424'!$D$22,'424'!$D$24</definedName>
    <definedName name="OSRRefD20x_0" localSheetId="84">'425'!$D$18,'425'!$D$24,'425'!$D$26,'425'!$D$28,'425'!$D$30</definedName>
    <definedName name="OSRRefD20x_0" localSheetId="87">'430'!$D$18,'430'!$D$28,'430'!$D$39,'430'!$D$41,'430'!$D$43,'430'!$D$47,'430'!$D$50,'430'!$D$52</definedName>
    <definedName name="OSRRefD20x_0" localSheetId="88">'433'!$D$25,'433'!$D$36,'433'!$D$47,'433'!$D$49,'433'!$D$51,'433'!$D$53,'433'!$D$55,'433'!$D$57,'433'!$D$59,'433'!$D$61,'433'!$D$63,'433'!$D$65,'433'!$D$69,'433'!$D$74,'433'!$D$83,'433'!$D$85</definedName>
    <definedName name="OSRRefD20x_0" localSheetId="89">'435'!$D$18</definedName>
    <definedName name="OSRRefD20x_0" localSheetId="90">'444'!$D$25,'444'!$D$36,'444'!$D$47,'444'!$D$49,'444'!$D$51,'444'!$D$53,'444'!$D$55,'444'!$D$57,'444'!$D$59,'444'!$D$61,'444'!$D$63,'444'!$D$65,'444'!$D$69,'444'!$D$73,'444'!$D$82,'444'!$D$85</definedName>
    <definedName name="OSRRefD20x_0" localSheetId="91">'450'!$D$21,'450'!$D$32,'450'!$D$43,'450'!$D$45,'450'!$D$47,'450'!$D$49,'450'!$D$51,'450'!$D$53,'450'!$D$55,'450'!$D$57,'450'!$D$59,'450'!$D$61,'450'!$D$63,'450'!$D$65,'450'!$D$69,'450'!$D$76,'450'!$D$79</definedName>
    <definedName name="OSRRefD20x_0" localSheetId="72">'491'!$D$27,'491'!$D$37,'491'!$D$48,'491'!$D$50,'491'!$D$52,'491'!$D$54,'491'!$D$58,'491'!$D$60,'491'!$D$62,'491'!$D$64,'491'!$D$66,'491'!$D$68,'491'!$D$70,'491'!$D$72,'491'!$D$74,'491'!$D$78,'491'!$D$81,'491'!$D$87,'491'!$D$90,'491'!$D$102,'491'!$D$105,'491'!$D$107,'491'!$D$109</definedName>
    <definedName name="OSRRefD20x_0" localSheetId="86">'492'!$D$25,'492'!$D$36,'492'!$D$47,'492'!$D$49,'492'!$D$51,'492'!$D$53,'492'!$D$55,'492'!$D$57,'492'!$D$59,'492'!$D$61,'492'!$D$63,'492'!$D$65,'492'!$D$67,'492'!$D$71,'492'!$D$76,'492'!$D$87,'492'!$D$90,'492'!$D$92</definedName>
    <definedName name="OSRRefD20x_0" localSheetId="93">'501'!$D$20,'501'!$D$31,'501'!$D$42,'501'!$D$44,'501'!$D$46,'501'!$D$48,'501'!$D$51,'501'!$D$53,'501'!$D$55,'501'!$D$57,'501'!$D$61,'501'!$D$63,'501'!$D$66,'501'!$D$68</definedName>
    <definedName name="OSRRefD20x_0" localSheetId="39">'Div 2'!$D$18,'Div 2'!$D$30,'Div 2'!$D$41,'Div 2'!$D$43,'Div 2'!$D$45,'Div 2'!$D$47,'Div 2'!$D$49,'Div 2'!$D$52,'Div 2'!$D$54,'Div 2'!$D$56,'Div 2'!$D$59,'Div 2'!$D$61,'Div 2'!$D$63,'Div 2'!$D$68,'Div 2'!$D$73,'Div 2'!$D$76,'Div 2'!$D$79,'Div 2'!$D$84,'Div 2'!$D$87,'Div 2'!$D$89</definedName>
    <definedName name="OSRRefD20x_0" localSheetId="47">'Div 3'!$D$114,'Div 3'!$D$125,'Div 3'!$D$136,'Div 3'!$D$138,'Div 3'!$D$141,'Div 3'!$D$143,'Div 3'!$D$146,'Div 3'!$D$149,'Div 3'!$D$151,'Div 3'!$D$153,'Div 3'!$D$155,'Div 3'!$D$158,'Div 3'!$D$161,'Div 3'!$D$163,'Div 3'!$D$165,'Div 3'!$D$167,'Div 3'!$D$169,'Div 3'!$D$171,'Div 3'!$D$176,'Div 3'!$D$181,'Div 3'!$D$186,'Div 3'!$D$189,'Div 3'!$D$199,'Div 3'!$D$202,'Div 3'!$D$204,'Div 3'!$D$208</definedName>
    <definedName name="OSRRefD20x_0" localSheetId="70">'Div 4'!$D$29,'Div 4'!$D$40,'Div 4'!$D$51,'Div 4'!$D$53,'Div 4'!$D$55,'Div 4'!$D$57,'Div 4'!$D$61,'Div 4'!$D$63,'Div 4'!$D$65,'Div 4'!$D$67,'Div 4'!$D$69,'Div 4'!$D$71,'Div 4'!$D$73,'Div 4'!$D$75,'Div 4'!$D$77,'Div 4'!$D$79,'Div 4'!$D$84,'Div 4'!$D$87,'Div 4'!$D$93,'Div 4'!$D$96,'Div 4'!$D$108,'Div 4'!$D$111,'Div 4'!$D$113,'Div 4'!$D$116</definedName>
    <definedName name="OSRRefD20x_0" localSheetId="92">'Div 5'!$D$20,'Div 5'!$D$31,'Div 5'!$D$42,'Div 5'!$D$44,'Div 5'!$D$46,'Div 5'!$D$48,'Div 5'!$D$51,'Div 5'!$D$53,'Div 5'!$D$55,'Div 5'!$D$57,'Div 5'!$D$61,'Div 5'!$D$63,'Div 5'!$D$66,'Div 5'!$D$68</definedName>
    <definedName name="OSRRefD20x_0" localSheetId="61">'Div 6'!$D$47,'Div 6'!$D$58,'Div 6'!$D$69,'Div 6'!$D$71,'Div 6'!$D$73,'Div 6'!$D$75,'Div 6'!$D$77,'Div 6'!$D$80,'Div 6'!$D$82,'Div 6'!$D$84,'Div 6'!$D$86,'Div 6'!$D$90,'Div 6'!$D$92</definedName>
    <definedName name="OSRRefD20x_0" localSheetId="2">Summary!$D$141,Summary!$D$152,Summary!$D$163,Summary!$D$165,Summary!$D$168,Summary!$D$170,Summary!$D$174,Summary!$D$177,Summary!$D$179,Summary!$D$181,Summary!$D$183,Summary!$D$186,Summary!$D$189,Summary!$D$191,Summary!$D$193,Summary!$D$195,Summary!$D$197,Summary!$D$199,Summary!$D$201,Summary!$D$206,Summary!$D$211,Summary!$D$217,Summary!$D$220,Summary!$D$232,Summary!$D$235,Summary!$D$237,Summary!$D$241</definedName>
    <definedName name="OSRRefD20x_1" localSheetId="40">'200'!$E$18,'200'!$E$20,'200'!$E$22,'200'!$E$24,'200'!$E$26</definedName>
    <definedName name="OSRRefD20x_1" localSheetId="41">'201'!$E$18,'201'!$E$28,'201'!$E$39,'201'!$E$41,'201'!$E$43,'201'!$E$46,'201'!$E$48,'201'!$E$50,'201'!$E$52,'201'!$E$54,'201'!$E$56,'201'!$E$60,'201'!$E$62,'201'!$E$64,'201'!$E$68,'201'!$E$70,'201'!$E$72</definedName>
    <definedName name="OSRRefD20x_1" localSheetId="42">'202'!$E$18,'202'!$E$28,'202'!$E$39,'202'!$E$41,'202'!$E$43,'202'!$E$46,'202'!$E$48,'202'!$E$50,'202'!$E$53,'202'!$E$55,'202'!$E$58,'202'!$E$60,'202'!$E$62</definedName>
    <definedName name="OSRRefD20x_1" localSheetId="43">'203'!$E$18,'203'!$E$29,'203'!$E$40,'203'!$E$42,'203'!$E$44,'203'!$E$46,'203'!$E$48,'203'!$E$50,'203'!$E$52,'203'!$E$56,'203'!$E$58,'203'!$E$60,'203'!$E$64,'203'!$E$66</definedName>
    <definedName name="OSRRefD20x_1" localSheetId="44">'204'!$E$18,'204'!$E$29,'204'!$E$40,'204'!$E$42,'204'!$E$44,'204'!$E$48,'204'!$E$50,'204'!$E$52,'204'!$E$55</definedName>
    <definedName name="OSRRefD20x_1" localSheetId="45">'205'!$E$18,'205'!$E$28,'205'!$E$39,'205'!$E$41,'205'!$E$43,'205'!$E$47,'205'!$E$49,'205'!$E$51</definedName>
    <definedName name="OSRRefD20x_1" localSheetId="46">'206'!$E$18,'206'!$E$28,'206'!$E$39,'206'!$E$41,'206'!$E$43,'206'!$E$45,'206'!$E$47</definedName>
    <definedName name="OSRRefD20x_1" localSheetId="48">'300'!$E$110,'300'!$E$121,'300'!$E$132,'300'!$E$134,'300'!$E$137,'300'!$E$139,'300'!$E$142,'300'!$E$145,'300'!$E$147,'300'!$E$149,'300'!$E$151,'300'!$E$154,'300'!$E$157,'300'!$E$159,'300'!$E$161,'300'!$E$163,'300'!$E$165,'300'!$E$170,'300'!$E$175,'300'!$E$180,'300'!$E$183,'300'!$E$193,'300'!$E$196,'300'!$E$198,'300'!$E$202</definedName>
    <definedName name="OSRRefD20x_1" localSheetId="49">'300 &amp; 317'!$E$132,'300 &amp; 317'!$E$143,'300 &amp; 317'!$E$154,'300 &amp; 317'!$E$156,'300 &amp; 317'!$E$159,'300 &amp; 317'!$E$161,'300 &amp; 317'!$E$164,'300 &amp; 317'!$E$167,'300 &amp; 317'!$E$169,'300 &amp; 317'!$E$171,'300 &amp; 317'!$E$173,'300 &amp; 317'!$E$176,'300 &amp; 317'!$E$179,'300 &amp; 317'!$E$181,'300 &amp; 317'!$E$183,'300 &amp; 317'!$E$185,'300 &amp; 317'!$E$187,'300 &amp; 317'!$E$192,'300 &amp; 317'!$E$197,'300 &amp; 317'!$E$202,'300 &amp; 317'!$E$205,'300 &amp; 317'!$E$215,'300 &amp; 317'!$E$218,'300 &amp; 317'!$E$220,'300 &amp; 317'!$E$224</definedName>
    <definedName name="OSRRefD20x_1" localSheetId="50">'301'!$E$18,'301'!$E$28,'301'!$E$39,'301'!$E$42,'301'!$E$44,'301'!$E$47,'301'!$E$49,'301'!$E$51,'301'!$E$53,'301'!$E$55,'301'!$E$57,'301'!$E$59,'301'!$E$61,'301'!$E$63,'301'!$E$68,'301'!$E$72,'301'!$E$74,'301'!$E$82,'301'!$E$84,'301'!$E$86,'301'!$E$88</definedName>
    <definedName name="OSRRefD20x_1" localSheetId="52">'307'!$E$37,'307'!$E$46,'307'!$E$57,'307'!$E$59,'307'!$E$61,'307'!$E$63,'307'!$E$66,'307'!$E$69,'307'!$E$71,'307'!$E$74,'307'!$E$77,'307'!$E$82,'307'!$E$85</definedName>
    <definedName name="OSRRefD20x_1" localSheetId="53">'308'!$E$52,'308'!$E$63,'308'!$E$74,'308'!$E$76,'308'!$E$78,'308'!$E$80,'308'!$E$82,'308'!$E$84,'308'!$E$87,'308'!$E$89,'308'!$E$93,'308'!$E$96,'308'!$E$100,'308'!$E$103,'308'!$E$105</definedName>
    <definedName name="OSRRefD20x_1" localSheetId="64">'309'!$E$20,'309'!$E$29,'309'!$E$40,'309'!$E$42,'309'!$E$44,'309'!$E$46,'309'!$E$49,'309'!$E$52,'309'!$E$56</definedName>
    <definedName name="OSRRefD20x_1" localSheetId="63">'310'!$E$25,'310'!$E$35,'310'!$E$46,'310'!$E$48,'310'!$E$50,'310'!$E$52,'310'!$E$55,'310'!$E$57,'310'!$E$59,'310'!$E$61,'310'!$E$63,'310'!$E$65,'310'!$E$67,'310'!$E$69,'310'!$E$72,'310'!$E$74,'310'!$E$77,'310'!$E$85,'310'!$E$88,'310'!$E$90</definedName>
    <definedName name="OSRRefD20x_1" localSheetId="71">'310 &amp; 491'!$E$30,'310 &amp; 491'!$E$40,'310 &amp; 491'!$E$51,'310 &amp; 491'!$E$53,'310 &amp; 491'!$E$55,'310 &amp; 491'!$E$57,'310 &amp; 491'!$E$61,'310 &amp; 491'!$E$63,'310 &amp; 491'!$E$65,'310 &amp; 491'!$E$68,'310 &amp; 491'!$E$70,'310 &amp; 491'!$E$72,'310 &amp; 491'!$E$74,'310 &amp; 491'!$E$76,'310 &amp; 491'!$E$78,'310 &amp; 491'!$E$82,'310 &amp; 491'!$E$85,'310 &amp; 491'!$E$91,'310 &amp; 491'!$E$94,'310 &amp; 491'!$E$106,'310 &amp; 491'!$E$109,'310 &amp; 491'!$E$111,'310 &amp; 491'!$E$113</definedName>
    <definedName name="OSRRefD20x_1" localSheetId="54">'311'!$E$51,'311'!$E$62,'311'!$E$73,'311'!$E$75,'311'!$E$77,'311'!$E$79,'311'!$E$81,'311'!$E$83,'311'!$E$86,'311'!$E$88,'311'!$E$92,'311'!$E$95,'311'!$E$99,'311'!$E$102,'311'!$E$104</definedName>
    <definedName name="OSRRefD20x_1" localSheetId="65">'313'!$E$19,'313'!$E$29,'313'!$E$40,'313'!$E$42,'313'!$E$44,'313'!$E$46,'313'!$E$48,'313'!$E$50</definedName>
    <definedName name="OSRRefD20x_1" localSheetId="57">'315'!$E$75,'315'!$E$85,'315'!$E$96,'315'!$E$98,'315'!$E$100,'315'!$E$102,'315'!$E$104,'315'!$E$106,'315'!$E$109,'315'!$E$111,'315'!$E$113,'315'!$E$115,'315'!$E$117,'315'!$E$121,'315'!$E$124,'315'!$E$132,'315'!$E$134,'315'!$E$136</definedName>
    <definedName name="OSRRefD20x_1" localSheetId="60">'316'!$E$28,'316'!$E$38,'316'!$E$49,'316'!$E$51,'316'!$E$53,'316'!$E$55,'316'!$E$57,'316'!$E$60,'316'!$E$63,'316'!$E$65,'316'!$E$71,'316'!$E$73</definedName>
    <definedName name="OSRRefD20x_1" localSheetId="62">'317'!$E$47,'317'!$E$58,'317'!$E$69,'317'!$E$71,'317'!$E$73,'317'!$E$75,'317'!$E$77,'317'!$E$80,'317'!$E$82,'317'!$E$84,'317'!$E$86,'317'!$E$90,'317'!$E$92</definedName>
    <definedName name="OSRRefD20x_1" localSheetId="66">'321'!$E$21,'321'!$E$31,'321'!$E$42,'321'!$E$44,'321'!$E$46,'321'!$E$48,'321'!$E$50,'321'!$E$53,'321'!$E$55,'321'!$E$58,'321'!$E$61,'321'!$E$64,'321'!$E$66</definedName>
    <definedName name="OSRRefD20x_1" localSheetId="67">'322'!$E$21,'322'!$E$30,'322'!$E$41,'322'!$E$43,'322'!$E$45,'322'!$E$47,'322'!$E$49,'322'!$E$52,'322'!$E$55,'322'!$E$60,'322'!$E$62</definedName>
    <definedName name="OSRRefD20x_1" localSheetId="55">'324'!$E$25,'324'!$E$34</definedName>
    <definedName name="OSRRefD20x_1" localSheetId="68">'325'!$E$20,'325'!$E$29,'325'!$E$40,'325'!$E$42,'325'!$E$44,'325'!$E$46,'325'!$E$49,'325'!$E$51,'325'!$E$53,'325'!$E$55,'325'!$E$57,'325'!$E$59,'325'!$E$61,'325'!$E$67,'325'!$E$70</definedName>
    <definedName name="OSRRefD20x_1" localSheetId="58">'326'!$E$42,'326'!$E$52,'326'!$E$63,'326'!$E$65,'326'!$E$67,'326'!$E$69,'326'!$E$71,'326'!$E$73,'326'!$E$75,'326'!$E$77,'326'!$E$79,'326'!$E$81,'326'!$E$83,'326'!$E$86,'326'!$E$90,'326'!$E$93,'326'!$E$100,'326'!$E$103,'326'!$E$105,'326'!$E$108</definedName>
    <definedName name="OSRRefD20x_1" localSheetId="69">'327'!$E$22</definedName>
    <definedName name="OSRRefD20x_1" localSheetId="51">'330'!$E$37,'330'!$E$46,'330'!$E$57,'330'!$E$59,'330'!$E$61,'330'!$E$63,'330'!$E$66,'330'!$E$69,'330'!$E$71,'330'!$E$74,'330'!$E$77,'330'!$E$82,'330'!$E$85</definedName>
    <definedName name="OSRRefD20x_1" localSheetId="56">'331'!$E$75,'331'!$E$85,'331'!$E$96,'331'!$E$98,'331'!$E$100,'331'!$E$102,'331'!$E$104,'331'!$E$106,'331'!$E$109,'331'!$E$111,'331'!$E$113,'331'!$E$115,'331'!$E$117,'331'!$E$119,'331'!$E$122,'331'!$E$126,'331'!$E$130,'331'!$E$133,'331'!$E$142,'331'!$E$145,'331'!$E$147,'331'!$E$150</definedName>
    <definedName name="OSRRefD20x_1" localSheetId="59">'332'!$E$28,'332'!$E$38,'332'!$E$49,'332'!$E$51,'332'!$E$53,'332'!$E$55,'332'!$E$57,'332'!$E$60,'332'!$E$63,'332'!$E$65,'332'!$E$71,'332'!$E$73</definedName>
    <definedName name="OSRRefD20x_1" localSheetId="73">'405'!$E$21,'405'!$E$30,'405'!$E$41,'405'!$E$43,'405'!$E$45,'405'!$E$48,'405'!$E$50,'405'!$E$52,'405'!$E$54,'405'!$E$56,'405'!$E$59,'405'!$E$61,'405'!$E$66,'405'!$E$68,'405'!$E$77,'405'!$E$79,'405'!$E$81</definedName>
    <definedName name="OSRRefD20x_1" localSheetId="74">'406'!$E$18,'406'!$E$20,'406'!$E$22,'406'!$E$24,'406'!$E$26</definedName>
    <definedName name="OSRRefD20x_1" localSheetId="75">'411'!$E$18,'411'!$E$28,'411'!$E$39,'411'!$E$41,'411'!$E$43,'411'!$E$46,'411'!$E$48,'411'!$E$50,'411'!$E$52,'411'!$E$54,'411'!$E$57,'411'!$E$62,'411'!$E$64,'411'!$E$71,'411'!$E$73,'411'!$E$75</definedName>
    <definedName name="OSRRefD20x_1" localSheetId="76">'412'!$E$20,'412'!$E$29,'412'!$E$40,'412'!$E$42,'412'!$E$44,'412'!$E$47,'412'!$E$49,'412'!$E$51,'412'!$E$53,'412'!$E$56,'412'!$E$58,'412'!$E$63,'412'!$E$69,'412'!$E$72</definedName>
    <definedName name="OSRRefD20x_1" localSheetId="77">'413'!$E$21,'413'!$E$31,'413'!$E$42,'413'!$E$44,'413'!$E$46,'413'!$E$48,'413'!$E$50,'413'!$E$52,'413'!$E$54,'413'!$E$58,'413'!$E$61,'413'!$E$69</definedName>
    <definedName name="OSRRefD20x_1" localSheetId="78">'414'!$E$22,'414'!$E$32,'414'!$E$43,'414'!$E$45,'414'!$E$47,'414'!$E$49,'414'!$E$51,'414'!$E$53,'414'!$E$55,'414'!$E$58,'414'!$E$60,'414'!$E$62,'414'!$E$64,'414'!$E$68,'414'!$E$70</definedName>
    <definedName name="OSRRefD20x_1" localSheetId="79">'415'!$E$25,'415'!$E$35,'415'!$E$46,'415'!$E$48,'415'!$E$50,'415'!$E$52,'415'!$E$55,'415'!$E$57,'415'!$E$59,'415'!$E$61,'415'!$E$63,'415'!$E$65,'415'!$E$68,'415'!$E$73,'415'!$E$75,'415'!$E$82,'415'!$E$85</definedName>
    <definedName name="OSRRefD20x_1" localSheetId="80">'418'!$E$21,'418'!$E$30,'418'!$E$41,'418'!$E$43,'418'!$E$45,'418'!$E$48,'418'!$E$50,'418'!$E$52,'418'!$E$54,'418'!$E$57,'418'!$E$60,'418'!$E$63,'418'!$E$73,'418'!$E$76</definedName>
    <definedName name="OSRRefD20x_1" localSheetId="82">'423'!$E$18,'423'!$E$27,'423'!$E$38,'423'!$E$40,'423'!$E$43,'423'!$E$45,'423'!$E$47</definedName>
    <definedName name="OSRRefD20x_1" localSheetId="83">'424'!$E$18,'424'!$E$20,'424'!$E$22,'424'!$E$24</definedName>
    <definedName name="OSRRefD20x_1" localSheetId="84">'425'!$E$18,'425'!$E$24,'425'!$E$26,'425'!$E$28,'425'!$E$30</definedName>
    <definedName name="OSRRefD20x_1" localSheetId="87">'430'!$E$18,'430'!$E$28,'430'!$E$39,'430'!$E$41,'430'!$E$43,'430'!$E$47,'430'!$E$50,'430'!$E$52</definedName>
    <definedName name="OSRRefD20x_1" localSheetId="88">'433'!$E$25,'433'!$E$36,'433'!$E$47,'433'!$E$49,'433'!$E$51,'433'!$E$53,'433'!$E$55,'433'!$E$57,'433'!$E$59,'433'!$E$61,'433'!$E$63,'433'!$E$65,'433'!$E$69,'433'!$E$74,'433'!$E$83,'433'!$E$85</definedName>
    <definedName name="OSRRefD20x_1" localSheetId="89">'435'!$E$18</definedName>
    <definedName name="OSRRefD20x_1" localSheetId="90">'444'!$E$25,'444'!$E$36,'444'!$E$47,'444'!$E$49,'444'!$E$51,'444'!$E$53,'444'!$E$55,'444'!$E$57,'444'!$E$59,'444'!$E$61,'444'!$E$63,'444'!$E$65,'444'!$E$69,'444'!$E$73,'444'!$E$82,'444'!$E$85</definedName>
    <definedName name="OSRRefD20x_1" localSheetId="91">'450'!$E$21,'450'!$E$32,'450'!$E$43,'450'!$E$45,'450'!$E$47,'450'!$E$49,'450'!$E$51,'450'!$E$53,'450'!$E$55,'450'!$E$57,'450'!$E$59,'450'!$E$61,'450'!$E$63,'450'!$E$65,'450'!$E$69,'450'!$E$76,'450'!$E$79</definedName>
    <definedName name="OSRRefD20x_1" localSheetId="72">'491'!$E$27,'491'!$E$37,'491'!$E$48,'491'!$E$50,'491'!$E$52,'491'!$E$54,'491'!$E$58,'491'!$E$60,'491'!$E$62,'491'!$E$64,'491'!$E$66,'491'!$E$68,'491'!$E$70,'491'!$E$72,'491'!$E$74,'491'!$E$78,'491'!$E$81,'491'!$E$87,'491'!$E$90,'491'!$E$102,'491'!$E$105,'491'!$E$107,'491'!$E$109</definedName>
    <definedName name="OSRRefD20x_1" localSheetId="86">'492'!$E$25,'492'!$E$36,'492'!$E$47,'492'!$E$49,'492'!$E$51,'492'!$E$53,'492'!$E$55,'492'!$E$57,'492'!$E$59,'492'!$E$61,'492'!$E$63,'492'!$E$65,'492'!$E$67,'492'!$E$71,'492'!$E$76,'492'!$E$87,'492'!$E$90,'492'!$E$92</definedName>
    <definedName name="OSRRefD20x_1" localSheetId="93">'501'!$E$20,'501'!$E$31,'501'!$E$42,'501'!$E$44,'501'!$E$46,'501'!$E$48,'501'!$E$51,'501'!$E$53,'501'!$E$55,'501'!$E$57,'501'!$E$61,'501'!$E$63,'501'!$E$66,'501'!$E$68</definedName>
    <definedName name="OSRRefD20x_1" localSheetId="39">'Div 2'!$E$18,'Div 2'!$E$30,'Div 2'!$E$41,'Div 2'!$E$43,'Div 2'!$E$45,'Div 2'!$E$47,'Div 2'!$E$49,'Div 2'!$E$52,'Div 2'!$E$54,'Div 2'!$E$56,'Div 2'!$E$59,'Div 2'!$E$61,'Div 2'!$E$63,'Div 2'!$E$68,'Div 2'!$E$73,'Div 2'!$E$76,'Div 2'!$E$79,'Div 2'!$E$84,'Div 2'!$E$87,'Div 2'!$E$89</definedName>
    <definedName name="OSRRefD20x_1" localSheetId="47">'Div 3'!$E$114,'Div 3'!$E$125,'Div 3'!$E$136,'Div 3'!$E$138,'Div 3'!$E$141,'Div 3'!$E$143,'Div 3'!$E$146,'Div 3'!$E$149,'Div 3'!$E$151,'Div 3'!$E$153,'Div 3'!$E$155,'Div 3'!$E$158,'Div 3'!$E$161,'Div 3'!$E$163,'Div 3'!$E$165,'Div 3'!$E$167,'Div 3'!$E$169,'Div 3'!$E$171,'Div 3'!$E$176,'Div 3'!$E$181,'Div 3'!$E$186,'Div 3'!$E$189,'Div 3'!$E$199,'Div 3'!$E$202,'Div 3'!$E$204,'Div 3'!$E$208</definedName>
    <definedName name="OSRRefD20x_1" localSheetId="70">'Div 4'!$E$29,'Div 4'!$E$40,'Div 4'!$E$51,'Div 4'!$E$53,'Div 4'!$E$55,'Div 4'!$E$57,'Div 4'!$E$61,'Div 4'!$E$63,'Div 4'!$E$65,'Div 4'!$E$67,'Div 4'!$E$69,'Div 4'!$E$71,'Div 4'!$E$73,'Div 4'!$E$75,'Div 4'!$E$77,'Div 4'!$E$79,'Div 4'!$E$84,'Div 4'!$E$87,'Div 4'!$E$93,'Div 4'!$E$96,'Div 4'!$E$108,'Div 4'!$E$111,'Div 4'!$E$113,'Div 4'!$E$116</definedName>
    <definedName name="OSRRefD20x_1" localSheetId="92">'Div 5'!$E$20,'Div 5'!$E$31,'Div 5'!$E$42,'Div 5'!$E$44,'Div 5'!$E$46,'Div 5'!$E$48,'Div 5'!$E$51,'Div 5'!$E$53,'Div 5'!$E$55,'Div 5'!$E$57,'Div 5'!$E$61,'Div 5'!$E$63,'Div 5'!$E$66,'Div 5'!$E$68</definedName>
    <definedName name="OSRRefD20x_1" localSheetId="61">'Div 6'!$E$47,'Div 6'!$E$58,'Div 6'!$E$69,'Div 6'!$E$71,'Div 6'!$E$73,'Div 6'!$E$75,'Div 6'!$E$77,'Div 6'!$E$80,'Div 6'!$E$82,'Div 6'!$E$84,'Div 6'!$E$86,'Div 6'!$E$90,'Div 6'!$E$92</definedName>
    <definedName name="OSRRefD20x_1" localSheetId="2">Summary!$E$141,Summary!$E$152,Summary!$E$163,Summary!$E$165,Summary!$E$168,Summary!$E$170,Summary!$E$174,Summary!$E$177,Summary!$E$179,Summary!$E$181,Summary!$E$183,Summary!$E$186,Summary!$E$189,Summary!$E$191,Summary!$E$193,Summary!$E$195,Summary!$E$197,Summary!$E$199,Summary!$E$201,Summary!$E$206,Summary!$E$211,Summary!$E$217,Summary!$E$220,Summary!$E$232,Summary!$E$235,Summary!$E$237,Summary!$E$241</definedName>
    <definedName name="OSRRefD20x_2" localSheetId="40">'200'!$F$18,'200'!$F$20,'200'!$F$22,'200'!$F$24,'200'!$F$26</definedName>
    <definedName name="OSRRefD20x_2" localSheetId="41">'201'!$F$18,'201'!$F$28,'201'!$F$39,'201'!$F$41,'201'!$F$43,'201'!$F$46,'201'!$F$48,'201'!$F$50,'201'!$F$52,'201'!$F$54,'201'!$F$56,'201'!$F$60,'201'!$F$62,'201'!$F$64,'201'!$F$68,'201'!$F$70,'201'!$F$72</definedName>
    <definedName name="OSRRefD20x_2" localSheetId="42">'202'!$F$18,'202'!$F$28,'202'!$F$39,'202'!$F$41,'202'!$F$43,'202'!$F$46,'202'!$F$48,'202'!$F$50,'202'!$F$53,'202'!$F$55,'202'!$F$58,'202'!$F$60,'202'!$F$62</definedName>
    <definedName name="OSRRefD20x_2" localSheetId="43">'203'!$F$18,'203'!$F$29,'203'!$F$40,'203'!$F$42,'203'!$F$44,'203'!$F$46,'203'!$F$48,'203'!$F$50,'203'!$F$52,'203'!$F$56,'203'!$F$58,'203'!$F$60,'203'!$F$64,'203'!$F$66</definedName>
    <definedName name="OSRRefD20x_2" localSheetId="44">'204'!$F$18,'204'!$F$29,'204'!$F$40,'204'!$F$42,'204'!$F$44,'204'!$F$48,'204'!$F$50,'204'!$F$52,'204'!$F$55</definedName>
    <definedName name="OSRRefD20x_2" localSheetId="45">'205'!$F$18,'205'!$F$28,'205'!$F$39,'205'!$F$41,'205'!$F$43,'205'!$F$47,'205'!$F$49,'205'!$F$51</definedName>
    <definedName name="OSRRefD20x_2" localSheetId="46">'206'!$F$18,'206'!$F$28,'206'!$F$39,'206'!$F$41,'206'!$F$43,'206'!$F$45,'206'!$F$47</definedName>
    <definedName name="OSRRefD20x_2" localSheetId="48">'300'!$F$110,'300'!$F$121,'300'!$F$132,'300'!$F$134,'300'!$F$137,'300'!$F$139,'300'!$F$142,'300'!$F$145,'300'!$F$147,'300'!$F$149,'300'!$F$151,'300'!$F$154,'300'!$F$157,'300'!$F$159,'300'!$F$161,'300'!$F$163,'300'!$F$165,'300'!$F$170,'300'!$F$175,'300'!$F$180,'300'!$F$183,'300'!$F$193,'300'!$F$196,'300'!$F$198,'300'!$F$202</definedName>
    <definedName name="OSRRefD20x_2" localSheetId="49">'300 &amp; 317'!$F$132,'300 &amp; 317'!$F$143,'300 &amp; 317'!$F$154,'300 &amp; 317'!$F$156,'300 &amp; 317'!$F$159,'300 &amp; 317'!$F$161,'300 &amp; 317'!$F$164,'300 &amp; 317'!$F$167,'300 &amp; 317'!$F$169,'300 &amp; 317'!$F$171,'300 &amp; 317'!$F$173,'300 &amp; 317'!$F$176,'300 &amp; 317'!$F$179,'300 &amp; 317'!$F$181,'300 &amp; 317'!$F$183,'300 &amp; 317'!$F$185,'300 &amp; 317'!$F$187,'300 &amp; 317'!$F$192,'300 &amp; 317'!$F$197,'300 &amp; 317'!$F$202,'300 &amp; 317'!$F$205,'300 &amp; 317'!$F$215,'300 &amp; 317'!$F$218,'300 &amp; 317'!$F$220,'300 &amp; 317'!$F$224</definedName>
    <definedName name="OSRRefD20x_2" localSheetId="50">'301'!$F$18,'301'!$F$28,'301'!$F$39,'301'!$F$42,'301'!$F$44,'301'!$F$47,'301'!$F$49,'301'!$F$51,'301'!$F$53,'301'!$F$55,'301'!$F$57,'301'!$F$59,'301'!$F$61,'301'!$F$63,'301'!$F$68,'301'!$F$72,'301'!$F$74,'301'!$F$82,'301'!$F$84,'301'!$F$86,'301'!$F$88</definedName>
    <definedName name="OSRRefD20x_2" localSheetId="52">'307'!$F$37,'307'!$F$46,'307'!$F$57,'307'!$F$59,'307'!$F$61,'307'!$F$63,'307'!$F$66,'307'!$F$69,'307'!$F$71,'307'!$F$74,'307'!$F$77,'307'!$F$82,'307'!$F$85</definedName>
    <definedName name="OSRRefD20x_2" localSheetId="53">'308'!$F$52,'308'!$F$63,'308'!$F$74,'308'!$F$76,'308'!$F$78,'308'!$F$80,'308'!$F$82,'308'!$F$84,'308'!$F$87,'308'!$F$89,'308'!$F$93,'308'!$F$96,'308'!$F$100,'308'!$F$103,'308'!$F$105</definedName>
    <definedName name="OSRRefD20x_2" localSheetId="64">'309'!$F$20,'309'!$F$29,'309'!$F$40,'309'!$F$42,'309'!$F$44,'309'!$F$46,'309'!$F$49,'309'!$F$52,'309'!$F$56</definedName>
    <definedName name="OSRRefD20x_2" localSheetId="63">'310'!$F$25,'310'!$F$35,'310'!$F$46,'310'!$F$48,'310'!$F$50,'310'!$F$52,'310'!$F$55,'310'!$F$57,'310'!$F$59,'310'!$F$61,'310'!$F$63,'310'!$F$65,'310'!$F$67,'310'!$F$69,'310'!$F$72,'310'!$F$74,'310'!$F$77,'310'!$F$85,'310'!$F$88,'310'!$F$90</definedName>
    <definedName name="OSRRefD20x_2" localSheetId="71">'310 &amp; 491'!$F$30,'310 &amp; 491'!$F$40,'310 &amp; 491'!$F$51,'310 &amp; 491'!$F$53,'310 &amp; 491'!$F$55,'310 &amp; 491'!$F$57,'310 &amp; 491'!$F$61,'310 &amp; 491'!$F$63,'310 &amp; 491'!$F$65,'310 &amp; 491'!$F$68,'310 &amp; 491'!$F$70,'310 &amp; 491'!$F$72,'310 &amp; 491'!$F$74,'310 &amp; 491'!$F$76,'310 &amp; 491'!$F$78,'310 &amp; 491'!$F$82,'310 &amp; 491'!$F$85,'310 &amp; 491'!$F$91,'310 &amp; 491'!$F$94,'310 &amp; 491'!$F$106,'310 &amp; 491'!$F$109,'310 &amp; 491'!$F$111,'310 &amp; 491'!$F$113</definedName>
    <definedName name="OSRRefD20x_2" localSheetId="54">'311'!$F$51,'311'!$F$62,'311'!$F$73,'311'!$F$75,'311'!$F$77,'311'!$F$79,'311'!$F$81,'311'!$F$83,'311'!$F$86,'311'!$F$88,'311'!$F$92,'311'!$F$95,'311'!$F$99,'311'!$F$102,'311'!$F$104</definedName>
    <definedName name="OSRRefD20x_2" localSheetId="65">'313'!$F$19,'313'!$F$29,'313'!$F$40,'313'!$F$42,'313'!$F$44,'313'!$F$46,'313'!$F$48,'313'!$F$50</definedName>
    <definedName name="OSRRefD20x_2" localSheetId="57">'315'!$F$75,'315'!$F$85,'315'!$F$96,'315'!$F$98,'315'!$F$100,'315'!$F$102,'315'!$F$104,'315'!$F$106,'315'!$F$109,'315'!$F$111,'315'!$F$113,'315'!$F$115,'315'!$F$117,'315'!$F$121,'315'!$F$124,'315'!$F$132,'315'!$F$134,'315'!$F$136</definedName>
    <definedName name="OSRRefD20x_2" localSheetId="60">'316'!$F$28,'316'!$F$38,'316'!$F$49,'316'!$F$51,'316'!$F$53,'316'!$F$55,'316'!$F$57,'316'!$F$60,'316'!$F$63,'316'!$F$65,'316'!$F$71,'316'!$F$73</definedName>
    <definedName name="OSRRefD20x_2" localSheetId="62">'317'!$F$47,'317'!$F$58,'317'!$F$69,'317'!$F$71,'317'!$F$73,'317'!$F$75,'317'!$F$77,'317'!$F$80,'317'!$F$82,'317'!$F$84,'317'!$F$86,'317'!$F$90,'317'!$F$92</definedName>
    <definedName name="OSRRefD20x_2" localSheetId="66">'321'!$F$21,'321'!$F$31,'321'!$F$42,'321'!$F$44,'321'!$F$46,'321'!$F$48,'321'!$F$50,'321'!$F$53,'321'!$F$55,'321'!$F$58,'321'!$F$61,'321'!$F$64,'321'!$F$66</definedName>
    <definedName name="OSRRefD20x_2" localSheetId="67">'322'!$F$21,'322'!$F$30,'322'!$F$41,'322'!$F$43,'322'!$F$45,'322'!$F$47,'322'!$F$49,'322'!$F$52,'322'!$F$55,'322'!$F$60,'322'!$F$62</definedName>
    <definedName name="OSRRefD20x_2" localSheetId="55">'324'!$F$25,'324'!$F$34</definedName>
    <definedName name="OSRRefD20x_2" localSheetId="68">'325'!$F$20,'325'!$F$29,'325'!$F$40,'325'!$F$42,'325'!$F$44,'325'!$F$46,'325'!$F$49,'325'!$F$51,'325'!$F$53,'325'!$F$55,'325'!$F$57,'325'!$F$59,'325'!$F$61,'325'!$F$67,'325'!$F$70</definedName>
    <definedName name="OSRRefD20x_2" localSheetId="58">'326'!$F$42,'326'!$F$52,'326'!$F$63,'326'!$F$65,'326'!$F$67,'326'!$F$69,'326'!$F$71,'326'!$F$73,'326'!$F$75,'326'!$F$77,'326'!$F$79,'326'!$F$81,'326'!$F$83,'326'!$F$86,'326'!$F$90,'326'!$F$93,'326'!$F$100,'326'!$F$103,'326'!$F$105,'326'!$F$108</definedName>
    <definedName name="OSRRefD20x_2" localSheetId="69">'327'!$F$22</definedName>
    <definedName name="OSRRefD20x_2" localSheetId="51">'330'!$F$37,'330'!$F$46,'330'!$F$57,'330'!$F$59,'330'!$F$61,'330'!$F$63,'330'!$F$66,'330'!$F$69,'330'!$F$71,'330'!$F$74,'330'!$F$77,'330'!$F$82,'330'!$F$85</definedName>
    <definedName name="OSRRefD20x_2" localSheetId="56">'331'!$F$75,'331'!$F$85,'331'!$F$96,'331'!$F$98,'331'!$F$100,'331'!$F$102,'331'!$F$104,'331'!$F$106,'331'!$F$109,'331'!$F$111,'331'!$F$113,'331'!$F$115,'331'!$F$117,'331'!$F$119,'331'!$F$122,'331'!$F$126,'331'!$F$130,'331'!$F$133,'331'!$F$142,'331'!$F$145,'331'!$F$147,'331'!$F$150</definedName>
    <definedName name="OSRRefD20x_2" localSheetId="59">'332'!$F$28,'332'!$F$38,'332'!$F$49,'332'!$F$51,'332'!$F$53,'332'!$F$55,'332'!$F$57,'332'!$F$60,'332'!$F$63,'332'!$F$65,'332'!$F$71,'332'!$F$73</definedName>
    <definedName name="OSRRefD20x_2" localSheetId="73">'405'!$F$21,'405'!$F$30,'405'!$F$41,'405'!$F$43,'405'!$F$45,'405'!$F$48,'405'!$F$50,'405'!$F$52,'405'!$F$54,'405'!$F$56,'405'!$F$59,'405'!$F$61,'405'!$F$66,'405'!$F$68,'405'!$F$77,'405'!$F$79,'405'!$F$81</definedName>
    <definedName name="OSRRefD20x_2" localSheetId="74">'406'!$F$18,'406'!$F$20,'406'!$F$22,'406'!$F$24,'406'!$F$26</definedName>
    <definedName name="OSRRefD20x_2" localSheetId="75">'411'!$F$18,'411'!$F$28,'411'!$F$39,'411'!$F$41,'411'!$F$43,'411'!$F$46,'411'!$F$48,'411'!$F$50,'411'!$F$52,'411'!$F$54,'411'!$F$57,'411'!$F$62,'411'!$F$64,'411'!$F$71,'411'!$F$73,'411'!$F$75</definedName>
    <definedName name="OSRRefD20x_2" localSheetId="76">'412'!$F$20,'412'!$F$29,'412'!$F$40,'412'!$F$42,'412'!$F$44,'412'!$F$47,'412'!$F$49,'412'!$F$51,'412'!$F$53,'412'!$F$56,'412'!$F$58,'412'!$F$63,'412'!$F$69,'412'!$F$72</definedName>
    <definedName name="OSRRefD20x_2" localSheetId="77">'413'!$F$21,'413'!$F$31,'413'!$F$42,'413'!$F$44,'413'!$F$46,'413'!$F$48,'413'!$F$50,'413'!$F$52,'413'!$F$54,'413'!$F$58,'413'!$F$61,'413'!$F$69</definedName>
    <definedName name="OSRRefD20x_2" localSheetId="78">'414'!$F$22,'414'!$F$32,'414'!$F$43,'414'!$F$45,'414'!$F$47,'414'!$F$49,'414'!$F$51,'414'!$F$53,'414'!$F$55,'414'!$F$58,'414'!$F$60,'414'!$F$62,'414'!$F$64,'414'!$F$68,'414'!$F$70</definedName>
    <definedName name="OSRRefD20x_2" localSheetId="79">'415'!$F$25,'415'!$F$35,'415'!$F$46,'415'!$F$48,'415'!$F$50,'415'!$F$52,'415'!$F$55,'415'!$F$57,'415'!$F$59,'415'!$F$61,'415'!$F$63,'415'!$F$65,'415'!$F$68,'415'!$F$73,'415'!$F$75,'415'!$F$82,'415'!$F$85</definedName>
    <definedName name="OSRRefD20x_2" localSheetId="80">'418'!$F$21,'418'!$F$30,'418'!$F$41,'418'!$F$43,'418'!$F$45,'418'!$F$48,'418'!$F$50,'418'!$F$52,'418'!$F$54,'418'!$F$57,'418'!$F$60,'418'!$F$63,'418'!$F$73,'418'!$F$76</definedName>
    <definedName name="OSRRefD20x_2" localSheetId="82">'423'!$F$18,'423'!$F$27,'423'!$F$38,'423'!$F$40,'423'!$F$43,'423'!$F$45,'423'!$F$47</definedName>
    <definedName name="OSRRefD20x_2" localSheetId="83">'424'!$F$18,'424'!$F$20,'424'!$F$22,'424'!$F$24</definedName>
    <definedName name="OSRRefD20x_2" localSheetId="84">'425'!$F$18,'425'!$F$24,'425'!$F$26,'425'!$F$28,'425'!$F$30</definedName>
    <definedName name="OSRRefD20x_2" localSheetId="87">'430'!$F$18,'430'!$F$28,'430'!$F$39,'430'!$F$41,'430'!$F$43,'430'!$F$47,'430'!$F$50,'430'!$F$52</definedName>
    <definedName name="OSRRefD20x_2" localSheetId="88">'433'!$F$25,'433'!$F$36,'433'!$F$47,'433'!$F$49,'433'!$F$51,'433'!$F$53,'433'!$F$55,'433'!$F$57,'433'!$F$59,'433'!$F$61,'433'!$F$63,'433'!$F$65,'433'!$F$69,'433'!$F$74,'433'!$F$83,'433'!$F$85</definedName>
    <definedName name="OSRRefD20x_2" localSheetId="89">'435'!$F$18</definedName>
    <definedName name="OSRRefD20x_2" localSheetId="90">'444'!$F$25,'444'!$F$36,'444'!$F$47,'444'!$F$49,'444'!$F$51,'444'!$F$53,'444'!$F$55,'444'!$F$57,'444'!$F$59,'444'!$F$61,'444'!$F$63,'444'!$F$65,'444'!$F$69,'444'!$F$73,'444'!$F$82,'444'!$F$85</definedName>
    <definedName name="OSRRefD20x_2" localSheetId="91">'450'!$F$21,'450'!$F$32,'450'!$F$43,'450'!$F$45,'450'!$F$47,'450'!$F$49,'450'!$F$51,'450'!$F$53,'450'!$F$55,'450'!$F$57,'450'!$F$59,'450'!$F$61,'450'!$F$63,'450'!$F$65,'450'!$F$69,'450'!$F$76,'450'!$F$79</definedName>
    <definedName name="OSRRefD20x_2" localSheetId="72">'491'!$F$27,'491'!$F$37,'491'!$F$48,'491'!$F$50,'491'!$F$52,'491'!$F$54,'491'!$F$58,'491'!$F$60,'491'!$F$62,'491'!$F$64,'491'!$F$66,'491'!$F$68,'491'!$F$70,'491'!$F$72,'491'!$F$74,'491'!$F$78,'491'!$F$81,'491'!$F$87,'491'!$F$90,'491'!$F$102,'491'!$F$105,'491'!$F$107,'491'!$F$109</definedName>
    <definedName name="OSRRefD20x_2" localSheetId="86">'492'!$F$25,'492'!$F$36,'492'!$F$47,'492'!$F$49,'492'!$F$51,'492'!$F$53,'492'!$F$55,'492'!$F$57,'492'!$F$59,'492'!$F$61,'492'!$F$63,'492'!$F$65,'492'!$F$67,'492'!$F$71,'492'!$F$76,'492'!$F$87,'492'!$F$90,'492'!$F$92</definedName>
    <definedName name="OSRRefD20x_2" localSheetId="93">'501'!$F$20,'501'!$F$31,'501'!$F$42,'501'!$F$44,'501'!$F$46,'501'!$F$48,'501'!$F$51,'501'!$F$53,'501'!$F$55,'501'!$F$57,'501'!$F$61,'501'!$F$63,'501'!$F$66,'501'!$F$68</definedName>
    <definedName name="OSRRefD20x_2" localSheetId="39">'Div 2'!$F$18,'Div 2'!$F$30,'Div 2'!$F$41,'Div 2'!$F$43,'Div 2'!$F$45,'Div 2'!$F$47,'Div 2'!$F$49,'Div 2'!$F$52,'Div 2'!$F$54,'Div 2'!$F$56,'Div 2'!$F$59,'Div 2'!$F$61,'Div 2'!$F$63,'Div 2'!$F$68,'Div 2'!$F$73,'Div 2'!$F$76,'Div 2'!$F$79,'Div 2'!$F$84,'Div 2'!$F$87,'Div 2'!$F$89</definedName>
    <definedName name="OSRRefD20x_2" localSheetId="47">'Div 3'!$F$114,'Div 3'!$F$125,'Div 3'!$F$136,'Div 3'!$F$138,'Div 3'!$F$141,'Div 3'!$F$143,'Div 3'!$F$146,'Div 3'!$F$149,'Div 3'!$F$151,'Div 3'!$F$153,'Div 3'!$F$155,'Div 3'!$F$158,'Div 3'!$F$161,'Div 3'!$F$163,'Div 3'!$F$165,'Div 3'!$F$167,'Div 3'!$F$169,'Div 3'!$F$171,'Div 3'!$F$176,'Div 3'!$F$181,'Div 3'!$F$186,'Div 3'!$F$189,'Div 3'!$F$199,'Div 3'!$F$202,'Div 3'!$F$204,'Div 3'!$F$208</definedName>
    <definedName name="OSRRefD20x_2" localSheetId="70">'Div 4'!$F$29,'Div 4'!$F$40,'Div 4'!$F$51,'Div 4'!$F$53,'Div 4'!$F$55,'Div 4'!$F$57,'Div 4'!$F$61,'Div 4'!$F$63,'Div 4'!$F$65,'Div 4'!$F$67,'Div 4'!$F$69,'Div 4'!$F$71,'Div 4'!$F$73,'Div 4'!$F$75,'Div 4'!$F$77,'Div 4'!$F$79,'Div 4'!$F$84,'Div 4'!$F$87,'Div 4'!$F$93,'Div 4'!$F$96,'Div 4'!$F$108,'Div 4'!$F$111,'Div 4'!$F$113,'Div 4'!$F$116</definedName>
    <definedName name="OSRRefD20x_2" localSheetId="92">'Div 5'!$F$20,'Div 5'!$F$31,'Div 5'!$F$42,'Div 5'!$F$44,'Div 5'!$F$46,'Div 5'!$F$48,'Div 5'!$F$51,'Div 5'!$F$53,'Div 5'!$F$55,'Div 5'!$F$57,'Div 5'!$F$61,'Div 5'!$F$63,'Div 5'!$F$66,'Div 5'!$F$68</definedName>
    <definedName name="OSRRefD20x_2" localSheetId="61">'Div 6'!$F$47,'Div 6'!$F$58,'Div 6'!$F$69,'Div 6'!$F$71,'Div 6'!$F$73,'Div 6'!$F$75,'Div 6'!$F$77,'Div 6'!$F$80,'Div 6'!$F$82,'Div 6'!$F$84,'Div 6'!$F$86,'Div 6'!$F$90,'Div 6'!$F$92</definedName>
    <definedName name="OSRRefD20x_2" localSheetId="2">Summary!$F$141,Summary!$F$152,Summary!$F$163,Summary!$F$165,Summary!$F$168,Summary!$F$170,Summary!$F$174,Summary!$F$177,Summary!$F$179,Summary!$F$181,Summary!$F$183,Summary!$F$186,Summary!$F$189,Summary!$F$191,Summary!$F$193,Summary!$F$195,Summary!$F$197,Summary!$F$199,Summary!$F$201,Summary!$F$206,Summary!$F$211,Summary!$F$217,Summary!$F$220,Summary!$F$232,Summary!$F$235,Summary!$F$237,Summary!$F$241</definedName>
    <definedName name="OSRRefD20x_3" localSheetId="40">'200'!$G$18,'200'!$G$20,'200'!$G$22,'200'!$G$24,'200'!$G$26</definedName>
    <definedName name="OSRRefD20x_3" localSheetId="41">'201'!$G$18,'201'!$G$28,'201'!$G$39,'201'!$G$41,'201'!$G$43,'201'!$G$46,'201'!$G$48,'201'!$G$50,'201'!$G$52,'201'!$G$54,'201'!$G$56,'201'!$G$60,'201'!$G$62,'201'!$G$64,'201'!$G$68,'201'!$G$70,'201'!$G$72</definedName>
    <definedName name="OSRRefD20x_3" localSheetId="42">'202'!$G$18,'202'!$G$28,'202'!$G$39,'202'!$G$41,'202'!$G$43,'202'!$G$46,'202'!$G$48,'202'!$G$50,'202'!$G$53,'202'!$G$55,'202'!$G$58,'202'!$G$60,'202'!$G$62</definedName>
    <definedName name="OSRRefD20x_3" localSheetId="43">'203'!$G$18,'203'!$G$29,'203'!$G$40,'203'!$G$42,'203'!$G$44,'203'!$G$46,'203'!$G$48,'203'!$G$50,'203'!$G$52,'203'!$G$56,'203'!$G$58,'203'!$G$60,'203'!$G$64,'203'!$G$66</definedName>
    <definedName name="OSRRefD20x_3" localSheetId="44">'204'!$G$18,'204'!$G$29,'204'!$G$40,'204'!$G$42,'204'!$G$44,'204'!$G$48,'204'!$G$50,'204'!$G$52,'204'!$G$55</definedName>
    <definedName name="OSRRefD20x_3" localSheetId="45">'205'!$G$18,'205'!$G$28,'205'!$G$39,'205'!$G$41,'205'!$G$43,'205'!$G$47,'205'!$G$49,'205'!$G$51</definedName>
    <definedName name="OSRRefD20x_3" localSheetId="46">'206'!$G$18,'206'!$G$28,'206'!$G$39,'206'!$G$41,'206'!$G$43,'206'!$G$45,'206'!$G$47</definedName>
    <definedName name="OSRRefD20x_3" localSheetId="48">'300'!$G$110,'300'!$G$121,'300'!$G$132,'300'!$G$134,'300'!$G$137,'300'!$G$139,'300'!$G$142,'300'!$G$145,'300'!$G$147,'300'!$G$149,'300'!$G$151,'300'!$G$154,'300'!$G$157,'300'!$G$159,'300'!$G$161,'300'!$G$163,'300'!$G$165,'300'!$G$170,'300'!$G$175,'300'!$G$180,'300'!$G$183,'300'!$G$193,'300'!$G$196,'300'!$G$198,'300'!$G$202</definedName>
    <definedName name="OSRRefD20x_3" localSheetId="49">'300 &amp; 317'!$G$132,'300 &amp; 317'!$G$143,'300 &amp; 317'!$G$154,'300 &amp; 317'!$G$156,'300 &amp; 317'!$G$159,'300 &amp; 317'!$G$161,'300 &amp; 317'!$G$164,'300 &amp; 317'!$G$167,'300 &amp; 317'!$G$169,'300 &amp; 317'!$G$171,'300 &amp; 317'!$G$173,'300 &amp; 317'!$G$176,'300 &amp; 317'!$G$179,'300 &amp; 317'!$G$181,'300 &amp; 317'!$G$183,'300 &amp; 317'!$G$185,'300 &amp; 317'!$G$187,'300 &amp; 317'!$G$192,'300 &amp; 317'!$G$197,'300 &amp; 317'!$G$202,'300 &amp; 317'!$G$205,'300 &amp; 317'!$G$215,'300 &amp; 317'!$G$218,'300 &amp; 317'!$G$220,'300 &amp; 317'!$G$224</definedName>
    <definedName name="OSRRefD20x_3" localSheetId="50">'301'!$G$18,'301'!$G$28,'301'!$G$39,'301'!$G$42,'301'!$G$44,'301'!$G$47,'301'!$G$49,'301'!$G$51,'301'!$G$53,'301'!$G$55,'301'!$G$57,'301'!$G$59,'301'!$G$61,'301'!$G$63,'301'!$G$68,'301'!$G$72,'301'!$G$74,'301'!$G$82,'301'!$G$84,'301'!$G$86,'301'!$G$88</definedName>
    <definedName name="OSRRefD20x_3" localSheetId="52">'307'!$G$37,'307'!$G$46,'307'!$G$57,'307'!$G$59,'307'!$G$61,'307'!$G$63,'307'!$G$66,'307'!$G$69,'307'!$G$71,'307'!$G$74,'307'!$G$77,'307'!$G$82,'307'!$G$85</definedName>
    <definedName name="OSRRefD20x_3" localSheetId="53">'308'!$G$52,'308'!$G$63,'308'!$G$74,'308'!$G$76,'308'!$G$78,'308'!$G$80,'308'!$G$82,'308'!$G$84,'308'!$G$87,'308'!$G$89,'308'!$G$93,'308'!$G$96,'308'!$G$100,'308'!$G$103,'308'!$G$105</definedName>
    <definedName name="OSRRefD20x_3" localSheetId="64">'309'!$G$20,'309'!$G$29,'309'!$G$40,'309'!$G$42,'309'!$G$44,'309'!$G$46,'309'!$G$49,'309'!$G$52,'309'!$G$56</definedName>
    <definedName name="OSRRefD20x_3" localSheetId="63">'310'!$G$25,'310'!$G$35,'310'!$G$46,'310'!$G$48,'310'!$G$50,'310'!$G$52,'310'!$G$55,'310'!$G$57,'310'!$G$59,'310'!$G$61,'310'!$G$63,'310'!$G$65,'310'!$G$67,'310'!$G$69,'310'!$G$72,'310'!$G$74,'310'!$G$77,'310'!$G$85,'310'!$G$88,'310'!$G$90</definedName>
    <definedName name="OSRRefD20x_3" localSheetId="71">'310 &amp; 491'!$G$30,'310 &amp; 491'!$G$40,'310 &amp; 491'!$G$51,'310 &amp; 491'!$G$53,'310 &amp; 491'!$G$55,'310 &amp; 491'!$G$57,'310 &amp; 491'!$G$61,'310 &amp; 491'!$G$63,'310 &amp; 491'!$G$65,'310 &amp; 491'!$G$68,'310 &amp; 491'!$G$70,'310 &amp; 491'!$G$72,'310 &amp; 491'!$G$74,'310 &amp; 491'!$G$76,'310 &amp; 491'!$G$78,'310 &amp; 491'!$G$82,'310 &amp; 491'!$G$85,'310 &amp; 491'!$G$91,'310 &amp; 491'!$G$94,'310 &amp; 491'!$G$106,'310 &amp; 491'!$G$109,'310 &amp; 491'!$G$111,'310 &amp; 491'!$G$113</definedName>
    <definedName name="OSRRefD20x_3" localSheetId="54">'311'!$G$51,'311'!$G$62,'311'!$G$73,'311'!$G$75,'311'!$G$77,'311'!$G$79,'311'!$G$81,'311'!$G$83,'311'!$G$86,'311'!$G$88,'311'!$G$92,'311'!$G$95,'311'!$G$99,'311'!$G$102,'311'!$G$104</definedName>
    <definedName name="OSRRefD20x_3" localSheetId="65">'313'!$G$19,'313'!$G$29,'313'!$G$40,'313'!$G$42,'313'!$G$44,'313'!$G$46,'313'!$G$48,'313'!$G$50</definedName>
    <definedName name="OSRRefD20x_3" localSheetId="57">'315'!$G$75,'315'!$G$85,'315'!$G$96,'315'!$G$98,'315'!$G$100,'315'!$G$102,'315'!$G$104,'315'!$G$106,'315'!$G$109,'315'!$G$111,'315'!$G$113,'315'!$G$115,'315'!$G$117,'315'!$G$121,'315'!$G$124,'315'!$G$132,'315'!$G$134,'315'!$G$136</definedName>
    <definedName name="OSRRefD20x_3" localSheetId="60">'316'!$G$28,'316'!$G$38,'316'!$G$49,'316'!$G$51,'316'!$G$53,'316'!$G$55,'316'!$G$57,'316'!$G$60,'316'!$G$63,'316'!$G$65,'316'!$G$71,'316'!$G$73</definedName>
    <definedName name="OSRRefD20x_3" localSheetId="62">'317'!$G$47,'317'!$G$58,'317'!$G$69,'317'!$G$71,'317'!$G$73,'317'!$G$75,'317'!$G$77,'317'!$G$80,'317'!$G$82,'317'!$G$84,'317'!$G$86,'317'!$G$90,'317'!$G$92</definedName>
    <definedName name="OSRRefD20x_3" localSheetId="66">'321'!$G$21,'321'!$G$31,'321'!$G$42,'321'!$G$44,'321'!$G$46,'321'!$G$48,'321'!$G$50,'321'!$G$53,'321'!$G$55,'321'!$G$58,'321'!$G$61,'321'!$G$64,'321'!$G$66</definedName>
    <definedName name="OSRRefD20x_3" localSheetId="67">'322'!$G$21,'322'!$G$30,'322'!$G$41,'322'!$G$43,'322'!$G$45,'322'!$G$47,'322'!$G$49,'322'!$G$52,'322'!$G$55,'322'!$G$60,'322'!$G$62</definedName>
    <definedName name="OSRRefD20x_3" localSheetId="55">'324'!$G$25,'324'!$G$34</definedName>
    <definedName name="OSRRefD20x_3" localSheetId="68">'325'!$G$20,'325'!$G$29,'325'!$G$40,'325'!$G$42,'325'!$G$44,'325'!$G$46,'325'!$G$49,'325'!$G$51,'325'!$G$53,'325'!$G$55,'325'!$G$57,'325'!$G$59,'325'!$G$61,'325'!$G$67,'325'!$G$70</definedName>
    <definedName name="OSRRefD20x_3" localSheetId="58">'326'!$G$42,'326'!$G$52,'326'!$G$63,'326'!$G$65,'326'!$G$67,'326'!$G$69,'326'!$G$71,'326'!$G$73,'326'!$G$75,'326'!$G$77,'326'!$G$79,'326'!$G$81,'326'!$G$83,'326'!$G$86,'326'!$G$90,'326'!$G$93,'326'!$G$100,'326'!$G$103,'326'!$G$105,'326'!$G$108</definedName>
    <definedName name="OSRRefD20x_3" localSheetId="69">'327'!$G$22</definedName>
    <definedName name="OSRRefD20x_3" localSheetId="51">'330'!$G$37,'330'!$G$46,'330'!$G$57,'330'!$G$59,'330'!$G$61,'330'!$G$63,'330'!$G$66,'330'!$G$69,'330'!$G$71,'330'!$G$74,'330'!$G$77,'330'!$G$82,'330'!$G$85</definedName>
    <definedName name="OSRRefD20x_3" localSheetId="56">'331'!$G$75,'331'!$G$85,'331'!$G$96,'331'!$G$98,'331'!$G$100,'331'!$G$102,'331'!$G$104,'331'!$G$106,'331'!$G$109,'331'!$G$111,'331'!$G$113,'331'!$G$115,'331'!$G$117,'331'!$G$119,'331'!$G$122,'331'!$G$126,'331'!$G$130,'331'!$G$133,'331'!$G$142,'331'!$G$145,'331'!$G$147,'331'!$G$150</definedName>
    <definedName name="OSRRefD20x_3" localSheetId="59">'332'!$G$28,'332'!$G$38,'332'!$G$49,'332'!$G$51,'332'!$G$53,'332'!$G$55,'332'!$G$57,'332'!$G$60,'332'!$G$63,'332'!$G$65,'332'!$G$71,'332'!$G$73</definedName>
    <definedName name="OSRRefD20x_3" localSheetId="73">'405'!$G$21,'405'!$G$30,'405'!$G$41,'405'!$G$43,'405'!$G$45,'405'!$G$48,'405'!$G$50,'405'!$G$52,'405'!$G$54,'405'!$G$56,'405'!$G$59,'405'!$G$61,'405'!$G$66,'405'!$G$68,'405'!$G$77,'405'!$G$79,'405'!$G$81</definedName>
    <definedName name="OSRRefD20x_3" localSheetId="74">'406'!$G$18,'406'!$G$20,'406'!$G$22,'406'!$G$24,'406'!$G$26</definedName>
    <definedName name="OSRRefD20x_3" localSheetId="75">'411'!$G$18,'411'!$G$28,'411'!$G$39,'411'!$G$41,'411'!$G$43,'411'!$G$46,'411'!$G$48,'411'!$G$50,'411'!$G$52,'411'!$G$54,'411'!$G$57,'411'!$G$62,'411'!$G$64,'411'!$G$71,'411'!$G$73,'411'!$G$75</definedName>
    <definedName name="OSRRefD20x_3" localSheetId="76">'412'!$G$20,'412'!$G$29,'412'!$G$40,'412'!$G$42,'412'!$G$44,'412'!$G$47,'412'!$G$49,'412'!$G$51,'412'!$G$53,'412'!$G$56,'412'!$G$58,'412'!$G$63,'412'!$G$69,'412'!$G$72</definedName>
    <definedName name="OSRRefD20x_3" localSheetId="77">'413'!$G$21,'413'!$G$31,'413'!$G$42,'413'!$G$44,'413'!$G$46,'413'!$G$48,'413'!$G$50,'413'!$G$52,'413'!$G$54,'413'!$G$58,'413'!$G$61,'413'!$G$69</definedName>
    <definedName name="OSRRefD20x_3" localSheetId="78">'414'!$G$22,'414'!$G$32,'414'!$G$43,'414'!$G$45,'414'!$G$47,'414'!$G$49,'414'!$G$51,'414'!$G$53,'414'!$G$55,'414'!$G$58,'414'!$G$60,'414'!$G$62,'414'!$G$64,'414'!$G$68,'414'!$G$70</definedName>
    <definedName name="OSRRefD20x_3" localSheetId="79">'415'!$G$25,'415'!$G$35,'415'!$G$46,'415'!$G$48,'415'!$G$50,'415'!$G$52,'415'!$G$55,'415'!$G$57,'415'!$G$59,'415'!$G$61,'415'!$G$63,'415'!$G$65,'415'!$G$68,'415'!$G$73,'415'!$G$75,'415'!$G$82,'415'!$G$85</definedName>
    <definedName name="OSRRefD20x_3" localSheetId="80">'418'!$G$21,'418'!$G$30,'418'!$G$41,'418'!$G$43,'418'!$G$45,'418'!$G$48,'418'!$G$50,'418'!$G$52,'418'!$G$54,'418'!$G$57,'418'!$G$60,'418'!$G$63,'418'!$G$73,'418'!$G$76</definedName>
    <definedName name="OSRRefD20x_3" localSheetId="82">'423'!$G$18,'423'!$G$27,'423'!$G$38,'423'!$G$40,'423'!$G$43,'423'!$G$45,'423'!$G$47</definedName>
    <definedName name="OSRRefD20x_3" localSheetId="83">'424'!$G$18,'424'!$G$20,'424'!$G$22,'424'!$G$24</definedName>
    <definedName name="OSRRefD20x_3" localSheetId="84">'425'!$G$18,'425'!$G$24,'425'!$G$26,'425'!$G$28,'425'!$G$30</definedName>
    <definedName name="OSRRefD20x_3" localSheetId="87">'430'!$G$18,'430'!$G$28,'430'!$G$39,'430'!$G$41,'430'!$G$43,'430'!$G$47,'430'!$G$50,'430'!$G$52</definedName>
    <definedName name="OSRRefD20x_3" localSheetId="88">'433'!$G$25,'433'!$G$36,'433'!$G$47,'433'!$G$49,'433'!$G$51,'433'!$G$53,'433'!$G$55,'433'!$G$57,'433'!$G$59,'433'!$G$61,'433'!$G$63,'433'!$G$65,'433'!$G$69,'433'!$G$74,'433'!$G$83,'433'!$G$85</definedName>
    <definedName name="OSRRefD20x_3" localSheetId="89">'435'!$G$18</definedName>
    <definedName name="OSRRefD20x_3" localSheetId="90">'444'!$G$25,'444'!$G$36,'444'!$G$47,'444'!$G$49,'444'!$G$51,'444'!$G$53,'444'!$G$55,'444'!$G$57,'444'!$G$59,'444'!$G$61,'444'!$G$63,'444'!$G$65,'444'!$G$69,'444'!$G$73,'444'!$G$82,'444'!$G$85</definedName>
    <definedName name="OSRRefD20x_3" localSheetId="91">'450'!$G$21,'450'!$G$32,'450'!$G$43,'450'!$G$45,'450'!$G$47,'450'!$G$49,'450'!$G$51,'450'!$G$53,'450'!$G$55,'450'!$G$57,'450'!$G$59,'450'!$G$61,'450'!$G$63,'450'!$G$65,'450'!$G$69,'450'!$G$76,'450'!$G$79</definedName>
    <definedName name="OSRRefD20x_3" localSheetId="72">'491'!$G$27,'491'!$G$37,'491'!$G$48,'491'!$G$50,'491'!$G$52,'491'!$G$54,'491'!$G$58,'491'!$G$60,'491'!$G$62,'491'!$G$64,'491'!$G$66,'491'!$G$68,'491'!$G$70,'491'!$G$72,'491'!$G$74,'491'!$G$78,'491'!$G$81,'491'!$G$87,'491'!$G$90,'491'!$G$102,'491'!$G$105,'491'!$G$107,'491'!$G$109</definedName>
    <definedName name="OSRRefD20x_3" localSheetId="86">'492'!$G$25,'492'!$G$36,'492'!$G$47,'492'!$G$49,'492'!$G$51,'492'!$G$53,'492'!$G$55,'492'!$G$57,'492'!$G$59,'492'!$G$61,'492'!$G$63,'492'!$G$65,'492'!$G$67,'492'!$G$71,'492'!$G$76,'492'!$G$87,'492'!$G$90,'492'!$G$92</definedName>
    <definedName name="OSRRefD20x_3" localSheetId="93">'501'!$G$20,'501'!$G$31,'501'!$G$42,'501'!$G$44,'501'!$G$46,'501'!$G$48,'501'!$G$51,'501'!$G$53,'501'!$G$55,'501'!$G$57,'501'!$G$61,'501'!$G$63,'501'!$G$66,'501'!$G$68</definedName>
    <definedName name="OSRRefD20x_3" localSheetId="39">'Div 2'!$G$18,'Div 2'!$G$30,'Div 2'!$G$41,'Div 2'!$G$43,'Div 2'!$G$45,'Div 2'!$G$47,'Div 2'!$G$49,'Div 2'!$G$52,'Div 2'!$G$54,'Div 2'!$G$56,'Div 2'!$G$59,'Div 2'!$G$61,'Div 2'!$G$63,'Div 2'!$G$68,'Div 2'!$G$73,'Div 2'!$G$76,'Div 2'!$G$79,'Div 2'!$G$84,'Div 2'!$G$87,'Div 2'!$G$89</definedName>
    <definedName name="OSRRefD20x_3" localSheetId="47">'Div 3'!$G$114,'Div 3'!$G$125,'Div 3'!$G$136,'Div 3'!$G$138,'Div 3'!$G$141,'Div 3'!$G$143,'Div 3'!$G$146,'Div 3'!$G$149,'Div 3'!$G$151,'Div 3'!$G$153,'Div 3'!$G$155,'Div 3'!$G$158,'Div 3'!$G$161,'Div 3'!$G$163,'Div 3'!$G$165,'Div 3'!$G$167,'Div 3'!$G$169,'Div 3'!$G$171,'Div 3'!$G$176,'Div 3'!$G$181,'Div 3'!$G$186,'Div 3'!$G$189,'Div 3'!$G$199,'Div 3'!$G$202,'Div 3'!$G$204,'Div 3'!$G$208</definedName>
    <definedName name="OSRRefD20x_3" localSheetId="70">'Div 4'!$G$29,'Div 4'!$G$40,'Div 4'!$G$51,'Div 4'!$G$53,'Div 4'!$G$55,'Div 4'!$G$57,'Div 4'!$G$61,'Div 4'!$G$63,'Div 4'!$G$65,'Div 4'!$G$67,'Div 4'!$G$69,'Div 4'!$G$71,'Div 4'!$G$73,'Div 4'!$G$75,'Div 4'!$G$77,'Div 4'!$G$79,'Div 4'!$G$84,'Div 4'!$G$87,'Div 4'!$G$93,'Div 4'!$G$96,'Div 4'!$G$108,'Div 4'!$G$111,'Div 4'!$G$113,'Div 4'!$G$116</definedName>
    <definedName name="OSRRefD20x_3" localSheetId="92">'Div 5'!$G$20,'Div 5'!$G$31,'Div 5'!$G$42,'Div 5'!$G$44,'Div 5'!$G$46,'Div 5'!$G$48,'Div 5'!$G$51,'Div 5'!$G$53,'Div 5'!$G$55,'Div 5'!$G$57,'Div 5'!$G$61,'Div 5'!$G$63,'Div 5'!$G$66,'Div 5'!$G$68</definedName>
    <definedName name="OSRRefD20x_3" localSheetId="61">'Div 6'!$G$47,'Div 6'!$G$58,'Div 6'!$G$69,'Div 6'!$G$71,'Div 6'!$G$73,'Div 6'!$G$75,'Div 6'!$G$77,'Div 6'!$G$80,'Div 6'!$G$82,'Div 6'!$G$84,'Div 6'!$G$86,'Div 6'!$G$90,'Div 6'!$G$92</definedName>
    <definedName name="OSRRefD20x_3" localSheetId="2">Summary!$G$141,Summary!$G$152,Summary!$G$163,Summary!$G$165,Summary!$G$168,Summary!$G$170,Summary!$G$174,Summary!$G$177,Summary!$G$179,Summary!$G$181,Summary!$G$183,Summary!$G$186,Summary!$G$189,Summary!$G$191,Summary!$G$193,Summary!$G$195,Summary!$G$197,Summary!$G$199,Summary!$G$201,Summary!$G$206,Summary!$G$211,Summary!$G$217,Summary!$G$220,Summary!$G$232,Summary!$G$235,Summary!$G$237,Summary!$G$241</definedName>
    <definedName name="OSRRefD21_0_0x" localSheetId="40">'200'!$D$19:$G$19</definedName>
    <definedName name="OSRRefD21_0_0x" localSheetId="41">'201'!$D$19:$G$19</definedName>
    <definedName name="OSRRefD21_0_0x" localSheetId="42">'202'!$D$19:$G$19</definedName>
    <definedName name="OSRRefD21_0_0x" localSheetId="43">'203'!$D$19:$G$19</definedName>
    <definedName name="OSRRefD21_0_0x" localSheetId="44">'204'!$D$19:$G$19</definedName>
    <definedName name="OSRRefD21_0_0x" localSheetId="45">'205'!$D$19:$G$19</definedName>
    <definedName name="OSRRefD21_0_0x" localSheetId="46">'206'!$D$19:$G$19</definedName>
    <definedName name="OSRRefD21_0_0x" localSheetId="48">'300'!$D$111:$G$111</definedName>
    <definedName name="OSRRefD21_0_0x" localSheetId="49">'300 &amp; 317'!$D$133:$G$133</definedName>
    <definedName name="OSRRefD21_0_0x" localSheetId="50">'301'!$D$19:$G$19</definedName>
    <definedName name="OSRRefD21_0_0x" localSheetId="52">'307'!$D$38:$G$38</definedName>
    <definedName name="OSRRefD21_0_0x" localSheetId="53">'308'!$D$53:$G$53</definedName>
    <definedName name="OSRRefD21_0_0x" localSheetId="64">'309'!$D$21:$G$21</definedName>
    <definedName name="OSRRefD21_0_0x" localSheetId="63">'310'!$D$26:$G$26</definedName>
    <definedName name="OSRRefD21_0_0x" localSheetId="71">'310 &amp; 491'!$D$31:$G$31</definedName>
    <definedName name="OSRRefD21_0_0x" localSheetId="54">'311'!$D$52:$G$52</definedName>
    <definedName name="OSRRefD21_0_0x" localSheetId="65">'313'!$D$20:$G$20</definedName>
    <definedName name="OSRRefD21_0_0x" localSheetId="57">'315'!$D$76:$G$76</definedName>
    <definedName name="OSRRefD21_0_0x" localSheetId="60">'316'!$D$29:$G$29</definedName>
    <definedName name="OSRRefD21_0_0x" localSheetId="62">'317'!$D$48:$G$48</definedName>
    <definedName name="OSRRefD21_0_0x" localSheetId="66">'321'!$D$22:$G$22</definedName>
    <definedName name="OSRRefD21_0_0x" localSheetId="67">'322'!$D$22:$G$22</definedName>
    <definedName name="OSRRefD21_0_0x" localSheetId="55">'324'!$D$26:$G$26</definedName>
    <definedName name="OSRRefD21_0_0x" localSheetId="68">'325'!$D$21:$G$21</definedName>
    <definedName name="OSRRefD21_0_0x" localSheetId="58">'326'!$D$43:$G$43</definedName>
    <definedName name="OSRRefD21_0_0x" localSheetId="69">'327'!$D$23:$G$23</definedName>
    <definedName name="OSRRefD21_0_0x" localSheetId="51">'330'!$D$38:$G$38</definedName>
    <definedName name="OSRRefD21_0_0x" localSheetId="56">'331'!$D$76:$G$76</definedName>
    <definedName name="OSRRefD21_0_0x" localSheetId="59">'332'!$D$29:$G$29</definedName>
    <definedName name="OSRRefD21_0_0x" localSheetId="73">'405'!$D$22:$G$22</definedName>
    <definedName name="OSRRefD21_0_0x" localSheetId="74">'406'!$D$19:$G$19</definedName>
    <definedName name="OSRRefD21_0_0x" localSheetId="75">'411'!$D$19:$G$19</definedName>
    <definedName name="OSRRefD21_0_0x" localSheetId="76">'412'!$D$21:$G$21</definedName>
    <definedName name="OSRRefD21_0_0x" localSheetId="77">'413'!$D$22:$G$22</definedName>
    <definedName name="OSRRefD21_0_0x" localSheetId="78">'414'!$D$23:$G$23</definedName>
    <definedName name="OSRRefD21_0_0x" localSheetId="79">'415'!$D$26:$G$26</definedName>
    <definedName name="OSRRefD21_0_0x" localSheetId="80">'418'!$D$22:$G$22</definedName>
    <definedName name="OSRRefD21_0_0x" localSheetId="82">'423'!$D$19:$G$19</definedName>
    <definedName name="OSRRefD21_0_0x" localSheetId="83">'424'!$D$19:$G$19</definedName>
    <definedName name="OSRRefD21_0_0x" localSheetId="84">'425'!$D$19:$G$19</definedName>
    <definedName name="OSRRefD21_0_0x" localSheetId="87">'430'!$D$19:$G$19</definedName>
    <definedName name="OSRRefD21_0_0x" localSheetId="88">'433'!$D$26:$G$26</definedName>
    <definedName name="OSRRefD21_0_0x" localSheetId="89">'435'!$D$19:$G$19</definedName>
    <definedName name="OSRRefD21_0_0x" localSheetId="90">'444'!$D$26:$G$26</definedName>
    <definedName name="OSRRefD21_0_0x" localSheetId="91">'450'!$D$22:$G$22</definedName>
    <definedName name="OSRRefD21_0_0x" localSheetId="72">'491'!$D$28:$G$28</definedName>
    <definedName name="OSRRefD21_0_0x" localSheetId="86">'492'!$D$26:$G$26</definedName>
    <definedName name="OSRRefD21_0_0x" localSheetId="93">'501'!$D$21:$G$21</definedName>
    <definedName name="OSRRefD21_0_0x" localSheetId="39">'Div 2'!$D$19:$G$19</definedName>
    <definedName name="OSRRefD21_0_0x" localSheetId="47">'Div 3'!$D$115:$G$115</definedName>
    <definedName name="OSRRefD21_0_0x" localSheetId="70">'Div 4'!$D$30:$G$30</definedName>
    <definedName name="OSRRefD21_0_0x" localSheetId="92">'Div 5'!$D$21:$G$21</definedName>
    <definedName name="OSRRefD21_0_0x" localSheetId="61">'Div 6'!$D$48:$G$48</definedName>
    <definedName name="OSRRefD21_0_0x" localSheetId="2">Summary!$D$142:$G$142</definedName>
    <definedName name="OSRRefD21_0_10x" localSheetId="39">'Div 2'!$D$29:$G$29</definedName>
    <definedName name="OSRRefD21_0_1x" localSheetId="41">'201'!$D$20:$G$20</definedName>
    <definedName name="OSRRefD21_0_1x" localSheetId="42">'202'!$D$20:$G$20</definedName>
    <definedName name="OSRRefD21_0_1x" localSheetId="43">'203'!$D$20:$G$20</definedName>
    <definedName name="OSRRefD21_0_1x" localSheetId="44">'204'!$D$20:$G$20</definedName>
    <definedName name="OSRRefD21_0_1x" localSheetId="45">'205'!$D$20:$G$20</definedName>
    <definedName name="OSRRefD21_0_1x" localSheetId="46">'206'!$D$20:$G$20</definedName>
    <definedName name="OSRRefD21_0_1x" localSheetId="48">'300'!$D$112:$G$112</definedName>
    <definedName name="OSRRefD21_0_1x" localSheetId="49">'300 &amp; 317'!$D$134:$G$134</definedName>
    <definedName name="OSRRefD21_0_1x" localSheetId="50">'301'!$D$20:$G$20</definedName>
    <definedName name="OSRRefD21_0_1x" localSheetId="52">'307'!$D$39:$G$39</definedName>
    <definedName name="OSRRefD21_0_1x" localSheetId="53">'308'!$D$54:$G$54</definedName>
    <definedName name="OSRRefD21_0_1x" localSheetId="64">'309'!$D$22:$G$22</definedName>
    <definedName name="OSRRefD21_0_1x" localSheetId="63">'310'!$D$27:$G$27</definedName>
    <definedName name="OSRRefD21_0_1x" localSheetId="71">'310 &amp; 491'!$D$32:$G$32</definedName>
    <definedName name="OSRRefD21_0_1x" localSheetId="54">'311'!$D$53:$G$53</definedName>
    <definedName name="OSRRefD21_0_1x" localSheetId="65">'313'!$D$21:$G$21</definedName>
    <definedName name="OSRRefD21_0_1x" localSheetId="57">'315'!$D$77:$G$77</definedName>
    <definedName name="OSRRefD21_0_1x" localSheetId="60">'316'!$D$30:$G$30</definedName>
    <definedName name="OSRRefD21_0_1x" localSheetId="62">'317'!$D$49:$G$49</definedName>
    <definedName name="OSRRefD21_0_1x" localSheetId="66">'321'!$D$23:$G$23</definedName>
    <definedName name="OSRRefD21_0_1x" localSheetId="67">'322'!$D$23:$G$23</definedName>
    <definedName name="OSRRefD21_0_1x" localSheetId="55">'324'!$D$27:$G$27</definedName>
    <definedName name="OSRRefD21_0_1x" localSheetId="68">'325'!$D$22:$G$22</definedName>
    <definedName name="OSRRefD21_0_1x" localSheetId="58">'326'!$D$44:$G$44</definedName>
    <definedName name="OSRRefD21_0_1x" localSheetId="51">'330'!$D$39:$G$39</definedName>
    <definedName name="OSRRefD21_0_1x" localSheetId="56">'331'!$D$77:$G$77</definedName>
    <definedName name="OSRRefD21_0_1x" localSheetId="59">'332'!$D$30:$G$30</definedName>
    <definedName name="OSRRefD21_0_1x" localSheetId="73">'405'!$D$23:$G$23</definedName>
    <definedName name="OSRRefD21_0_1x" localSheetId="75">'411'!$D$20:$G$20</definedName>
    <definedName name="OSRRefD21_0_1x" localSheetId="76">'412'!$D$22:$G$22</definedName>
    <definedName name="OSRRefD21_0_1x" localSheetId="77">'413'!$D$23:$G$23</definedName>
    <definedName name="OSRRefD21_0_1x" localSheetId="78">'414'!$D$24:$G$24</definedName>
    <definedName name="OSRRefD21_0_1x" localSheetId="79">'415'!$D$27:$G$27</definedName>
    <definedName name="OSRRefD21_0_1x" localSheetId="80">'418'!$D$23:$G$23</definedName>
    <definedName name="OSRRefD21_0_1x" localSheetId="82">'423'!$D$20:$G$20</definedName>
    <definedName name="OSRRefD21_0_1x" localSheetId="84">'425'!$D$20:$G$20</definedName>
    <definedName name="OSRRefD21_0_1x" localSheetId="87">'430'!$D$20:$G$20</definedName>
    <definedName name="OSRRefD21_0_1x" localSheetId="88">'433'!$D$27:$G$27</definedName>
    <definedName name="OSRRefD21_0_1x" localSheetId="90">'444'!$D$27:$G$27</definedName>
    <definedName name="OSRRefD21_0_1x" localSheetId="91">'450'!$D$23:$G$23</definedName>
    <definedName name="OSRRefD21_0_1x" localSheetId="72">'491'!$D$29:$G$29</definedName>
    <definedName name="OSRRefD21_0_1x" localSheetId="86">'492'!$D$27:$G$27</definedName>
    <definedName name="OSRRefD21_0_1x" localSheetId="93">'501'!$D$22:$G$22</definedName>
    <definedName name="OSRRefD21_0_1x" localSheetId="39">'Div 2'!$D$20:$G$20</definedName>
    <definedName name="OSRRefD21_0_1x" localSheetId="47">'Div 3'!$D$116:$G$116</definedName>
    <definedName name="OSRRefD21_0_1x" localSheetId="70">'Div 4'!$D$31:$G$31</definedName>
    <definedName name="OSRRefD21_0_1x" localSheetId="92">'Div 5'!$D$22:$G$22</definedName>
    <definedName name="OSRRefD21_0_1x" localSheetId="61">'Div 6'!$D$49:$G$49</definedName>
    <definedName name="OSRRefD21_0_1x" localSheetId="2">Summary!$D$143:$G$143</definedName>
    <definedName name="OSRRefD21_0_2x" localSheetId="41">'201'!$D$21:$G$21</definedName>
    <definedName name="OSRRefD21_0_2x" localSheetId="42">'202'!$D$21:$G$21</definedName>
    <definedName name="OSRRefD21_0_2x" localSheetId="43">'203'!$D$21:$G$21</definedName>
    <definedName name="OSRRefD21_0_2x" localSheetId="44">'204'!$D$21:$G$21</definedName>
    <definedName name="OSRRefD21_0_2x" localSheetId="45">'205'!$D$21:$G$21</definedName>
    <definedName name="OSRRefD21_0_2x" localSheetId="46">'206'!$D$21:$G$21</definedName>
    <definedName name="OSRRefD21_0_2x" localSheetId="48">'300'!$D$113:$G$113</definedName>
    <definedName name="OSRRefD21_0_2x" localSheetId="49">'300 &amp; 317'!$D$135:$G$135</definedName>
    <definedName name="OSRRefD21_0_2x" localSheetId="50">'301'!$D$21:$G$21</definedName>
    <definedName name="OSRRefD21_0_2x" localSheetId="52">'307'!$D$40:$G$40</definedName>
    <definedName name="OSRRefD21_0_2x" localSheetId="53">'308'!$D$55:$G$55</definedName>
    <definedName name="OSRRefD21_0_2x" localSheetId="64">'309'!$D$23:$G$23</definedName>
    <definedName name="OSRRefD21_0_2x" localSheetId="63">'310'!$D$28:$G$28</definedName>
    <definedName name="OSRRefD21_0_2x" localSheetId="71">'310 &amp; 491'!$D$33:$G$33</definedName>
    <definedName name="OSRRefD21_0_2x" localSheetId="54">'311'!$D$54:$G$54</definedName>
    <definedName name="OSRRefD21_0_2x" localSheetId="65">'313'!$D$22:$G$22</definedName>
    <definedName name="OSRRefD21_0_2x" localSheetId="57">'315'!$D$78:$G$78</definedName>
    <definedName name="OSRRefD21_0_2x" localSheetId="60">'316'!$D$31:$G$31</definedName>
    <definedName name="OSRRefD21_0_2x" localSheetId="62">'317'!$D$50:$G$50</definedName>
    <definedName name="OSRRefD21_0_2x" localSheetId="66">'321'!$D$24:$G$24</definedName>
    <definedName name="OSRRefD21_0_2x" localSheetId="67">'322'!$D$24:$G$24</definedName>
    <definedName name="OSRRefD21_0_2x" localSheetId="55">'324'!$D$28:$G$28</definedName>
    <definedName name="OSRRefD21_0_2x" localSheetId="68">'325'!$D$23:$G$23</definedName>
    <definedName name="OSRRefD21_0_2x" localSheetId="58">'326'!$D$45:$G$45</definedName>
    <definedName name="OSRRefD21_0_2x" localSheetId="51">'330'!$D$40:$G$40</definedName>
    <definedName name="OSRRefD21_0_2x" localSheetId="56">'331'!$D$78:$G$78</definedName>
    <definedName name="OSRRefD21_0_2x" localSheetId="59">'332'!$D$31:$G$31</definedName>
    <definedName name="OSRRefD21_0_2x" localSheetId="73">'405'!$D$24:$G$24</definedName>
    <definedName name="OSRRefD21_0_2x" localSheetId="75">'411'!$D$21:$G$21</definedName>
    <definedName name="OSRRefD21_0_2x" localSheetId="76">'412'!$D$23:$G$23</definedName>
    <definedName name="OSRRefD21_0_2x" localSheetId="77">'413'!$D$24:$G$24</definedName>
    <definedName name="OSRRefD21_0_2x" localSheetId="78">'414'!$D$25:$G$25</definedName>
    <definedName name="OSRRefD21_0_2x" localSheetId="79">'415'!$D$28:$G$28</definedName>
    <definedName name="OSRRefD21_0_2x" localSheetId="80">'418'!$D$24:$G$24</definedName>
    <definedName name="OSRRefD21_0_2x" localSheetId="82">'423'!$D$21:$G$21</definedName>
    <definedName name="OSRRefD21_0_2x" localSheetId="84">'425'!$D$21:$G$21</definedName>
    <definedName name="OSRRefD21_0_2x" localSheetId="87">'430'!$D$21:$G$21</definedName>
    <definedName name="OSRRefD21_0_2x" localSheetId="88">'433'!$D$28:$G$28</definedName>
    <definedName name="OSRRefD21_0_2x" localSheetId="90">'444'!$D$28:$G$28</definedName>
    <definedName name="OSRRefD21_0_2x" localSheetId="91">'450'!$D$24:$G$24</definedName>
    <definedName name="OSRRefD21_0_2x" localSheetId="72">'491'!$D$30:$G$30</definedName>
    <definedName name="OSRRefD21_0_2x" localSheetId="86">'492'!$D$28:$G$28</definedName>
    <definedName name="OSRRefD21_0_2x" localSheetId="93">'501'!$D$23:$G$23</definedName>
    <definedName name="OSRRefD21_0_2x" localSheetId="39">'Div 2'!$D$21:$G$21</definedName>
    <definedName name="OSRRefD21_0_2x" localSheetId="47">'Div 3'!$D$117:$G$117</definedName>
    <definedName name="OSRRefD21_0_2x" localSheetId="70">'Div 4'!$D$32:$G$32</definedName>
    <definedName name="OSRRefD21_0_2x" localSheetId="92">'Div 5'!$D$23:$G$23</definedName>
    <definedName name="OSRRefD21_0_2x" localSheetId="61">'Div 6'!$D$50:$G$50</definedName>
    <definedName name="OSRRefD21_0_2x" localSheetId="2">Summary!$D$144:$G$144</definedName>
    <definedName name="OSRRefD21_0_3x" localSheetId="41">'201'!$D$22:$G$22</definedName>
    <definedName name="OSRRefD21_0_3x" localSheetId="42">'202'!$D$22:$G$22</definedName>
    <definedName name="OSRRefD21_0_3x" localSheetId="43">'203'!$D$22:$G$22</definedName>
    <definedName name="OSRRefD21_0_3x" localSheetId="44">'204'!$D$22:$G$22</definedName>
    <definedName name="OSRRefD21_0_3x" localSheetId="45">'205'!$D$22:$G$22</definedName>
    <definedName name="OSRRefD21_0_3x" localSheetId="46">'206'!$D$22:$G$22</definedName>
    <definedName name="OSRRefD21_0_3x" localSheetId="48">'300'!$D$114:$G$114</definedName>
    <definedName name="OSRRefD21_0_3x" localSheetId="49">'300 &amp; 317'!$D$136:$G$136</definedName>
    <definedName name="OSRRefD21_0_3x" localSheetId="50">'301'!$D$22:$G$22</definedName>
    <definedName name="OSRRefD21_0_3x" localSheetId="52">'307'!$D$41:$G$41</definedName>
    <definedName name="OSRRefD21_0_3x" localSheetId="53">'308'!$D$56:$G$56</definedName>
    <definedName name="OSRRefD21_0_3x" localSheetId="64">'309'!$D$24:$G$24</definedName>
    <definedName name="OSRRefD21_0_3x" localSheetId="63">'310'!$D$29:$G$29</definedName>
    <definedName name="OSRRefD21_0_3x" localSheetId="71">'310 &amp; 491'!$D$34:$G$34</definedName>
    <definedName name="OSRRefD21_0_3x" localSheetId="54">'311'!$D$55:$G$55</definedName>
    <definedName name="OSRRefD21_0_3x" localSheetId="65">'313'!$D$23:$G$23</definedName>
    <definedName name="OSRRefD21_0_3x" localSheetId="57">'315'!$D$79:$G$79</definedName>
    <definedName name="OSRRefD21_0_3x" localSheetId="60">'316'!$D$32:$G$32</definedName>
    <definedName name="OSRRefD21_0_3x" localSheetId="62">'317'!$D$51:$G$51</definedName>
    <definedName name="OSRRefD21_0_3x" localSheetId="66">'321'!$D$25:$G$25</definedName>
    <definedName name="OSRRefD21_0_3x" localSheetId="67">'322'!$D$25:$G$25</definedName>
    <definedName name="OSRRefD21_0_3x" localSheetId="55">'324'!$D$29:$G$29</definedName>
    <definedName name="OSRRefD21_0_3x" localSheetId="68">'325'!$D$24:$G$24</definedName>
    <definedName name="OSRRefD21_0_3x" localSheetId="58">'326'!$D$46:$G$46</definedName>
    <definedName name="OSRRefD21_0_3x" localSheetId="51">'330'!$D$41:$G$41</definedName>
    <definedName name="OSRRefD21_0_3x" localSheetId="56">'331'!$D$79:$G$79</definedName>
    <definedName name="OSRRefD21_0_3x" localSheetId="59">'332'!$D$32:$G$32</definedName>
    <definedName name="OSRRefD21_0_3x" localSheetId="73">'405'!$D$25:$G$25</definedName>
    <definedName name="OSRRefD21_0_3x" localSheetId="75">'411'!$D$22:$G$22</definedName>
    <definedName name="OSRRefD21_0_3x" localSheetId="76">'412'!$D$24:$G$24</definedName>
    <definedName name="OSRRefD21_0_3x" localSheetId="77">'413'!$D$25:$G$25</definedName>
    <definedName name="OSRRefD21_0_3x" localSheetId="78">'414'!$D$26:$G$26</definedName>
    <definedName name="OSRRefD21_0_3x" localSheetId="79">'415'!$D$29:$G$29</definedName>
    <definedName name="OSRRefD21_0_3x" localSheetId="80">'418'!$D$25:$G$25</definedName>
    <definedName name="OSRRefD21_0_3x" localSheetId="82">'423'!$D$22:$G$22</definedName>
    <definedName name="OSRRefD21_0_3x" localSheetId="84">'425'!$D$22:$G$22</definedName>
    <definedName name="OSRRefD21_0_3x" localSheetId="87">'430'!$D$22:$G$22</definedName>
    <definedName name="OSRRefD21_0_3x" localSheetId="88">'433'!$D$29:$G$29</definedName>
    <definedName name="OSRRefD21_0_3x" localSheetId="90">'444'!$D$29:$G$29</definedName>
    <definedName name="OSRRefD21_0_3x" localSheetId="91">'450'!$D$25:$G$25</definedName>
    <definedName name="OSRRefD21_0_3x" localSheetId="72">'491'!$D$31:$G$31</definedName>
    <definedName name="OSRRefD21_0_3x" localSheetId="86">'492'!$D$29:$G$29</definedName>
    <definedName name="OSRRefD21_0_3x" localSheetId="93">'501'!$D$24:$G$24</definedName>
    <definedName name="OSRRefD21_0_3x" localSheetId="39">'Div 2'!$D$22:$G$22</definedName>
    <definedName name="OSRRefD21_0_3x" localSheetId="47">'Div 3'!$D$118:$G$118</definedName>
    <definedName name="OSRRefD21_0_3x" localSheetId="70">'Div 4'!$D$33:$G$33</definedName>
    <definedName name="OSRRefD21_0_3x" localSheetId="92">'Div 5'!$D$24:$G$24</definedName>
    <definedName name="OSRRefD21_0_3x" localSheetId="61">'Div 6'!$D$51:$G$51</definedName>
    <definedName name="OSRRefD21_0_3x" localSheetId="2">Summary!$D$145:$G$145</definedName>
    <definedName name="OSRRefD21_0_4x" localSheetId="41">'201'!$D$23:$G$23</definedName>
    <definedName name="OSRRefD21_0_4x" localSheetId="42">'202'!$D$23:$G$23</definedName>
    <definedName name="OSRRefD21_0_4x" localSheetId="43">'203'!$D$23:$G$23</definedName>
    <definedName name="OSRRefD21_0_4x" localSheetId="44">'204'!$D$23:$G$23</definedName>
    <definedName name="OSRRefD21_0_4x" localSheetId="45">'205'!$D$23:$G$23</definedName>
    <definedName name="OSRRefD21_0_4x" localSheetId="46">'206'!$D$23:$G$23</definedName>
    <definedName name="OSRRefD21_0_4x" localSheetId="48">'300'!$D$115:$G$115</definedName>
    <definedName name="OSRRefD21_0_4x" localSheetId="49">'300 &amp; 317'!$D$137:$G$137</definedName>
    <definedName name="OSRRefD21_0_4x" localSheetId="50">'301'!$D$23:$G$23</definedName>
    <definedName name="OSRRefD21_0_4x" localSheetId="52">'307'!$D$42:$G$42</definedName>
    <definedName name="OSRRefD21_0_4x" localSheetId="53">'308'!$D$57:$G$57</definedName>
    <definedName name="OSRRefD21_0_4x" localSheetId="64">'309'!$D$25:$G$25</definedName>
    <definedName name="OSRRefD21_0_4x" localSheetId="63">'310'!$D$30:$G$30</definedName>
    <definedName name="OSRRefD21_0_4x" localSheetId="71">'310 &amp; 491'!$D$35:$G$35</definedName>
    <definedName name="OSRRefD21_0_4x" localSheetId="54">'311'!$D$56:$G$56</definedName>
    <definedName name="OSRRefD21_0_4x" localSheetId="65">'313'!$D$24:$G$24</definedName>
    <definedName name="OSRRefD21_0_4x" localSheetId="57">'315'!$D$80:$G$80</definedName>
    <definedName name="OSRRefD21_0_4x" localSheetId="60">'316'!$D$33:$G$33</definedName>
    <definedName name="OSRRefD21_0_4x" localSheetId="62">'317'!$D$52:$G$52</definedName>
    <definedName name="OSRRefD21_0_4x" localSheetId="66">'321'!$D$26:$G$26</definedName>
    <definedName name="OSRRefD21_0_4x" localSheetId="67">'322'!$D$26:$G$26</definedName>
    <definedName name="OSRRefD21_0_4x" localSheetId="55">'324'!$D$30:$G$30</definedName>
    <definedName name="OSRRefD21_0_4x" localSheetId="68">'325'!$D$25:$G$25</definedName>
    <definedName name="OSRRefD21_0_4x" localSheetId="58">'326'!$D$47:$G$47</definedName>
    <definedName name="OSRRefD21_0_4x" localSheetId="51">'330'!$D$42:$G$42</definedName>
    <definedName name="OSRRefD21_0_4x" localSheetId="56">'331'!$D$80:$G$80</definedName>
    <definedName name="OSRRefD21_0_4x" localSheetId="59">'332'!$D$33:$G$33</definedName>
    <definedName name="OSRRefD21_0_4x" localSheetId="73">'405'!$D$26:$G$26</definedName>
    <definedName name="OSRRefD21_0_4x" localSheetId="75">'411'!$D$23:$G$23</definedName>
    <definedName name="OSRRefD21_0_4x" localSheetId="76">'412'!$D$25:$G$25</definedName>
    <definedName name="OSRRefD21_0_4x" localSheetId="77">'413'!$D$26:$G$26</definedName>
    <definedName name="OSRRefD21_0_4x" localSheetId="78">'414'!$D$27:$G$27</definedName>
    <definedName name="OSRRefD21_0_4x" localSheetId="79">'415'!$D$30:$G$30</definedName>
    <definedName name="OSRRefD21_0_4x" localSheetId="80">'418'!$D$26:$G$26</definedName>
    <definedName name="OSRRefD21_0_4x" localSheetId="82">'423'!$D$23:$G$23</definedName>
    <definedName name="OSRRefD21_0_4x" localSheetId="84">'425'!$D$23:$G$23</definedName>
    <definedName name="OSRRefD21_0_4x" localSheetId="87">'430'!$D$23:$G$23</definedName>
    <definedName name="OSRRefD21_0_4x" localSheetId="88">'433'!$D$30:$G$30</definedName>
    <definedName name="OSRRefD21_0_4x" localSheetId="90">'444'!$D$30:$G$30</definedName>
    <definedName name="OSRRefD21_0_4x" localSheetId="91">'450'!$D$26:$G$26</definedName>
    <definedName name="OSRRefD21_0_4x" localSheetId="72">'491'!$D$32:$G$32</definedName>
    <definedName name="OSRRefD21_0_4x" localSheetId="86">'492'!$D$30:$G$30</definedName>
    <definedName name="OSRRefD21_0_4x" localSheetId="93">'501'!$D$25:$G$25</definedName>
    <definedName name="OSRRefD21_0_4x" localSheetId="39">'Div 2'!$D$23:$G$23</definedName>
    <definedName name="OSRRefD21_0_4x" localSheetId="47">'Div 3'!$D$119:$G$119</definedName>
    <definedName name="OSRRefD21_0_4x" localSheetId="70">'Div 4'!$D$34:$G$34</definedName>
    <definedName name="OSRRefD21_0_4x" localSheetId="92">'Div 5'!$D$25:$G$25</definedName>
    <definedName name="OSRRefD21_0_4x" localSheetId="61">'Div 6'!$D$52:$G$52</definedName>
    <definedName name="OSRRefD21_0_4x" localSheetId="2">Summary!$D$146:$G$146</definedName>
    <definedName name="OSRRefD21_0_5x" localSheetId="41">'201'!$D$24:$G$24</definedName>
    <definedName name="OSRRefD21_0_5x" localSheetId="42">'202'!$D$24:$G$24</definedName>
    <definedName name="OSRRefD21_0_5x" localSheetId="43">'203'!$D$24:$G$24</definedName>
    <definedName name="OSRRefD21_0_5x" localSheetId="44">'204'!$D$24:$G$24</definedName>
    <definedName name="OSRRefD21_0_5x" localSheetId="45">'205'!$D$24:$G$24</definedName>
    <definedName name="OSRRefD21_0_5x" localSheetId="46">'206'!$D$24:$G$24</definedName>
    <definedName name="OSRRefD21_0_5x" localSheetId="48">'300'!$D$116:$G$116</definedName>
    <definedName name="OSRRefD21_0_5x" localSheetId="49">'300 &amp; 317'!$D$138:$G$138</definedName>
    <definedName name="OSRRefD21_0_5x" localSheetId="50">'301'!$D$24:$G$24</definedName>
    <definedName name="OSRRefD21_0_5x" localSheetId="52">'307'!$D$43:$G$43</definedName>
    <definedName name="OSRRefD21_0_5x" localSheetId="53">'308'!$D$58:$G$58</definedName>
    <definedName name="OSRRefD21_0_5x" localSheetId="64">'309'!$D$26:$G$26</definedName>
    <definedName name="OSRRefD21_0_5x" localSheetId="63">'310'!$D$31:$G$31</definedName>
    <definedName name="OSRRefD21_0_5x" localSheetId="71">'310 &amp; 491'!$D$36:$G$36</definedName>
    <definedName name="OSRRefD21_0_5x" localSheetId="54">'311'!$D$57:$G$57</definedName>
    <definedName name="OSRRefD21_0_5x" localSheetId="65">'313'!$D$25:$G$25</definedName>
    <definedName name="OSRRefD21_0_5x" localSheetId="57">'315'!$D$81:$G$81</definedName>
    <definedName name="OSRRefD21_0_5x" localSheetId="60">'316'!$D$34:$G$34</definedName>
    <definedName name="OSRRefD21_0_5x" localSheetId="62">'317'!$D$53:$G$53</definedName>
    <definedName name="OSRRefD21_0_5x" localSheetId="66">'321'!$D$27:$G$27</definedName>
    <definedName name="OSRRefD21_0_5x" localSheetId="67">'322'!$D$27:$G$27</definedName>
    <definedName name="OSRRefD21_0_5x" localSheetId="55">'324'!$D$31:$G$31</definedName>
    <definedName name="OSRRefD21_0_5x" localSheetId="68">'325'!$D$26:$G$26</definedName>
    <definedName name="OSRRefD21_0_5x" localSheetId="58">'326'!$D$48:$G$48</definedName>
    <definedName name="OSRRefD21_0_5x" localSheetId="51">'330'!$D$43:$G$43</definedName>
    <definedName name="OSRRefD21_0_5x" localSheetId="56">'331'!$D$81:$G$81</definedName>
    <definedName name="OSRRefD21_0_5x" localSheetId="59">'332'!$D$34:$G$34</definedName>
    <definedName name="OSRRefD21_0_5x" localSheetId="73">'405'!$D$27:$G$27</definedName>
    <definedName name="OSRRefD21_0_5x" localSheetId="75">'411'!$D$24:$G$24</definedName>
    <definedName name="OSRRefD21_0_5x" localSheetId="76">'412'!$D$26:$G$26</definedName>
    <definedName name="OSRRefD21_0_5x" localSheetId="77">'413'!$D$27:$G$27</definedName>
    <definedName name="OSRRefD21_0_5x" localSheetId="78">'414'!$D$28:$G$28</definedName>
    <definedName name="OSRRefD21_0_5x" localSheetId="79">'415'!$D$31:$G$31</definedName>
    <definedName name="OSRRefD21_0_5x" localSheetId="80">'418'!$D$27:$G$27</definedName>
    <definedName name="OSRRefD21_0_5x" localSheetId="82">'423'!$D$24:$G$24</definedName>
    <definedName name="OSRRefD21_0_5x" localSheetId="87">'430'!$D$24:$G$24</definedName>
    <definedName name="OSRRefD21_0_5x" localSheetId="88">'433'!$D$31:$G$31</definedName>
    <definedName name="OSRRefD21_0_5x" localSheetId="90">'444'!$D$31:$G$31</definedName>
    <definedName name="OSRRefD21_0_5x" localSheetId="91">'450'!$D$27:$G$27</definedName>
    <definedName name="OSRRefD21_0_5x" localSheetId="72">'491'!$D$33:$G$33</definedName>
    <definedName name="OSRRefD21_0_5x" localSheetId="86">'492'!$D$31:$G$31</definedName>
    <definedName name="OSRRefD21_0_5x" localSheetId="93">'501'!$D$26:$G$26</definedName>
    <definedName name="OSRRefD21_0_5x" localSheetId="39">'Div 2'!$D$24:$G$24</definedName>
    <definedName name="OSRRefD21_0_5x" localSheetId="47">'Div 3'!$D$120:$G$120</definedName>
    <definedName name="OSRRefD21_0_5x" localSheetId="70">'Div 4'!$D$35:$G$35</definedName>
    <definedName name="OSRRefD21_0_5x" localSheetId="92">'Div 5'!$D$26:$G$26</definedName>
    <definedName name="OSRRefD21_0_5x" localSheetId="61">'Div 6'!$D$53:$G$53</definedName>
    <definedName name="OSRRefD21_0_5x" localSheetId="2">Summary!$D$147:$G$147</definedName>
    <definedName name="OSRRefD21_0_6x" localSheetId="41">'201'!$D$25:$G$25</definedName>
    <definedName name="OSRRefD21_0_6x" localSheetId="42">'202'!$D$25:$G$25</definedName>
    <definedName name="OSRRefD21_0_6x" localSheetId="43">'203'!$D$25:$G$25</definedName>
    <definedName name="OSRRefD21_0_6x" localSheetId="44">'204'!$D$25:$G$25</definedName>
    <definedName name="OSRRefD21_0_6x" localSheetId="45">'205'!$D$25:$G$25</definedName>
    <definedName name="OSRRefD21_0_6x" localSheetId="46">'206'!$D$25:$G$25</definedName>
    <definedName name="OSRRefD21_0_6x" localSheetId="48">'300'!$D$117:$G$117</definedName>
    <definedName name="OSRRefD21_0_6x" localSheetId="49">'300 &amp; 317'!$D$139:$G$139</definedName>
    <definedName name="OSRRefD21_0_6x" localSheetId="50">'301'!$D$25:$G$25</definedName>
    <definedName name="OSRRefD21_0_6x" localSheetId="52">'307'!$D$44:$G$44</definedName>
    <definedName name="OSRRefD21_0_6x" localSheetId="53">'308'!$D$59:$G$59</definedName>
    <definedName name="OSRRefD21_0_6x" localSheetId="64">'309'!$D$27:$G$27</definedName>
    <definedName name="OSRRefD21_0_6x" localSheetId="63">'310'!$D$32:$G$32</definedName>
    <definedName name="OSRRefD21_0_6x" localSheetId="71">'310 &amp; 491'!$D$37:$G$37</definedName>
    <definedName name="OSRRefD21_0_6x" localSheetId="54">'311'!$D$58:$G$58</definedName>
    <definedName name="OSRRefD21_0_6x" localSheetId="65">'313'!$D$26:$G$26</definedName>
    <definedName name="OSRRefD21_0_6x" localSheetId="57">'315'!$D$82:$G$82</definedName>
    <definedName name="OSRRefD21_0_6x" localSheetId="60">'316'!$D$35:$G$35</definedName>
    <definedName name="OSRRefD21_0_6x" localSheetId="62">'317'!$D$54:$G$54</definedName>
    <definedName name="OSRRefD21_0_6x" localSheetId="66">'321'!$D$28:$G$28</definedName>
    <definedName name="OSRRefD21_0_6x" localSheetId="67">'322'!$D$28:$G$28</definedName>
    <definedName name="OSRRefD21_0_6x" localSheetId="55">'324'!$D$32:$G$32</definedName>
    <definedName name="OSRRefD21_0_6x" localSheetId="68">'325'!$D$27:$G$27</definedName>
    <definedName name="OSRRefD21_0_6x" localSheetId="58">'326'!$D$49:$G$49</definedName>
    <definedName name="OSRRefD21_0_6x" localSheetId="51">'330'!$D$44:$G$44</definedName>
    <definedName name="OSRRefD21_0_6x" localSheetId="56">'331'!$D$82:$G$82</definedName>
    <definedName name="OSRRefD21_0_6x" localSheetId="59">'332'!$D$35:$G$35</definedName>
    <definedName name="OSRRefD21_0_6x" localSheetId="73">'405'!$D$28:$G$28</definedName>
    <definedName name="OSRRefD21_0_6x" localSheetId="75">'411'!$D$25:$G$25</definedName>
    <definedName name="OSRRefD21_0_6x" localSheetId="76">'412'!$D$27:$G$27</definedName>
    <definedName name="OSRRefD21_0_6x" localSheetId="77">'413'!$D$28:$G$28</definedName>
    <definedName name="OSRRefD21_0_6x" localSheetId="78">'414'!$D$29:$G$29</definedName>
    <definedName name="OSRRefD21_0_6x" localSheetId="79">'415'!$D$32:$G$32</definedName>
    <definedName name="OSRRefD21_0_6x" localSheetId="80">'418'!$D$28:$G$28</definedName>
    <definedName name="OSRRefD21_0_6x" localSheetId="82">'423'!$D$25:$G$25</definedName>
    <definedName name="OSRRefD21_0_6x" localSheetId="87">'430'!$D$25:$G$25</definedName>
    <definedName name="OSRRefD21_0_6x" localSheetId="88">'433'!$D$32:$G$32</definedName>
    <definedName name="OSRRefD21_0_6x" localSheetId="90">'444'!$D$32:$G$32</definedName>
    <definedName name="OSRRefD21_0_6x" localSheetId="91">'450'!$D$28:$G$28</definedName>
    <definedName name="OSRRefD21_0_6x" localSheetId="72">'491'!$D$34:$G$34</definedName>
    <definedName name="OSRRefD21_0_6x" localSheetId="86">'492'!$D$32:$G$32</definedName>
    <definedName name="OSRRefD21_0_6x" localSheetId="93">'501'!$D$27:$G$27</definedName>
    <definedName name="OSRRefD21_0_6x" localSheetId="39">'Div 2'!$D$25:$G$25</definedName>
    <definedName name="OSRRefD21_0_6x" localSheetId="47">'Div 3'!$D$121:$G$121</definedName>
    <definedName name="OSRRefD21_0_6x" localSheetId="70">'Div 4'!$D$36:$G$36</definedName>
    <definedName name="OSRRefD21_0_6x" localSheetId="92">'Div 5'!$D$27:$G$27</definedName>
    <definedName name="OSRRefD21_0_6x" localSheetId="61">'Div 6'!$D$54:$G$54</definedName>
    <definedName name="OSRRefD21_0_6x" localSheetId="2">Summary!$D$148:$G$148</definedName>
    <definedName name="OSRRefD21_0_7x" localSheetId="41">'201'!$D$26:$G$26</definedName>
    <definedName name="OSRRefD21_0_7x" localSheetId="42">'202'!$D$26:$G$26</definedName>
    <definedName name="OSRRefD21_0_7x" localSheetId="43">'203'!$D$26:$G$26</definedName>
    <definedName name="OSRRefD21_0_7x" localSheetId="44">'204'!$D$26:$G$26</definedName>
    <definedName name="OSRRefD21_0_7x" localSheetId="45">'205'!$D$26:$G$26</definedName>
    <definedName name="OSRRefD21_0_7x" localSheetId="46">'206'!$D$26:$G$26</definedName>
    <definedName name="OSRRefD21_0_7x" localSheetId="48">'300'!$D$118:$G$118</definedName>
    <definedName name="OSRRefD21_0_7x" localSheetId="49">'300 &amp; 317'!$D$140:$G$140</definedName>
    <definedName name="OSRRefD21_0_7x" localSheetId="50">'301'!$D$26:$G$26</definedName>
    <definedName name="OSRRefD21_0_7x" localSheetId="52">'307'!$D$45:$G$45</definedName>
    <definedName name="OSRRefD21_0_7x" localSheetId="53">'308'!$D$60:$G$60</definedName>
    <definedName name="OSRRefD21_0_7x" localSheetId="64">'309'!$D$28:$G$28</definedName>
    <definedName name="OSRRefD21_0_7x" localSheetId="63">'310'!$D$33:$G$33</definedName>
    <definedName name="OSRRefD21_0_7x" localSheetId="71">'310 &amp; 491'!$D$38:$G$38</definedName>
    <definedName name="OSRRefD21_0_7x" localSheetId="54">'311'!$D$59:$G$59</definedName>
    <definedName name="OSRRefD21_0_7x" localSheetId="65">'313'!$D$27:$G$27</definedName>
    <definedName name="OSRRefD21_0_7x" localSheetId="57">'315'!$D$83:$G$83</definedName>
    <definedName name="OSRRefD21_0_7x" localSheetId="60">'316'!$D$36:$G$36</definedName>
    <definedName name="OSRRefD21_0_7x" localSheetId="62">'317'!$D$55:$G$55</definedName>
    <definedName name="OSRRefD21_0_7x" localSheetId="66">'321'!$D$29:$G$29</definedName>
    <definedName name="OSRRefD21_0_7x" localSheetId="67">'322'!$D$29:$G$29</definedName>
    <definedName name="OSRRefD21_0_7x" localSheetId="55">'324'!$D$33:$G$33</definedName>
    <definedName name="OSRRefD21_0_7x" localSheetId="68">'325'!$D$28:$G$28</definedName>
    <definedName name="OSRRefD21_0_7x" localSheetId="58">'326'!$D$50:$G$50</definedName>
    <definedName name="OSRRefD21_0_7x" localSheetId="51">'330'!$D$45:$G$45</definedName>
    <definedName name="OSRRefD21_0_7x" localSheetId="56">'331'!$D$83:$G$83</definedName>
    <definedName name="OSRRefD21_0_7x" localSheetId="59">'332'!$D$36:$G$36</definedName>
    <definedName name="OSRRefD21_0_7x" localSheetId="73">'405'!$D$29:$G$29</definedName>
    <definedName name="OSRRefD21_0_7x" localSheetId="75">'411'!$D$26:$G$26</definedName>
    <definedName name="OSRRefD21_0_7x" localSheetId="76">'412'!$D$28:$G$28</definedName>
    <definedName name="OSRRefD21_0_7x" localSheetId="77">'413'!$D$29:$G$29</definedName>
    <definedName name="OSRRefD21_0_7x" localSheetId="78">'414'!$D$30:$G$30</definedName>
    <definedName name="OSRRefD21_0_7x" localSheetId="79">'415'!$D$33:$G$33</definedName>
    <definedName name="OSRRefD21_0_7x" localSheetId="80">'418'!$D$29:$G$29</definedName>
    <definedName name="OSRRefD21_0_7x" localSheetId="82">'423'!$D$26:$G$26</definedName>
    <definedName name="OSRRefD21_0_7x" localSheetId="87">'430'!$D$26:$G$26</definedName>
    <definedName name="OSRRefD21_0_7x" localSheetId="88">'433'!$D$33:$G$33</definedName>
    <definedName name="OSRRefD21_0_7x" localSheetId="90">'444'!$D$33:$G$33</definedName>
    <definedName name="OSRRefD21_0_7x" localSheetId="91">'450'!$D$29:$G$29</definedName>
    <definedName name="OSRRefD21_0_7x" localSheetId="72">'491'!$D$35:$G$35</definedName>
    <definedName name="OSRRefD21_0_7x" localSheetId="86">'492'!$D$33:$G$33</definedName>
    <definedName name="OSRRefD21_0_7x" localSheetId="93">'501'!$D$28:$G$28</definedName>
    <definedName name="OSRRefD21_0_7x" localSheetId="39">'Div 2'!$D$26:$G$26</definedName>
    <definedName name="OSRRefD21_0_7x" localSheetId="47">'Div 3'!$D$122:$G$122</definedName>
    <definedName name="OSRRefD21_0_7x" localSheetId="70">'Div 4'!$D$37:$G$37</definedName>
    <definedName name="OSRRefD21_0_7x" localSheetId="92">'Div 5'!$D$28:$G$28</definedName>
    <definedName name="OSRRefD21_0_7x" localSheetId="61">'Div 6'!$D$55:$G$55</definedName>
    <definedName name="OSRRefD21_0_7x" localSheetId="2">Summary!$D$149:$G$149</definedName>
    <definedName name="OSRRefD21_0_8x" localSheetId="41">'201'!$D$27:$G$27</definedName>
    <definedName name="OSRRefD21_0_8x" localSheetId="42">'202'!$D$27:$G$27</definedName>
    <definedName name="OSRRefD21_0_8x" localSheetId="43">'203'!$D$27:$G$27</definedName>
    <definedName name="OSRRefD21_0_8x" localSheetId="44">'204'!$D$27:$G$27</definedName>
    <definedName name="OSRRefD21_0_8x" localSheetId="45">'205'!$D$27:$G$27</definedName>
    <definedName name="OSRRefD21_0_8x" localSheetId="46">'206'!$D$27:$G$27</definedName>
    <definedName name="OSRRefD21_0_8x" localSheetId="48">'300'!$D$119:$G$119</definedName>
    <definedName name="OSRRefD21_0_8x" localSheetId="49">'300 &amp; 317'!$D$141:$G$141</definedName>
    <definedName name="OSRRefD21_0_8x" localSheetId="50">'301'!$D$27:$G$27</definedName>
    <definedName name="OSRRefD21_0_8x" localSheetId="53">'308'!$D$61:$G$61</definedName>
    <definedName name="OSRRefD21_0_8x" localSheetId="63">'310'!$D$34:$G$34</definedName>
    <definedName name="OSRRefD21_0_8x" localSheetId="71">'310 &amp; 491'!$D$39:$G$39</definedName>
    <definedName name="OSRRefD21_0_8x" localSheetId="54">'311'!$D$60:$G$60</definedName>
    <definedName name="OSRRefD21_0_8x" localSheetId="65">'313'!$D$28:$G$28</definedName>
    <definedName name="OSRRefD21_0_8x" localSheetId="57">'315'!$D$84:$G$84</definedName>
    <definedName name="OSRRefD21_0_8x" localSheetId="60">'316'!$D$37:$G$37</definedName>
    <definedName name="OSRRefD21_0_8x" localSheetId="62">'317'!$D$56:$G$56</definedName>
    <definedName name="OSRRefD21_0_8x" localSheetId="66">'321'!$D$30:$G$30</definedName>
    <definedName name="OSRRefD21_0_8x" localSheetId="58">'326'!$D$51:$G$51</definedName>
    <definedName name="OSRRefD21_0_8x" localSheetId="56">'331'!$D$84:$G$84</definedName>
    <definedName name="OSRRefD21_0_8x" localSheetId="59">'332'!$D$37:$G$37</definedName>
    <definedName name="OSRRefD21_0_8x" localSheetId="75">'411'!$D$27:$G$27</definedName>
    <definedName name="OSRRefD21_0_8x" localSheetId="77">'413'!$D$30:$G$30</definedName>
    <definedName name="OSRRefD21_0_8x" localSheetId="78">'414'!$D$31:$G$31</definedName>
    <definedName name="OSRRefD21_0_8x" localSheetId="79">'415'!$D$34:$G$34</definedName>
    <definedName name="OSRRefD21_0_8x" localSheetId="87">'430'!$D$27:$G$27</definedName>
    <definedName name="OSRRefD21_0_8x" localSheetId="88">'433'!$D$34:$G$34</definedName>
    <definedName name="OSRRefD21_0_8x" localSheetId="90">'444'!$D$34:$G$34</definedName>
    <definedName name="OSRRefD21_0_8x" localSheetId="91">'450'!$D$30:$G$30</definedName>
    <definedName name="OSRRefD21_0_8x" localSheetId="72">'491'!$D$36:$G$36</definedName>
    <definedName name="OSRRefD21_0_8x" localSheetId="86">'492'!$D$34:$G$34</definedName>
    <definedName name="OSRRefD21_0_8x" localSheetId="93">'501'!$D$29:$G$29</definedName>
    <definedName name="OSRRefD21_0_8x" localSheetId="39">'Div 2'!$D$27:$G$27</definedName>
    <definedName name="OSRRefD21_0_8x" localSheetId="47">'Div 3'!$D$123:$G$123</definedName>
    <definedName name="OSRRefD21_0_8x" localSheetId="70">'Div 4'!$D$38:$G$38</definedName>
    <definedName name="OSRRefD21_0_8x" localSheetId="92">'Div 5'!$D$29:$G$29</definedName>
    <definedName name="OSRRefD21_0_8x" localSheetId="61">'Div 6'!$D$56:$G$56</definedName>
    <definedName name="OSRRefD21_0_8x" localSheetId="2">Summary!$D$150:$G$150</definedName>
    <definedName name="OSRRefD21_0_9x" localSheetId="43">'203'!$D$28:$G$28</definedName>
    <definedName name="OSRRefD21_0_9x" localSheetId="44">'204'!$D$28:$G$28</definedName>
    <definedName name="OSRRefD21_0_9x" localSheetId="48">'300'!$D$120:$G$120</definedName>
    <definedName name="OSRRefD21_0_9x" localSheetId="49">'300 &amp; 317'!$D$142:$G$142</definedName>
    <definedName name="OSRRefD21_0_9x" localSheetId="53">'308'!$D$62:$G$62</definedName>
    <definedName name="OSRRefD21_0_9x" localSheetId="54">'311'!$D$61:$G$61</definedName>
    <definedName name="OSRRefD21_0_9x" localSheetId="62">'317'!$D$57:$G$57</definedName>
    <definedName name="OSRRefD21_0_9x" localSheetId="88">'433'!$D$35:$G$35</definedName>
    <definedName name="OSRRefD21_0_9x" localSheetId="90">'444'!$D$35:$G$35</definedName>
    <definedName name="OSRRefD21_0_9x" localSheetId="91">'450'!$D$31:$G$31</definedName>
    <definedName name="OSRRefD21_0_9x" localSheetId="86">'492'!$D$35:$G$35</definedName>
    <definedName name="OSRRefD21_0_9x" localSheetId="93">'501'!$D$30:$G$30</definedName>
    <definedName name="OSRRefD21_0_9x" localSheetId="39">'Div 2'!$D$28:$G$28</definedName>
    <definedName name="OSRRefD21_0_9x" localSheetId="47">'Div 3'!$D$124:$G$124</definedName>
    <definedName name="OSRRefD21_0_9x" localSheetId="70">'Div 4'!$D$39:$G$39</definedName>
    <definedName name="OSRRefD21_0_9x" localSheetId="92">'Div 5'!$D$30:$G$30</definedName>
    <definedName name="OSRRefD21_0_9x" localSheetId="61">'Div 6'!$D$57:$G$57</definedName>
    <definedName name="OSRRefD21_0_9x" localSheetId="2">Summary!$D$151:$G$151</definedName>
    <definedName name="OSRRefD21_0x_0" localSheetId="40">'200'!$D$19</definedName>
    <definedName name="OSRRefD21_0x_0" localSheetId="41">'201'!$D$19:$D$27</definedName>
    <definedName name="OSRRefD21_0x_0" localSheetId="42">'202'!$D$19:$D$27</definedName>
    <definedName name="OSRRefD21_0x_0" localSheetId="43">'203'!$D$19:$D$28</definedName>
    <definedName name="OSRRefD21_0x_0" localSheetId="44">'204'!$D$19:$D$28</definedName>
    <definedName name="OSRRefD21_0x_0" localSheetId="45">'205'!$D$19:$D$27</definedName>
    <definedName name="OSRRefD21_0x_0" localSheetId="46">'206'!$D$19:$D$27</definedName>
    <definedName name="OSRRefD21_0x_0" localSheetId="48">'300'!$D$111:$D$120</definedName>
    <definedName name="OSRRefD21_0x_0" localSheetId="49">'300 &amp; 317'!$D$133:$D$142</definedName>
    <definedName name="OSRRefD21_0x_0" localSheetId="50">'301'!$D$19:$D$27</definedName>
    <definedName name="OSRRefD21_0x_0" localSheetId="52">'307'!$D$38:$D$45</definedName>
    <definedName name="OSRRefD21_0x_0" localSheetId="53">'308'!$D$53:$D$62</definedName>
    <definedName name="OSRRefD21_0x_0" localSheetId="64">'309'!$D$21:$D$28</definedName>
    <definedName name="OSRRefD21_0x_0" localSheetId="63">'310'!$D$26:$D$34</definedName>
    <definedName name="OSRRefD21_0x_0" localSheetId="71">'310 &amp; 491'!$D$31:$D$39</definedName>
    <definedName name="OSRRefD21_0x_0" localSheetId="54">'311'!$D$52:$D$61</definedName>
    <definedName name="OSRRefD21_0x_0" localSheetId="65">'313'!$D$20:$D$28</definedName>
    <definedName name="OSRRefD21_0x_0" localSheetId="57">'315'!$D$76:$D$84</definedName>
    <definedName name="OSRRefD21_0x_0" localSheetId="60">'316'!$D$29:$D$37</definedName>
    <definedName name="OSRRefD21_0x_0" localSheetId="62">'317'!$D$48:$D$57</definedName>
    <definedName name="OSRRefD21_0x_0" localSheetId="66">'321'!$D$22:$D$30</definedName>
    <definedName name="OSRRefD21_0x_0" localSheetId="67">'322'!$D$22:$D$29</definedName>
    <definedName name="OSRRefD21_0x_0" localSheetId="55">'324'!$D$26:$D$33</definedName>
    <definedName name="OSRRefD21_0x_0" localSheetId="68">'325'!$D$21:$D$28</definedName>
    <definedName name="OSRRefD21_0x_0" localSheetId="58">'326'!$D$43:$D$51</definedName>
    <definedName name="OSRRefD21_0x_0" localSheetId="69">'327'!$D$23</definedName>
    <definedName name="OSRRefD21_0x_0" localSheetId="51">'330'!$D$38:$D$45</definedName>
    <definedName name="OSRRefD21_0x_0" localSheetId="56">'331'!$D$76:$D$84</definedName>
    <definedName name="OSRRefD21_0x_0" localSheetId="59">'332'!$D$29:$D$37</definedName>
    <definedName name="OSRRefD21_0x_0" localSheetId="73">'405'!$D$22:$D$29</definedName>
    <definedName name="OSRRefD21_0x_0" localSheetId="74">'406'!$D$19</definedName>
    <definedName name="OSRRefD21_0x_0" localSheetId="75">'411'!$D$19:$D$27</definedName>
    <definedName name="OSRRefD21_0x_0" localSheetId="76">'412'!$D$21:$D$28</definedName>
    <definedName name="OSRRefD21_0x_0" localSheetId="77">'413'!$D$22:$D$30</definedName>
    <definedName name="OSRRefD21_0x_0" localSheetId="78">'414'!$D$23:$D$31</definedName>
    <definedName name="OSRRefD21_0x_0" localSheetId="79">'415'!$D$26:$D$34</definedName>
    <definedName name="OSRRefD21_0x_0" localSheetId="80">'418'!$D$22:$D$29</definedName>
    <definedName name="OSRRefD21_0x_0" localSheetId="82">'423'!$D$19:$D$26</definedName>
    <definedName name="OSRRefD21_0x_0" localSheetId="83">'424'!$D$19</definedName>
    <definedName name="OSRRefD21_0x_0" localSheetId="84">'425'!$D$19:$D$23</definedName>
    <definedName name="OSRRefD21_0x_0" localSheetId="87">'430'!$D$19:$D$27</definedName>
    <definedName name="OSRRefD21_0x_0" localSheetId="88">'433'!$D$26:$D$35</definedName>
    <definedName name="OSRRefD21_0x_0" localSheetId="89">'435'!$D$19</definedName>
    <definedName name="OSRRefD21_0x_0" localSheetId="90">'444'!$D$26:$D$35</definedName>
    <definedName name="OSRRefD21_0x_0" localSheetId="91">'450'!$D$22:$D$31</definedName>
    <definedName name="OSRRefD21_0x_0" localSheetId="72">'491'!$D$28:$D$36</definedName>
    <definedName name="OSRRefD21_0x_0" localSheetId="86">'492'!$D$26:$D$35</definedName>
    <definedName name="OSRRefD21_0x_0" localSheetId="93">'501'!$D$21:$D$30</definedName>
    <definedName name="OSRRefD21_0x_0" localSheetId="39">'Div 2'!$D$19:$D$29</definedName>
    <definedName name="OSRRefD21_0x_0" localSheetId="47">'Div 3'!$D$115:$D$124</definedName>
    <definedName name="OSRRefD21_0x_0" localSheetId="70">'Div 4'!$D$30:$D$39</definedName>
    <definedName name="OSRRefD21_0x_0" localSheetId="92">'Div 5'!$D$21:$D$30</definedName>
    <definedName name="OSRRefD21_0x_0" localSheetId="61">'Div 6'!$D$48:$D$57</definedName>
    <definedName name="OSRRefD21_0x_0" localSheetId="2">Summary!$D$142:$D$151</definedName>
    <definedName name="OSRRefD21_0x_1" localSheetId="40">'200'!$E$19</definedName>
    <definedName name="OSRRefD21_0x_1" localSheetId="41">'201'!$E$19:$E$27</definedName>
    <definedName name="OSRRefD21_0x_1" localSheetId="42">'202'!$E$19:$E$27</definedName>
    <definedName name="OSRRefD21_0x_1" localSheetId="43">'203'!$E$19:$E$28</definedName>
    <definedName name="OSRRefD21_0x_1" localSheetId="44">'204'!$E$19:$E$28</definedName>
    <definedName name="OSRRefD21_0x_1" localSheetId="45">'205'!$E$19:$E$27</definedName>
    <definedName name="OSRRefD21_0x_1" localSheetId="46">'206'!$E$19:$E$27</definedName>
    <definedName name="OSRRefD21_0x_1" localSheetId="48">'300'!$E$111:$E$120</definedName>
    <definedName name="OSRRefD21_0x_1" localSheetId="49">'300 &amp; 317'!$E$133:$E$142</definedName>
    <definedName name="OSRRefD21_0x_1" localSheetId="50">'301'!$E$19:$E$27</definedName>
    <definedName name="OSRRefD21_0x_1" localSheetId="52">'307'!$E$38:$E$45</definedName>
    <definedName name="OSRRefD21_0x_1" localSheetId="53">'308'!$E$53:$E$62</definedName>
    <definedName name="OSRRefD21_0x_1" localSheetId="64">'309'!$E$21:$E$28</definedName>
    <definedName name="OSRRefD21_0x_1" localSheetId="63">'310'!$E$26:$E$34</definedName>
    <definedName name="OSRRefD21_0x_1" localSheetId="71">'310 &amp; 491'!$E$31:$E$39</definedName>
    <definedName name="OSRRefD21_0x_1" localSheetId="54">'311'!$E$52:$E$61</definedName>
    <definedName name="OSRRefD21_0x_1" localSheetId="65">'313'!$E$20:$E$28</definedName>
    <definedName name="OSRRefD21_0x_1" localSheetId="57">'315'!$E$76:$E$84</definedName>
    <definedName name="OSRRefD21_0x_1" localSheetId="60">'316'!$E$29:$E$37</definedName>
    <definedName name="OSRRefD21_0x_1" localSheetId="62">'317'!$E$48:$E$57</definedName>
    <definedName name="OSRRefD21_0x_1" localSheetId="66">'321'!$E$22:$E$30</definedName>
    <definedName name="OSRRefD21_0x_1" localSheetId="67">'322'!$E$22:$E$29</definedName>
    <definedName name="OSRRefD21_0x_1" localSheetId="55">'324'!$E$26:$E$33</definedName>
    <definedName name="OSRRefD21_0x_1" localSheetId="68">'325'!$E$21:$E$28</definedName>
    <definedName name="OSRRefD21_0x_1" localSheetId="58">'326'!$E$43:$E$51</definedName>
    <definedName name="OSRRefD21_0x_1" localSheetId="69">'327'!$E$23</definedName>
    <definedName name="OSRRefD21_0x_1" localSheetId="51">'330'!$E$38:$E$45</definedName>
    <definedName name="OSRRefD21_0x_1" localSheetId="56">'331'!$E$76:$E$84</definedName>
    <definedName name="OSRRefD21_0x_1" localSheetId="59">'332'!$E$29:$E$37</definedName>
    <definedName name="OSRRefD21_0x_1" localSheetId="73">'405'!$E$22:$E$29</definedName>
    <definedName name="OSRRefD21_0x_1" localSheetId="74">'406'!$E$19</definedName>
    <definedName name="OSRRefD21_0x_1" localSheetId="75">'411'!$E$19:$E$27</definedName>
    <definedName name="OSRRefD21_0x_1" localSheetId="76">'412'!$E$21:$E$28</definedName>
    <definedName name="OSRRefD21_0x_1" localSheetId="77">'413'!$E$22:$E$30</definedName>
    <definedName name="OSRRefD21_0x_1" localSheetId="78">'414'!$E$23:$E$31</definedName>
    <definedName name="OSRRefD21_0x_1" localSheetId="79">'415'!$E$26:$E$34</definedName>
    <definedName name="OSRRefD21_0x_1" localSheetId="80">'418'!$E$22:$E$29</definedName>
    <definedName name="OSRRefD21_0x_1" localSheetId="82">'423'!$E$19:$E$26</definedName>
    <definedName name="OSRRefD21_0x_1" localSheetId="83">'424'!$E$19</definedName>
    <definedName name="OSRRefD21_0x_1" localSheetId="84">'425'!$E$19:$E$23</definedName>
    <definedName name="OSRRefD21_0x_1" localSheetId="87">'430'!$E$19:$E$27</definedName>
    <definedName name="OSRRefD21_0x_1" localSheetId="88">'433'!$E$26:$E$35</definedName>
    <definedName name="OSRRefD21_0x_1" localSheetId="89">'435'!$E$19</definedName>
    <definedName name="OSRRefD21_0x_1" localSheetId="90">'444'!$E$26:$E$35</definedName>
    <definedName name="OSRRefD21_0x_1" localSheetId="91">'450'!$E$22:$E$31</definedName>
    <definedName name="OSRRefD21_0x_1" localSheetId="72">'491'!$E$28:$E$36</definedName>
    <definedName name="OSRRefD21_0x_1" localSheetId="86">'492'!$E$26:$E$35</definedName>
    <definedName name="OSRRefD21_0x_1" localSheetId="93">'501'!$E$21:$E$30</definedName>
    <definedName name="OSRRefD21_0x_1" localSheetId="39">'Div 2'!$E$19:$E$29</definedName>
    <definedName name="OSRRefD21_0x_1" localSheetId="47">'Div 3'!$E$115:$E$124</definedName>
    <definedName name="OSRRefD21_0x_1" localSheetId="70">'Div 4'!$E$30:$E$39</definedName>
    <definedName name="OSRRefD21_0x_1" localSheetId="92">'Div 5'!$E$21:$E$30</definedName>
    <definedName name="OSRRefD21_0x_1" localSheetId="61">'Div 6'!$E$48:$E$57</definedName>
    <definedName name="OSRRefD21_0x_1" localSheetId="2">Summary!$E$142:$E$151</definedName>
    <definedName name="OSRRefD21_0x_2" localSheetId="40">'200'!$F$19</definedName>
    <definedName name="OSRRefD21_0x_2" localSheetId="41">'201'!$F$19:$F$27</definedName>
    <definedName name="OSRRefD21_0x_2" localSheetId="42">'202'!$F$19:$F$27</definedName>
    <definedName name="OSRRefD21_0x_2" localSheetId="43">'203'!$F$19:$F$28</definedName>
    <definedName name="OSRRefD21_0x_2" localSheetId="44">'204'!$F$19:$F$28</definedName>
    <definedName name="OSRRefD21_0x_2" localSheetId="45">'205'!$F$19:$F$27</definedName>
    <definedName name="OSRRefD21_0x_2" localSheetId="46">'206'!$F$19:$F$27</definedName>
    <definedName name="OSRRefD21_0x_2" localSheetId="48">'300'!$F$111:$F$120</definedName>
    <definedName name="OSRRefD21_0x_2" localSheetId="49">'300 &amp; 317'!$F$133:$F$142</definedName>
    <definedName name="OSRRefD21_0x_2" localSheetId="50">'301'!$F$19:$F$27</definedName>
    <definedName name="OSRRefD21_0x_2" localSheetId="52">'307'!$F$38:$F$45</definedName>
    <definedName name="OSRRefD21_0x_2" localSheetId="53">'308'!$F$53:$F$62</definedName>
    <definedName name="OSRRefD21_0x_2" localSheetId="64">'309'!$F$21:$F$28</definedName>
    <definedName name="OSRRefD21_0x_2" localSheetId="63">'310'!$F$26:$F$34</definedName>
    <definedName name="OSRRefD21_0x_2" localSheetId="71">'310 &amp; 491'!$F$31:$F$39</definedName>
    <definedName name="OSRRefD21_0x_2" localSheetId="54">'311'!$F$52:$F$61</definedName>
    <definedName name="OSRRefD21_0x_2" localSheetId="65">'313'!$F$20:$F$28</definedName>
    <definedName name="OSRRefD21_0x_2" localSheetId="57">'315'!$F$76:$F$84</definedName>
    <definedName name="OSRRefD21_0x_2" localSheetId="60">'316'!$F$29:$F$37</definedName>
    <definedName name="OSRRefD21_0x_2" localSheetId="62">'317'!$F$48:$F$57</definedName>
    <definedName name="OSRRefD21_0x_2" localSheetId="66">'321'!$F$22:$F$30</definedName>
    <definedName name="OSRRefD21_0x_2" localSheetId="67">'322'!$F$22:$F$29</definedName>
    <definedName name="OSRRefD21_0x_2" localSheetId="55">'324'!$F$26:$F$33</definedName>
    <definedName name="OSRRefD21_0x_2" localSheetId="68">'325'!$F$21:$F$28</definedName>
    <definedName name="OSRRefD21_0x_2" localSheetId="58">'326'!$F$43:$F$51</definedName>
    <definedName name="OSRRefD21_0x_2" localSheetId="69">'327'!$F$23</definedName>
    <definedName name="OSRRefD21_0x_2" localSheetId="51">'330'!$F$38:$F$45</definedName>
    <definedName name="OSRRefD21_0x_2" localSheetId="56">'331'!$F$76:$F$84</definedName>
    <definedName name="OSRRefD21_0x_2" localSheetId="59">'332'!$F$29:$F$37</definedName>
    <definedName name="OSRRefD21_0x_2" localSheetId="73">'405'!$F$22:$F$29</definedName>
    <definedName name="OSRRefD21_0x_2" localSheetId="74">'406'!$F$19</definedName>
    <definedName name="OSRRefD21_0x_2" localSheetId="75">'411'!$F$19:$F$27</definedName>
    <definedName name="OSRRefD21_0x_2" localSheetId="76">'412'!$F$21:$F$28</definedName>
    <definedName name="OSRRefD21_0x_2" localSheetId="77">'413'!$F$22:$F$30</definedName>
    <definedName name="OSRRefD21_0x_2" localSheetId="78">'414'!$F$23:$F$31</definedName>
    <definedName name="OSRRefD21_0x_2" localSheetId="79">'415'!$F$26:$F$34</definedName>
    <definedName name="OSRRefD21_0x_2" localSheetId="80">'418'!$F$22:$F$29</definedName>
    <definedName name="OSRRefD21_0x_2" localSheetId="82">'423'!$F$19:$F$26</definedName>
    <definedName name="OSRRefD21_0x_2" localSheetId="83">'424'!$F$19</definedName>
    <definedName name="OSRRefD21_0x_2" localSheetId="84">'425'!$F$19:$F$23</definedName>
    <definedName name="OSRRefD21_0x_2" localSheetId="87">'430'!$F$19:$F$27</definedName>
    <definedName name="OSRRefD21_0x_2" localSheetId="88">'433'!$F$26:$F$35</definedName>
    <definedName name="OSRRefD21_0x_2" localSheetId="89">'435'!$F$19</definedName>
    <definedName name="OSRRefD21_0x_2" localSheetId="90">'444'!$F$26:$F$35</definedName>
    <definedName name="OSRRefD21_0x_2" localSheetId="91">'450'!$F$22:$F$31</definedName>
    <definedName name="OSRRefD21_0x_2" localSheetId="72">'491'!$F$28:$F$36</definedName>
    <definedName name="OSRRefD21_0x_2" localSheetId="86">'492'!$F$26:$F$35</definedName>
    <definedName name="OSRRefD21_0x_2" localSheetId="93">'501'!$F$21:$F$30</definedName>
    <definedName name="OSRRefD21_0x_2" localSheetId="39">'Div 2'!$F$19:$F$29</definedName>
    <definedName name="OSRRefD21_0x_2" localSheetId="47">'Div 3'!$F$115:$F$124</definedName>
    <definedName name="OSRRefD21_0x_2" localSheetId="70">'Div 4'!$F$30:$F$39</definedName>
    <definedName name="OSRRefD21_0x_2" localSheetId="92">'Div 5'!$F$21:$F$30</definedName>
    <definedName name="OSRRefD21_0x_2" localSheetId="61">'Div 6'!$F$48:$F$57</definedName>
    <definedName name="OSRRefD21_0x_2" localSheetId="2">Summary!$F$142:$F$151</definedName>
    <definedName name="OSRRefD21_0x_3" localSheetId="40">'200'!$G$19</definedName>
    <definedName name="OSRRefD21_0x_3" localSheetId="41">'201'!$G$19:$G$27</definedName>
    <definedName name="OSRRefD21_0x_3" localSheetId="42">'202'!$G$19:$G$27</definedName>
    <definedName name="OSRRefD21_0x_3" localSheetId="43">'203'!$G$19:$G$28</definedName>
    <definedName name="OSRRefD21_0x_3" localSheetId="44">'204'!$G$19:$G$28</definedName>
    <definedName name="OSRRefD21_0x_3" localSheetId="45">'205'!$G$19:$G$27</definedName>
    <definedName name="OSRRefD21_0x_3" localSheetId="46">'206'!$G$19:$G$27</definedName>
    <definedName name="OSRRefD21_0x_3" localSheetId="48">'300'!$G$111:$G$120</definedName>
    <definedName name="OSRRefD21_0x_3" localSheetId="49">'300 &amp; 317'!$G$133:$G$142</definedName>
    <definedName name="OSRRefD21_0x_3" localSheetId="50">'301'!$G$19:$G$27</definedName>
    <definedName name="OSRRefD21_0x_3" localSheetId="52">'307'!$G$38:$G$45</definedName>
    <definedName name="OSRRefD21_0x_3" localSheetId="53">'308'!$G$53:$G$62</definedName>
    <definedName name="OSRRefD21_0x_3" localSheetId="64">'309'!$G$21:$G$28</definedName>
    <definedName name="OSRRefD21_0x_3" localSheetId="63">'310'!$G$26:$G$34</definedName>
    <definedName name="OSRRefD21_0x_3" localSheetId="71">'310 &amp; 491'!$G$31:$G$39</definedName>
    <definedName name="OSRRefD21_0x_3" localSheetId="54">'311'!$G$52:$G$61</definedName>
    <definedName name="OSRRefD21_0x_3" localSheetId="65">'313'!$G$20:$G$28</definedName>
    <definedName name="OSRRefD21_0x_3" localSheetId="57">'315'!$G$76:$G$84</definedName>
    <definedName name="OSRRefD21_0x_3" localSheetId="60">'316'!$G$29:$G$37</definedName>
    <definedName name="OSRRefD21_0x_3" localSheetId="62">'317'!$G$48:$G$57</definedName>
    <definedName name="OSRRefD21_0x_3" localSheetId="66">'321'!$G$22:$G$30</definedName>
    <definedName name="OSRRefD21_0x_3" localSheetId="67">'322'!$G$22:$G$29</definedName>
    <definedName name="OSRRefD21_0x_3" localSheetId="55">'324'!$G$26:$G$33</definedName>
    <definedName name="OSRRefD21_0x_3" localSheetId="68">'325'!$G$21:$G$28</definedName>
    <definedName name="OSRRefD21_0x_3" localSheetId="58">'326'!$G$43:$G$51</definedName>
    <definedName name="OSRRefD21_0x_3" localSheetId="69">'327'!$G$23</definedName>
    <definedName name="OSRRefD21_0x_3" localSheetId="51">'330'!$G$38:$G$45</definedName>
    <definedName name="OSRRefD21_0x_3" localSheetId="56">'331'!$G$76:$G$84</definedName>
    <definedName name="OSRRefD21_0x_3" localSheetId="59">'332'!$G$29:$G$37</definedName>
    <definedName name="OSRRefD21_0x_3" localSheetId="73">'405'!$G$22:$G$29</definedName>
    <definedName name="OSRRefD21_0x_3" localSheetId="74">'406'!$G$19</definedName>
    <definedName name="OSRRefD21_0x_3" localSheetId="75">'411'!$G$19:$G$27</definedName>
    <definedName name="OSRRefD21_0x_3" localSheetId="76">'412'!$G$21:$G$28</definedName>
    <definedName name="OSRRefD21_0x_3" localSheetId="77">'413'!$G$22:$G$30</definedName>
    <definedName name="OSRRefD21_0x_3" localSheetId="78">'414'!$G$23:$G$31</definedName>
    <definedName name="OSRRefD21_0x_3" localSheetId="79">'415'!$G$26:$G$34</definedName>
    <definedName name="OSRRefD21_0x_3" localSheetId="80">'418'!$G$22:$G$29</definedName>
    <definedName name="OSRRefD21_0x_3" localSheetId="82">'423'!$G$19:$G$26</definedName>
    <definedName name="OSRRefD21_0x_3" localSheetId="83">'424'!$G$19</definedName>
    <definedName name="OSRRefD21_0x_3" localSheetId="84">'425'!$G$19:$G$23</definedName>
    <definedName name="OSRRefD21_0x_3" localSheetId="87">'430'!$G$19:$G$27</definedName>
    <definedName name="OSRRefD21_0x_3" localSheetId="88">'433'!$G$26:$G$35</definedName>
    <definedName name="OSRRefD21_0x_3" localSheetId="89">'435'!$G$19</definedName>
    <definedName name="OSRRefD21_0x_3" localSheetId="90">'444'!$G$26:$G$35</definedName>
    <definedName name="OSRRefD21_0x_3" localSheetId="91">'450'!$G$22:$G$31</definedName>
    <definedName name="OSRRefD21_0x_3" localSheetId="72">'491'!$G$28:$G$36</definedName>
    <definedName name="OSRRefD21_0x_3" localSheetId="86">'492'!$G$26:$G$35</definedName>
    <definedName name="OSRRefD21_0x_3" localSheetId="93">'501'!$G$21:$G$30</definedName>
    <definedName name="OSRRefD21_0x_3" localSheetId="39">'Div 2'!$G$19:$G$29</definedName>
    <definedName name="OSRRefD21_0x_3" localSheetId="47">'Div 3'!$G$115:$G$124</definedName>
    <definedName name="OSRRefD21_0x_3" localSheetId="70">'Div 4'!$G$30:$G$39</definedName>
    <definedName name="OSRRefD21_0x_3" localSheetId="92">'Div 5'!$G$21:$G$30</definedName>
    <definedName name="OSRRefD21_0x_3" localSheetId="61">'Div 6'!$G$48:$G$57</definedName>
    <definedName name="OSRRefD21_0x_3" localSheetId="2">Summary!$G$142:$G$151</definedName>
    <definedName name="OSRRefD21_1_0x" localSheetId="40">'200'!$D$21:$G$21</definedName>
    <definedName name="OSRRefD21_1_0x" localSheetId="41">'201'!$D$29:$G$29</definedName>
    <definedName name="OSRRefD21_1_0x" localSheetId="42">'202'!$D$29:$G$29</definedName>
    <definedName name="OSRRefD21_1_0x" localSheetId="43">'203'!$D$30:$G$30</definedName>
    <definedName name="OSRRefD21_1_0x" localSheetId="44">'204'!$D$30:$G$30</definedName>
    <definedName name="OSRRefD21_1_0x" localSheetId="45">'205'!$D$29:$G$29</definedName>
    <definedName name="OSRRefD21_1_0x" localSheetId="46">'206'!$D$29:$G$29</definedName>
    <definedName name="OSRRefD21_1_0x" localSheetId="48">'300'!$D$122:$G$122</definedName>
    <definedName name="OSRRefD21_1_0x" localSheetId="49">'300 &amp; 317'!$D$144:$G$144</definedName>
    <definedName name="OSRRefD21_1_0x" localSheetId="50">'301'!$D$29:$G$29</definedName>
    <definedName name="OSRRefD21_1_0x" localSheetId="52">'307'!$D$47:$G$47</definedName>
    <definedName name="OSRRefD21_1_0x" localSheetId="53">'308'!$D$64:$G$64</definedName>
    <definedName name="OSRRefD21_1_0x" localSheetId="64">'309'!$D$30:$G$30</definedName>
    <definedName name="OSRRefD21_1_0x" localSheetId="63">'310'!$D$36:$G$36</definedName>
    <definedName name="OSRRefD21_1_0x" localSheetId="71">'310 &amp; 491'!$D$41:$G$41</definedName>
    <definedName name="OSRRefD21_1_0x" localSheetId="54">'311'!$D$63:$G$63</definedName>
    <definedName name="OSRRefD21_1_0x" localSheetId="65">'313'!$D$30:$G$30</definedName>
    <definedName name="OSRRefD21_1_0x" localSheetId="57">'315'!$D$86:$G$86</definedName>
    <definedName name="OSRRefD21_1_0x" localSheetId="60">'316'!$D$39:$G$39</definedName>
    <definedName name="OSRRefD21_1_0x" localSheetId="62">'317'!$D$59:$G$59</definedName>
    <definedName name="OSRRefD21_1_0x" localSheetId="66">'321'!$D$32:$G$32</definedName>
    <definedName name="OSRRefD21_1_0x" localSheetId="67">'322'!$D$31:$G$31</definedName>
    <definedName name="OSRRefD21_1_0x" localSheetId="55">'324'!$D$35:$G$35</definedName>
    <definedName name="OSRRefD21_1_0x" localSheetId="68">'325'!$D$30:$G$30</definedName>
    <definedName name="OSRRefD21_1_0x" localSheetId="58">'326'!$D$53:$G$53</definedName>
    <definedName name="OSRRefD21_1_0x" localSheetId="51">'330'!$D$47:$G$47</definedName>
    <definedName name="OSRRefD21_1_0x" localSheetId="56">'331'!$D$86:$G$86</definedName>
    <definedName name="OSRRefD21_1_0x" localSheetId="59">'332'!$D$39:$G$39</definedName>
    <definedName name="OSRRefD21_1_0x" localSheetId="73">'405'!$D$31:$G$31</definedName>
    <definedName name="OSRRefD21_1_0x" localSheetId="74">'406'!$D$21:$G$21</definedName>
    <definedName name="OSRRefD21_1_0x" localSheetId="75">'411'!$D$29:$G$29</definedName>
    <definedName name="OSRRefD21_1_0x" localSheetId="76">'412'!$D$30:$G$30</definedName>
    <definedName name="OSRRefD21_1_0x" localSheetId="77">'413'!$D$32:$G$32</definedName>
    <definedName name="OSRRefD21_1_0x" localSheetId="78">'414'!$D$33:$G$33</definedName>
    <definedName name="OSRRefD21_1_0x" localSheetId="79">'415'!$D$36:$G$36</definedName>
    <definedName name="OSRRefD21_1_0x" localSheetId="80">'418'!$D$31:$G$31</definedName>
    <definedName name="OSRRefD21_1_0x" localSheetId="82">'423'!$D$28:$G$28</definedName>
    <definedName name="OSRRefD21_1_0x" localSheetId="83">'424'!$D$21:$G$21</definedName>
    <definedName name="OSRRefD21_1_0x" localSheetId="84">'425'!$D$25:$G$25</definedName>
    <definedName name="OSRRefD21_1_0x" localSheetId="87">'430'!$D$29:$G$29</definedName>
    <definedName name="OSRRefD21_1_0x" localSheetId="88">'433'!$D$37:$G$37</definedName>
    <definedName name="OSRRefD21_1_0x" localSheetId="90">'444'!$D$37:$G$37</definedName>
    <definedName name="OSRRefD21_1_0x" localSheetId="91">'450'!$D$33:$G$33</definedName>
    <definedName name="OSRRefD21_1_0x" localSheetId="72">'491'!$D$38:$G$38</definedName>
    <definedName name="OSRRefD21_1_0x" localSheetId="86">'492'!$D$37:$G$37</definedName>
    <definedName name="OSRRefD21_1_0x" localSheetId="93">'501'!$D$32:$G$32</definedName>
    <definedName name="OSRRefD21_1_0x" localSheetId="39">'Div 2'!$D$31:$G$31</definedName>
    <definedName name="OSRRefD21_1_0x" localSheetId="47">'Div 3'!$D$126:$G$126</definedName>
    <definedName name="OSRRefD21_1_0x" localSheetId="70">'Div 4'!$D$41:$G$41</definedName>
    <definedName name="OSRRefD21_1_0x" localSheetId="92">'Div 5'!$D$32:$G$32</definedName>
    <definedName name="OSRRefD21_1_0x" localSheetId="61">'Div 6'!$D$59:$G$59</definedName>
    <definedName name="OSRRefD21_1_0x" localSheetId="2">Summary!$D$153:$G$153</definedName>
    <definedName name="OSRRefD21_1_1x" localSheetId="41">'201'!$D$30:$G$30</definedName>
    <definedName name="OSRRefD21_1_1x" localSheetId="42">'202'!$D$30:$G$30</definedName>
    <definedName name="OSRRefD21_1_1x" localSheetId="43">'203'!$D$31:$G$31</definedName>
    <definedName name="OSRRefD21_1_1x" localSheetId="44">'204'!$D$31:$G$31</definedName>
    <definedName name="OSRRefD21_1_1x" localSheetId="45">'205'!$D$30:$G$30</definedName>
    <definedName name="OSRRefD21_1_1x" localSheetId="46">'206'!$D$30:$G$30</definedName>
    <definedName name="OSRRefD21_1_1x" localSheetId="48">'300'!$D$123:$G$123</definedName>
    <definedName name="OSRRefD21_1_1x" localSheetId="49">'300 &amp; 317'!$D$145:$G$145</definedName>
    <definedName name="OSRRefD21_1_1x" localSheetId="50">'301'!$D$30:$G$30</definedName>
    <definedName name="OSRRefD21_1_1x" localSheetId="52">'307'!$D$48:$G$48</definedName>
    <definedName name="OSRRefD21_1_1x" localSheetId="53">'308'!$D$65:$G$65</definedName>
    <definedName name="OSRRefD21_1_1x" localSheetId="64">'309'!$D$31:$G$31</definedName>
    <definedName name="OSRRefD21_1_1x" localSheetId="63">'310'!$D$37:$G$37</definedName>
    <definedName name="OSRRefD21_1_1x" localSheetId="71">'310 &amp; 491'!$D$42:$G$42</definedName>
    <definedName name="OSRRefD21_1_1x" localSheetId="54">'311'!$D$64:$G$64</definedName>
    <definedName name="OSRRefD21_1_1x" localSheetId="65">'313'!$D$31:$G$31</definedName>
    <definedName name="OSRRefD21_1_1x" localSheetId="57">'315'!$D$87:$G$87</definedName>
    <definedName name="OSRRefD21_1_1x" localSheetId="60">'316'!$D$40:$G$40</definedName>
    <definedName name="OSRRefD21_1_1x" localSheetId="62">'317'!$D$60:$G$60</definedName>
    <definedName name="OSRRefD21_1_1x" localSheetId="66">'321'!$D$33:$G$33</definedName>
    <definedName name="OSRRefD21_1_1x" localSheetId="67">'322'!$D$32:$G$32</definedName>
    <definedName name="OSRRefD21_1_1x" localSheetId="55">'324'!$D$36:$G$36</definedName>
    <definedName name="OSRRefD21_1_1x" localSheetId="68">'325'!$D$31:$G$31</definedName>
    <definedName name="OSRRefD21_1_1x" localSheetId="58">'326'!$D$54:$G$54</definedName>
    <definedName name="OSRRefD21_1_1x" localSheetId="51">'330'!$D$48:$G$48</definedName>
    <definedName name="OSRRefD21_1_1x" localSheetId="56">'331'!$D$87:$G$87</definedName>
    <definedName name="OSRRefD21_1_1x" localSheetId="59">'332'!$D$40:$G$40</definedName>
    <definedName name="OSRRefD21_1_1x" localSheetId="73">'405'!$D$32:$G$32</definedName>
    <definedName name="OSRRefD21_1_1x" localSheetId="75">'411'!$D$30:$G$30</definedName>
    <definedName name="OSRRefD21_1_1x" localSheetId="76">'412'!$D$31:$G$31</definedName>
    <definedName name="OSRRefD21_1_1x" localSheetId="77">'413'!$D$33:$G$33</definedName>
    <definedName name="OSRRefD21_1_1x" localSheetId="78">'414'!$D$34:$G$34</definedName>
    <definedName name="OSRRefD21_1_1x" localSheetId="79">'415'!$D$37:$G$37</definedName>
    <definedName name="OSRRefD21_1_1x" localSheetId="80">'418'!$D$32:$G$32</definedName>
    <definedName name="OSRRefD21_1_1x" localSheetId="82">'423'!$D$29:$G$29</definedName>
    <definedName name="OSRRefD21_1_1x" localSheetId="87">'430'!$D$30:$G$30</definedName>
    <definedName name="OSRRefD21_1_1x" localSheetId="88">'433'!$D$38:$G$38</definedName>
    <definedName name="OSRRefD21_1_1x" localSheetId="90">'444'!$D$38:$G$38</definedName>
    <definedName name="OSRRefD21_1_1x" localSheetId="91">'450'!$D$34:$G$34</definedName>
    <definedName name="OSRRefD21_1_1x" localSheetId="72">'491'!$D$39:$G$39</definedName>
    <definedName name="OSRRefD21_1_1x" localSheetId="86">'492'!$D$38:$G$38</definedName>
    <definedName name="OSRRefD21_1_1x" localSheetId="93">'501'!$D$33:$G$33</definedName>
    <definedName name="OSRRefD21_1_1x" localSheetId="39">'Div 2'!$D$32:$G$32</definedName>
    <definedName name="OSRRefD21_1_1x" localSheetId="47">'Div 3'!$D$127:$G$127</definedName>
    <definedName name="OSRRefD21_1_1x" localSheetId="70">'Div 4'!$D$42:$G$42</definedName>
    <definedName name="OSRRefD21_1_1x" localSheetId="92">'Div 5'!$D$33:$G$33</definedName>
    <definedName name="OSRRefD21_1_1x" localSheetId="61">'Div 6'!$D$60:$G$60</definedName>
    <definedName name="OSRRefD21_1_1x" localSheetId="2">Summary!$D$154:$G$154</definedName>
    <definedName name="OSRRefD21_1_2x" localSheetId="41">'201'!$D$31:$G$31</definedName>
    <definedName name="OSRRefD21_1_2x" localSheetId="42">'202'!$D$31:$G$31</definedName>
    <definedName name="OSRRefD21_1_2x" localSheetId="43">'203'!$D$32:$G$32</definedName>
    <definedName name="OSRRefD21_1_2x" localSheetId="44">'204'!$D$32:$G$32</definedName>
    <definedName name="OSRRefD21_1_2x" localSheetId="45">'205'!$D$31:$G$31</definedName>
    <definedName name="OSRRefD21_1_2x" localSheetId="46">'206'!$D$31:$G$31</definedName>
    <definedName name="OSRRefD21_1_2x" localSheetId="48">'300'!$D$124:$G$124</definedName>
    <definedName name="OSRRefD21_1_2x" localSheetId="49">'300 &amp; 317'!$D$146:$G$146</definedName>
    <definedName name="OSRRefD21_1_2x" localSheetId="50">'301'!$D$31:$G$31</definedName>
    <definedName name="OSRRefD21_1_2x" localSheetId="52">'307'!$D$49:$G$49</definedName>
    <definedName name="OSRRefD21_1_2x" localSheetId="53">'308'!$D$66:$G$66</definedName>
    <definedName name="OSRRefD21_1_2x" localSheetId="64">'309'!$D$32:$G$32</definedName>
    <definedName name="OSRRefD21_1_2x" localSheetId="63">'310'!$D$38:$G$38</definedName>
    <definedName name="OSRRefD21_1_2x" localSheetId="71">'310 &amp; 491'!$D$43:$G$43</definedName>
    <definedName name="OSRRefD21_1_2x" localSheetId="54">'311'!$D$65:$G$65</definedName>
    <definedName name="OSRRefD21_1_2x" localSheetId="65">'313'!$D$32:$G$32</definedName>
    <definedName name="OSRRefD21_1_2x" localSheetId="57">'315'!$D$88:$G$88</definedName>
    <definedName name="OSRRefD21_1_2x" localSheetId="60">'316'!$D$41:$G$41</definedName>
    <definedName name="OSRRefD21_1_2x" localSheetId="62">'317'!$D$61:$G$61</definedName>
    <definedName name="OSRRefD21_1_2x" localSheetId="66">'321'!$D$34:$G$34</definedName>
    <definedName name="OSRRefD21_1_2x" localSheetId="67">'322'!$D$33:$G$33</definedName>
    <definedName name="OSRRefD21_1_2x" localSheetId="55">'324'!$D$37:$G$37</definedName>
    <definedName name="OSRRefD21_1_2x" localSheetId="68">'325'!$D$32:$G$32</definedName>
    <definedName name="OSRRefD21_1_2x" localSheetId="58">'326'!$D$55:$G$55</definedName>
    <definedName name="OSRRefD21_1_2x" localSheetId="51">'330'!$D$49:$G$49</definedName>
    <definedName name="OSRRefD21_1_2x" localSheetId="56">'331'!$D$88:$G$88</definedName>
    <definedName name="OSRRefD21_1_2x" localSheetId="59">'332'!$D$41:$G$41</definedName>
    <definedName name="OSRRefD21_1_2x" localSheetId="73">'405'!$D$33:$G$33</definedName>
    <definedName name="OSRRefD21_1_2x" localSheetId="75">'411'!$D$31:$G$31</definedName>
    <definedName name="OSRRefD21_1_2x" localSheetId="76">'412'!$D$32:$G$32</definedName>
    <definedName name="OSRRefD21_1_2x" localSheetId="77">'413'!$D$34:$G$34</definedName>
    <definedName name="OSRRefD21_1_2x" localSheetId="78">'414'!$D$35:$G$35</definedName>
    <definedName name="OSRRefD21_1_2x" localSheetId="79">'415'!$D$38:$G$38</definedName>
    <definedName name="OSRRefD21_1_2x" localSheetId="80">'418'!$D$33:$G$33</definedName>
    <definedName name="OSRRefD21_1_2x" localSheetId="82">'423'!$D$30:$G$30</definedName>
    <definedName name="OSRRefD21_1_2x" localSheetId="87">'430'!$D$31:$G$31</definedName>
    <definedName name="OSRRefD21_1_2x" localSheetId="88">'433'!$D$39:$G$39</definedName>
    <definedName name="OSRRefD21_1_2x" localSheetId="90">'444'!$D$39:$G$39</definedName>
    <definedName name="OSRRefD21_1_2x" localSheetId="91">'450'!$D$35:$G$35</definedName>
    <definedName name="OSRRefD21_1_2x" localSheetId="72">'491'!$D$40:$G$40</definedName>
    <definedName name="OSRRefD21_1_2x" localSheetId="86">'492'!$D$39:$G$39</definedName>
    <definedName name="OSRRefD21_1_2x" localSheetId="93">'501'!$D$34:$G$34</definedName>
    <definedName name="OSRRefD21_1_2x" localSheetId="39">'Div 2'!$D$33:$G$33</definedName>
    <definedName name="OSRRefD21_1_2x" localSheetId="47">'Div 3'!$D$128:$G$128</definedName>
    <definedName name="OSRRefD21_1_2x" localSheetId="70">'Div 4'!$D$43:$G$43</definedName>
    <definedName name="OSRRefD21_1_2x" localSheetId="92">'Div 5'!$D$34:$G$34</definedName>
    <definedName name="OSRRefD21_1_2x" localSheetId="61">'Div 6'!$D$61:$G$61</definedName>
    <definedName name="OSRRefD21_1_2x" localSheetId="2">Summary!$D$155:$G$155</definedName>
    <definedName name="OSRRefD21_1_3x" localSheetId="41">'201'!$D$32:$G$32</definedName>
    <definedName name="OSRRefD21_1_3x" localSheetId="42">'202'!$D$32:$G$32</definedName>
    <definedName name="OSRRefD21_1_3x" localSheetId="43">'203'!$D$33:$G$33</definedName>
    <definedName name="OSRRefD21_1_3x" localSheetId="44">'204'!$D$33:$G$33</definedName>
    <definedName name="OSRRefD21_1_3x" localSheetId="45">'205'!$D$32:$G$32</definedName>
    <definedName name="OSRRefD21_1_3x" localSheetId="46">'206'!$D$32:$G$32</definedName>
    <definedName name="OSRRefD21_1_3x" localSheetId="48">'300'!$D$125:$G$125</definedName>
    <definedName name="OSRRefD21_1_3x" localSheetId="49">'300 &amp; 317'!$D$147:$G$147</definedName>
    <definedName name="OSRRefD21_1_3x" localSheetId="50">'301'!$D$32:$G$32</definedName>
    <definedName name="OSRRefD21_1_3x" localSheetId="52">'307'!$D$50:$G$50</definedName>
    <definedName name="OSRRefD21_1_3x" localSheetId="53">'308'!$D$67:$G$67</definedName>
    <definedName name="OSRRefD21_1_3x" localSheetId="64">'309'!$D$33:$G$33</definedName>
    <definedName name="OSRRefD21_1_3x" localSheetId="63">'310'!$D$39:$G$39</definedName>
    <definedName name="OSRRefD21_1_3x" localSheetId="71">'310 &amp; 491'!$D$44:$G$44</definedName>
    <definedName name="OSRRefD21_1_3x" localSheetId="54">'311'!$D$66:$G$66</definedName>
    <definedName name="OSRRefD21_1_3x" localSheetId="65">'313'!$D$33:$G$33</definedName>
    <definedName name="OSRRefD21_1_3x" localSheetId="57">'315'!$D$89:$G$89</definedName>
    <definedName name="OSRRefD21_1_3x" localSheetId="60">'316'!$D$42:$G$42</definedName>
    <definedName name="OSRRefD21_1_3x" localSheetId="62">'317'!$D$62:$G$62</definedName>
    <definedName name="OSRRefD21_1_3x" localSheetId="66">'321'!$D$35:$G$35</definedName>
    <definedName name="OSRRefD21_1_3x" localSheetId="67">'322'!$D$34:$G$34</definedName>
    <definedName name="OSRRefD21_1_3x" localSheetId="55">'324'!$D$38:$G$38</definedName>
    <definedName name="OSRRefD21_1_3x" localSheetId="68">'325'!$D$33:$G$33</definedName>
    <definedName name="OSRRefD21_1_3x" localSheetId="58">'326'!$D$56:$G$56</definedName>
    <definedName name="OSRRefD21_1_3x" localSheetId="51">'330'!$D$50:$G$50</definedName>
    <definedName name="OSRRefD21_1_3x" localSheetId="56">'331'!$D$89:$G$89</definedName>
    <definedName name="OSRRefD21_1_3x" localSheetId="59">'332'!$D$42:$G$42</definedName>
    <definedName name="OSRRefD21_1_3x" localSheetId="73">'405'!$D$34:$G$34</definedName>
    <definedName name="OSRRefD21_1_3x" localSheetId="75">'411'!$D$32:$G$32</definedName>
    <definedName name="OSRRefD21_1_3x" localSheetId="76">'412'!$D$33:$G$33</definedName>
    <definedName name="OSRRefD21_1_3x" localSheetId="77">'413'!$D$35:$G$35</definedName>
    <definedName name="OSRRefD21_1_3x" localSheetId="78">'414'!$D$36:$G$36</definedName>
    <definedName name="OSRRefD21_1_3x" localSheetId="79">'415'!$D$39:$G$39</definedName>
    <definedName name="OSRRefD21_1_3x" localSheetId="80">'418'!$D$34:$G$34</definedName>
    <definedName name="OSRRefD21_1_3x" localSheetId="82">'423'!$D$31:$G$31</definedName>
    <definedName name="OSRRefD21_1_3x" localSheetId="87">'430'!$D$32:$G$32</definedName>
    <definedName name="OSRRefD21_1_3x" localSheetId="88">'433'!$D$40:$G$40</definedName>
    <definedName name="OSRRefD21_1_3x" localSheetId="90">'444'!$D$40:$G$40</definedName>
    <definedName name="OSRRefD21_1_3x" localSheetId="91">'450'!$D$36:$G$36</definedName>
    <definedName name="OSRRefD21_1_3x" localSheetId="72">'491'!$D$41:$G$41</definedName>
    <definedName name="OSRRefD21_1_3x" localSheetId="86">'492'!$D$40:$G$40</definedName>
    <definedName name="OSRRefD21_1_3x" localSheetId="93">'501'!$D$35:$G$35</definedName>
    <definedName name="OSRRefD21_1_3x" localSheetId="39">'Div 2'!$D$34:$G$34</definedName>
    <definedName name="OSRRefD21_1_3x" localSheetId="47">'Div 3'!$D$129:$G$129</definedName>
    <definedName name="OSRRefD21_1_3x" localSheetId="70">'Div 4'!$D$44:$G$44</definedName>
    <definedName name="OSRRefD21_1_3x" localSheetId="92">'Div 5'!$D$35:$G$35</definedName>
    <definedName name="OSRRefD21_1_3x" localSheetId="61">'Div 6'!$D$62:$G$62</definedName>
    <definedName name="OSRRefD21_1_3x" localSheetId="2">Summary!$D$156:$G$156</definedName>
    <definedName name="OSRRefD21_1_4x" localSheetId="41">'201'!$D$33:$G$33</definedName>
    <definedName name="OSRRefD21_1_4x" localSheetId="42">'202'!$D$33:$G$33</definedName>
    <definedName name="OSRRefD21_1_4x" localSheetId="43">'203'!$D$34:$G$34</definedName>
    <definedName name="OSRRefD21_1_4x" localSheetId="44">'204'!$D$34:$G$34</definedName>
    <definedName name="OSRRefD21_1_4x" localSheetId="45">'205'!$D$33:$G$33</definedName>
    <definedName name="OSRRefD21_1_4x" localSheetId="46">'206'!$D$33:$G$33</definedName>
    <definedName name="OSRRefD21_1_4x" localSheetId="48">'300'!$D$126:$G$126</definedName>
    <definedName name="OSRRefD21_1_4x" localSheetId="49">'300 &amp; 317'!$D$148:$G$148</definedName>
    <definedName name="OSRRefD21_1_4x" localSheetId="50">'301'!$D$33:$G$33</definedName>
    <definedName name="OSRRefD21_1_4x" localSheetId="52">'307'!$D$51:$G$51</definedName>
    <definedName name="OSRRefD21_1_4x" localSheetId="53">'308'!$D$68:$G$68</definedName>
    <definedName name="OSRRefD21_1_4x" localSheetId="64">'309'!$D$34:$G$34</definedName>
    <definedName name="OSRRefD21_1_4x" localSheetId="63">'310'!$D$40:$G$40</definedName>
    <definedName name="OSRRefD21_1_4x" localSheetId="71">'310 &amp; 491'!$D$45:$G$45</definedName>
    <definedName name="OSRRefD21_1_4x" localSheetId="54">'311'!$D$67:$G$67</definedName>
    <definedName name="OSRRefD21_1_4x" localSheetId="65">'313'!$D$34:$G$34</definedName>
    <definedName name="OSRRefD21_1_4x" localSheetId="57">'315'!$D$90:$G$90</definedName>
    <definedName name="OSRRefD21_1_4x" localSheetId="60">'316'!$D$43:$G$43</definedName>
    <definedName name="OSRRefD21_1_4x" localSheetId="62">'317'!$D$63:$G$63</definedName>
    <definedName name="OSRRefD21_1_4x" localSheetId="66">'321'!$D$36:$G$36</definedName>
    <definedName name="OSRRefD21_1_4x" localSheetId="67">'322'!$D$35:$G$35</definedName>
    <definedName name="OSRRefD21_1_4x" localSheetId="55">'324'!$D$39:$G$39</definedName>
    <definedName name="OSRRefD21_1_4x" localSheetId="68">'325'!$D$34:$G$34</definedName>
    <definedName name="OSRRefD21_1_4x" localSheetId="58">'326'!$D$57:$G$57</definedName>
    <definedName name="OSRRefD21_1_4x" localSheetId="51">'330'!$D$51:$G$51</definedName>
    <definedName name="OSRRefD21_1_4x" localSheetId="56">'331'!$D$90:$G$90</definedName>
    <definedName name="OSRRefD21_1_4x" localSheetId="59">'332'!$D$43:$G$43</definedName>
    <definedName name="OSRRefD21_1_4x" localSheetId="73">'405'!$D$35:$G$35</definedName>
    <definedName name="OSRRefD21_1_4x" localSheetId="75">'411'!$D$33:$G$33</definedName>
    <definedName name="OSRRefD21_1_4x" localSheetId="76">'412'!$D$34:$G$34</definedName>
    <definedName name="OSRRefD21_1_4x" localSheetId="77">'413'!$D$36:$G$36</definedName>
    <definedName name="OSRRefD21_1_4x" localSheetId="78">'414'!$D$37:$G$37</definedName>
    <definedName name="OSRRefD21_1_4x" localSheetId="79">'415'!$D$40:$G$40</definedName>
    <definedName name="OSRRefD21_1_4x" localSheetId="80">'418'!$D$35:$G$35</definedName>
    <definedName name="OSRRefD21_1_4x" localSheetId="82">'423'!$D$32:$G$32</definedName>
    <definedName name="OSRRefD21_1_4x" localSheetId="87">'430'!$D$33:$G$33</definedName>
    <definedName name="OSRRefD21_1_4x" localSheetId="88">'433'!$D$41:$G$41</definedName>
    <definedName name="OSRRefD21_1_4x" localSheetId="90">'444'!$D$41:$G$41</definedName>
    <definedName name="OSRRefD21_1_4x" localSheetId="91">'450'!$D$37:$G$37</definedName>
    <definedName name="OSRRefD21_1_4x" localSheetId="72">'491'!$D$42:$G$42</definedName>
    <definedName name="OSRRefD21_1_4x" localSheetId="86">'492'!$D$41:$G$41</definedName>
    <definedName name="OSRRefD21_1_4x" localSheetId="93">'501'!$D$36:$G$36</definedName>
    <definedName name="OSRRefD21_1_4x" localSheetId="39">'Div 2'!$D$35:$G$35</definedName>
    <definedName name="OSRRefD21_1_4x" localSheetId="47">'Div 3'!$D$130:$G$130</definedName>
    <definedName name="OSRRefD21_1_4x" localSheetId="70">'Div 4'!$D$45:$G$45</definedName>
    <definedName name="OSRRefD21_1_4x" localSheetId="92">'Div 5'!$D$36:$G$36</definedName>
    <definedName name="OSRRefD21_1_4x" localSheetId="61">'Div 6'!$D$63:$G$63</definedName>
    <definedName name="OSRRefD21_1_4x" localSheetId="2">Summary!$D$157:$G$157</definedName>
    <definedName name="OSRRefD21_1_5x" localSheetId="41">'201'!$D$34:$G$34</definedName>
    <definedName name="OSRRefD21_1_5x" localSheetId="42">'202'!$D$34:$G$34</definedName>
    <definedName name="OSRRefD21_1_5x" localSheetId="43">'203'!$D$35:$G$35</definedName>
    <definedName name="OSRRefD21_1_5x" localSheetId="44">'204'!$D$35:$G$35</definedName>
    <definedName name="OSRRefD21_1_5x" localSheetId="45">'205'!$D$34:$G$34</definedName>
    <definedName name="OSRRefD21_1_5x" localSheetId="46">'206'!$D$34:$G$34</definedName>
    <definedName name="OSRRefD21_1_5x" localSheetId="48">'300'!$D$127:$G$127</definedName>
    <definedName name="OSRRefD21_1_5x" localSheetId="49">'300 &amp; 317'!$D$149:$G$149</definedName>
    <definedName name="OSRRefD21_1_5x" localSheetId="50">'301'!$D$34:$G$34</definedName>
    <definedName name="OSRRefD21_1_5x" localSheetId="52">'307'!$D$52:$G$52</definedName>
    <definedName name="OSRRefD21_1_5x" localSheetId="53">'308'!$D$69:$G$69</definedName>
    <definedName name="OSRRefD21_1_5x" localSheetId="64">'309'!$D$35:$G$35</definedName>
    <definedName name="OSRRefD21_1_5x" localSheetId="63">'310'!$D$41:$G$41</definedName>
    <definedName name="OSRRefD21_1_5x" localSheetId="71">'310 &amp; 491'!$D$46:$G$46</definedName>
    <definedName name="OSRRefD21_1_5x" localSheetId="54">'311'!$D$68:$G$68</definedName>
    <definedName name="OSRRefD21_1_5x" localSheetId="65">'313'!$D$35:$G$35</definedName>
    <definedName name="OSRRefD21_1_5x" localSheetId="57">'315'!$D$91:$G$91</definedName>
    <definedName name="OSRRefD21_1_5x" localSheetId="60">'316'!$D$44:$G$44</definedName>
    <definedName name="OSRRefD21_1_5x" localSheetId="62">'317'!$D$64:$G$64</definedName>
    <definedName name="OSRRefD21_1_5x" localSheetId="66">'321'!$D$37:$G$37</definedName>
    <definedName name="OSRRefD21_1_5x" localSheetId="67">'322'!$D$36:$G$36</definedName>
    <definedName name="OSRRefD21_1_5x" localSheetId="55">'324'!$D$40:$G$40</definedName>
    <definedName name="OSRRefD21_1_5x" localSheetId="68">'325'!$D$35:$G$35</definedName>
    <definedName name="OSRRefD21_1_5x" localSheetId="58">'326'!$D$58:$G$58</definedName>
    <definedName name="OSRRefD21_1_5x" localSheetId="51">'330'!$D$52:$G$52</definedName>
    <definedName name="OSRRefD21_1_5x" localSheetId="56">'331'!$D$91:$G$91</definedName>
    <definedName name="OSRRefD21_1_5x" localSheetId="59">'332'!$D$44:$G$44</definedName>
    <definedName name="OSRRefD21_1_5x" localSheetId="73">'405'!$D$36:$G$36</definedName>
    <definedName name="OSRRefD21_1_5x" localSheetId="75">'411'!$D$34:$G$34</definedName>
    <definedName name="OSRRefD21_1_5x" localSheetId="76">'412'!$D$35:$G$35</definedName>
    <definedName name="OSRRefD21_1_5x" localSheetId="77">'413'!$D$37:$G$37</definedName>
    <definedName name="OSRRefD21_1_5x" localSheetId="78">'414'!$D$38:$G$38</definedName>
    <definedName name="OSRRefD21_1_5x" localSheetId="79">'415'!$D$41:$G$41</definedName>
    <definedName name="OSRRefD21_1_5x" localSheetId="80">'418'!$D$36:$G$36</definedName>
    <definedName name="OSRRefD21_1_5x" localSheetId="82">'423'!$D$33:$G$33</definedName>
    <definedName name="OSRRefD21_1_5x" localSheetId="87">'430'!$D$34:$G$34</definedName>
    <definedName name="OSRRefD21_1_5x" localSheetId="88">'433'!$D$42:$G$42</definedName>
    <definedName name="OSRRefD21_1_5x" localSheetId="90">'444'!$D$42:$G$42</definedName>
    <definedName name="OSRRefD21_1_5x" localSheetId="91">'450'!$D$38:$G$38</definedName>
    <definedName name="OSRRefD21_1_5x" localSheetId="72">'491'!$D$43:$G$43</definedName>
    <definedName name="OSRRefD21_1_5x" localSheetId="86">'492'!$D$42:$G$42</definedName>
    <definedName name="OSRRefD21_1_5x" localSheetId="93">'501'!$D$37:$G$37</definedName>
    <definedName name="OSRRefD21_1_5x" localSheetId="39">'Div 2'!$D$36:$G$36</definedName>
    <definedName name="OSRRefD21_1_5x" localSheetId="47">'Div 3'!$D$131:$G$131</definedName>
    <definedName name="OSRRefD21_1_5x" localSheetId="70">'Div 4'!$D$46:$G$46</definedName>
    <definedName name="OSRRefD21_1_5x" localSheetId="92">'Div 5'!$D$37:$G$37</definedName>
    <definedName name="OSRRefD21_1_5x" localSheetId="61">'Div 6'!$D$64:$G$64</definedName>
    <definedName name="OSRRefD21_1_5x" localSheetId="2">Summary!$D$158:$G$158</definedName>
    <definedName name="OSRRefD21_1_6x" localSheetId="41">'201'!$D$35:$G$35</definedName>
    <definedName name="OSRRefD21_1_6x" localSheetId="42">'202'!$D$35:$G$35</definedName>
    <definedName name="OSRRefD21_1_6x" localSheetId="43">'203'!$D$36:$G$36</definedName>
    <definedName name="OSRRefD21_1_6x" localSheetId="44">'204'!$D$36:$G$36</definedName>
    <definedName name="OSRRefD21_1_6x" localSheetId="45">'205'!$D$35:$G$35</definedName>
    <definedName name="OSRRefD21_1_6x" localSheetId="46">'206'!$D$35:$G$35</definedName>
    <definedName name="OSRRefD21_1_6x" localSheetId="48">'300'!$D$128:$G$128</definedName>
    <definedName name="OSRRefD21_1_6x" localSheetId="49">'300 &amp; 317'!$D$150:$G$150</definedName>
    <definedName name="OSRRefD21_1_6x" localSheetId="50">'301'!$D$35:$G$35</definedName>
    <definedName name="OSRRefD21_1_6x" localSheetId="52">'307'!$D$53:$G$53</definedName>
    <definedName name="OSRRefD21_1_6x" localSheetId="53">'308'!$D$70:$G$70</definedName>
    <definedName name="OSRRefD21_1_6x" localSheetId="64">'309'!$D$36:$G$36</definedName>
    <definedName name="OSRRefD21_1_6x" localSheetId="63">'310'!$D$42:$G$42</definedName>
    <definedName name="OSRRefD21_1_6x" localSheetId="71">'310 &amp; 491'!$D$47:$G$47</definedName>
    <definedName name="OSRRefD21_1_6x" localSheetId="54">'311'!$D$69:$G$69</definedName>
    <definedName name="OSRRefD21_1_6x" localSheetId="65">'313'!$D$36:$G$36</definedName>
    <definedName name="OSRRefD21_1_6x" localSheetId="57">'315'!$D$92:$G$92</definedName>
    <definedName name="OSRRefD21_1_6x" localSheetId="60">'316'!$D$45:$G$45</definedName>
    <definedName name="OSRRefD21_1_6x" localSheetId="62">'317'!$D$65:$G$65</definedName>
    <definedName name="OSRRefD21_1_6x" localSheetId="66">'321'!$D$38:$G$38</definedName>
    <definedName name="OSRRefD21_1_6x" localSheetId="67">'322'!$D$37:$G$37</definedName>
    <definedName name="OSRRefD21_1_6x" localSheetId="55">'324'!$D$41:$G$41</definedName>
    <definedName name="OSRRefD21_1_6x" localSheetId="68">'325'!$D$36:$G$36</definedName>
    <definedName name="OSRRefD21_1_6x" localSheetId="58">'326'!$D$59:$G$59</definedName>
    <definedName name="OSRRefD21_1_6x" localSheetId="51">'330'!$D$53:$G$53</definedName>
    <definedName name="OSRRefD21_1_6x" localSheetId="56">'331'!$D$92:$G$92</definedName>
    <definedName name="OSRRefD21_1_6x" localSheetId="59">'332'!$D$45:$G$45</definedName>
    <definedName name="OSRRefD21_1_6x" localSheetId="73">'405'!$D$37:$G$37</definedName>
    <definedName name="OSRRefD21_1_6x" localSheetId="75">'411'!$D$35:$G$35</definedName>
    <definedName name="OSRRefD21_1_6x" localSheetId="76">'412'!$D$36:$G$36</definedName>
    <definedName name="OSRRefD21_1_6x" localSheetId="77">'413'!$D$38:$G$38</definedName>
    <definedName name="OSRRefD21_1_6x" localSheetId="78">'414'!$D$39:$G$39</definedName>
    <definedName name="OSRRefD21_1_6x" localSheetId="79">'415'!$D$42:$G$42</definedName>
    <definedName name="OSRRefD21_1_6x" localSheetId="80">'418'!$D$37:$G$37</definedName>
    <definedName name="OSRRefD21_1_6x" localSheetId="82">'423'!$D$34:$G$34</definedName>
    <definedName name="OSRRefD21_1_6x" localSheetId="87">'430'!$D$35:$G$35</definedName>
    <definedName name="OSRRefD21_1_6x" localSheetId="88">'433'!$D$43:$G$43</definedName>
    <definedName name="OSRRefD21_1_6x" localSheetId="90">'444'!$D$43:$G$43</definedName>
    <definedName name="OSRRefD21_1_6x" localSheetId="91">'450'!$D$39:$G$39</definedName>
    <definedName name="OSRRefD21_1_6x" localSheetId="72">'491'!$D$44:$G$44</definedName>
    <definedName name="OSRRefD21_1_6x" localSheetId="86">'492'!$D$43:$G$43</definedName>
    <definedName name="OSRRefD21_1_6x" localSheetId="93">'501'!$D$38:$G$38</definedName>
    <definedName name="OSRRefD21_1_6x" localSheetId="39">'Div 2'!$D$37:$G$37</definedName>
    <definedName name="OSRRefD21_1_6x" localSheetId="47">'Div 3'!$D$132:$G$132</definedName>
    <definedName name="OSRRefD21_1_6x" localSheetId="70">'Div 4'!$D$47:$G$47</definedName>
    <definedName name="OSRRefD21_1_6x" localSheetId="92">'Div 5'!$D$38:$G$38</definedName>
    <definedName name="OSRRefD21_1_6x" localSheetId="61">'Div 6'!$D$65:$G$65</definedName>
    <definedName name="OSRRefD21_1_6x" localSheetId="2">Summary!$D$159:$G$159</definedName>
    <definedName name="OSRRefD21_1_7x" localSheetId="41">'201'!$D$36:$G$36</definedName>
    <definedName name="OSRRefD21_1_7x" localSheetId="42">'202'!$D$36:$G$36</definedName>
    <definedName name="OSRRefD21_1_7x" localSheetId="43">'203'!$D$37:$G$37</definedName>
    <definedName name="OSRRefD21_1_7x" localSheetId="44">'204'!$D$37:$G$37</definedName>
    <definedName name="OSRRefD21_1_7x" localSheetId="45">'205'!$D$36:$G$36</definedName>
    <definedName name="OSRRefD21_1_7x" localSheetId="46">'206'!$D$36:$G$36</definedName>
    <definedName name="OSRRefD21_1_7x" localSheetId="48">'300'!$D$129:$G$129</definedName>
    <definedName name="OSRRefD21_1_7x" localSheetId="49">'300 &amp; 317'!$D$151:$G$151</definedName>
    <definedName name="OSRRefD21_1_7x" localSheetId="50">'301'!$D$36:$G$36</definedName>
    <definedName name="OSRRefD21_1_7x" localSheetId="52">'307'!$D$54:$G$54</definedName>
    <definedName name="OSRRefD21_1_7x" localSheetId="53">'308'!$D$71:$G$71</definedName>
    <definedName name="OSRRefD21_1_7x" localSheetId="64">'309'!$D$37:$G$37</definedName>
    <definedName name="OSRRefD21_1_7x" localSheetId="63">'310'!$D$43:$G$43</definedName>
    <definedName name="OSRRefD21_1_7x" localSheetId="71">'310 &amp; 491'!$D$48:$G$48</definedName>
    <definedName name="OSRRefD21_1_7x" localSheetId="54">'311'!$D$70:$G$70</definedName>
    <definedName name="OSRRefD21_1_7x" localSheetId="65">'313'!$D$37:$G$37</definedName>
    <definedName name="OSRRefD21_1_7x" localSheetId="57">'315'!$D$93:$G$93</definedName>
    <definedName name="OSRRefD21_1_7x" localSheetId="60">'316'!$D$46:$G$46</definedName>
    <definedName name="OSRRefD21_1_7x" localSheetId="62">'317'!$D$66:$G$66</definedName>
    <definedName name="OSRRefD21_1_7x" localSheetId="66">'321'!$D$39:$G$39</definedName>
    <definedName name="OSRRefD21_1_7x" localSheetId="67">'322'!$D$38:$G$38</definedName>
    <definedName name="OSRRefD21_1_7x" localSheetId="55">'324'!$D$42:$G$42</definedName>
    <definedName name="OSRRefD21_1_7x" localSheetId="68">'325'!$D$37:$G$37</definedName>
    <definedName name="OSRRefD21_1_7x" localSheetId="58">'326'!$D$60:$G$60</definedName>
    <definedName name="OSRRefD21_1_7x" localSheetId="51">'330'!$D$54:$G$54</definedName>
    <definedName name="OSRRefD21_1_7x" localSheetId="56">'331'!$D$93:$G$93</definedName>
    <definedName name="OSRRefD21_1_7x" localSheetId="59">'332'!$D$46:$G$46</definedName>
    <definedName name="OSRRefD21_1_7x" localSheetId="73">'405'!$D$38:$G$38</definedName>
    <definedName name="OSRRefD21_1_7x" localSheetId="75">'411'!$D$36:$G$36</definedName>
    <definedName name="OSRRefD21_1_7x" localSheetId="76">'412'!$D$37:$G$37</definedName>
    <definedName name="OSRRefD21_1_7x" localSheetId="77">'413'!$D$39:$G$39</definedName>
    <definedName name="OSRRefD21_1_7x" localSheetId="78">'414'!$D$40:$G$40</definedName>
    <definedName name="OSRRefD21_1_7x" localSheetId="79">'415'!$D$43:$G$43</definedName>
    <definedName name="OSRRefD21_1_7x" localSheetId="80">'418'!$D$38:$G$38</definedName>
    <definedName name="OSRRefD21_1_7x" localSheetId="82">'423'!$D$35:$G$35</definedName>
    <definedName name="OSRRefD21_1_7x" localSheetId="87">'430'!$D$36:$G$36</definedName>
    <definedName name="OSRRefD21_1_7x" localSheetId="88">'433'!$D$44:$G$44</definedName>
    <definedName name="OSRRefD21_1_7x" localSheetId="90">'444'!$D$44:$G$44</definedName>
    <definedName name="OSRRefD21_1_7x" localSheetId="91">'450'!$D$40:$G$40</definedName>
    <definedName name="OSRRefD21_1_7x" localSheetId="72">'491'!$D$45:$G$45</definedName>
    <definedName name="OSRRefD21_1_7x" localSheetId="86">'492'!$D$44:$G$44</definedName>
    <definedName name="OSRRefD21_1_7x" localSheetId="93">'501'!$D$39:$G$39</definedName>
    <definedName name="OSRRefD21_1_7x" localSheetId="39">'Div 2'!$D$38:$G$38</definedName>
    <definedName name="OSRRefD21_1_7x" localSheetId="47">'Div 3'!$D$133:$G$133</definedName>
    <definedName name="OSRRefD21_1_7x" localSheetId="70">'Div 4'!$D$48:$G$48</definedName>
    <definedName name="OSRRefD21_1_7x" localSheetId="92">'Div 5'!$D$39:$G$39</definedName>
    <definedName name="OSRRefD21_1_7x" localSheetId="61">'Div 6'!$D$66:$G$66</definedName>
    <definedName name="OSRRefD21_1_7x" localSheetId="2">Summary!$D$160:$G$160</definedName>
    <definedName name="OSRRefD21_1_8x" localSheetId="41">'201'!$D$37:$G$37</definedName>
    <definedName name="OSRRefD21_1_8x" localSheetId="42">'202'!$D$37:$G$37</definedName>
    <definedName name="OSRRefD21_1_8x" localSheetId="43">'203'!$D$38:$G$38</definedName>
    <definedName name="OSRRefD21_1_8x" localSheetId="44">'204'!$D$38:$G$38</definedName>
    <definedName name="OSRRefD21_1_8x" localSheetId="45">'205'!$D$37:$G$37</definedName>
    <definedName name="OSRRefD21_1_8x" localSheetId="46">'206'!$D$37:$G$37</definedName>
    <definedName name="OSRRefD21_1_8x" localSheetId="48">'300'!$D$130:$G$130</definedName>
    <definedName name="OSRRefD21_1_8x" localSheetId="49">'300 &amp; 317'!$D$152:$G$152</definedName>
    <definedName name="OSRRefD21_1_8x" localSheetId="50">'301'!$D$37:$G$37</definedName>
    <definedName name="OSRRefD21_1_8x" localSheetId="52">'307'!$D$55:$G$55</definedName>
    <definedName name="OSRRefD21_1_8x" localSheetId="53">'308'!$D$72:$G$72</definedName>
    <definedName name="OSRRefD21_1_8x" localSheetId="64">'309'!$D$38:$G$38</definedName>
    <definedName name="OSRRefD21_1_8x" localSheetId="63">'310'!$D$44:$G$44</definedName>
    <definedName name="OSRRefD21_1_8x" localSheetId="71">'310 &amp; 491'!$D$49:$G$49</definedName>
    <definedName name="OSRRefD21_1_8x" localSheetId="54">'311'!$D$71:$G$71</definedName>
    <definedName name="OSRRefD21_1_8x" localSheetId="65">'313'!$D$38:$G$38</definedName>
    <definedName name="OSRRefD21_1_8x" localSheetId="57">'315'!$D$94:$G$94</definedName>
    <definedName name="OSRRefD21_1_8x" localSheetId="60">'316'!$D$47:$G$47</definedName>
    <definedName name="OSRRefD21_1_8x" localSheetId="62">'317'!$D$67:$G$67</definedName>
    <definedName name="OSRRefD21_1_8x" localSheetId="66">'321'!$D$40:$G$40</definedName>
    <definedName name="OSRRefD21_1_8x" localSheetId="67">'322'!$D$39:$G$39</definedName>
    <definedName name="OSRRefD21_1_8x" localSheetId="55">'324'!$D$43:$G$43</definedName>
    <definedName name="OSRRefD21_1_8x" localSheetId="68">'325'!$D$38:$G$38</definedName>
    <definedName name="OSRRefD21_1_8x" localSheetId="58">'326'!$D$61:$G$61</definedName>
    <definedName name="OSRRefD21_1_8x" localSheetId="51">'330'!$D$55:$G$55</definedName>
    <definedName name="OSRRefD21_1_8x" localSheetId="56">'331'!$D$94:$G$94</definedName>
    <definedName name="OSRRefD21_1_8x" localSheetId="59">'332'!$D$47:$G$47</definedName>
    <definedName name="OSRRefD21_1_8x" localSheetId="73">'405'!$D$39:$G$39</definedName>
    <definedName name="OSRRefD21_1_8x" localSheetId="75">'411'!$D$37:$G$37</definedName>
    <definedName name="OSRRefD21_1_8x" localSheetId="76">'412'!$D$38:$G$38</definedName>
    <definedName name="OSRRefD21_1_8x" localSheetId="77">'413'!$D$40:$G$40</definedName>
    <definedName name="OSRRefD21_1_8x" localSheetId="78">'414'!$D$41:$G$41</definedName>
    <definedName name="OSRRefD21_1_8x" localSheetId="79">'415'!$D$44:$G$44</definedName>
    <definedName name="OSRRefD21_1_8x" localSheetId="80">'418'!$D$39:$G$39</definedName>
    <definedName name="OSRRefD21_1_8x" localSheetId="82">'423'!$D$36:$G$36</definedName>
    <definedName name="OSRRefD21_1_8x" localSheetId="87">'430'!$D$37:$G$37</definedName>
    <definedName name="OSRRefD21_1_8x" localSheetId="88">'433'!$D$45:$G$45</definedName>
    <definedName name="OSRRefD21_1_8x" localSheetId="90">'444'!$D$45:$G$45</definedName>
    <definedName name="OSRRefD21_1_8x" localSheetId="91">'450'!$D$41:$G$41</definedName>
    <definedName name="OSRRefD21_1_8x" localSheetId="72">'491'!$D$46:$G$46</definedName>
    <definedName name="OSRRefD21_1_8x" localSheetId="86">'492'!$D$45:$G$45</definedName>
    <definedName name="OSRRefD21_1_8x" localSheetId="93">'501'!$D$40:$G$40</definedName>
    <definedName name="OSRRefD21_1_8x" localSheetId="39">'Div 2'!$D$39:$G$39</definedName>
    <definedName name="OSRRefD21_1_8x" localSheetId="47">'Div 3'!$D$134:$G$134</definedName>
    <definedName name="OSRRefD21_1_8x" localSheetId="70">'Div 4'!$D$49:$G$49</definedName>
    <definedName name="OSRRefD21_1_8x" localSheetId="92">'Div 5'!$D$40:$G$40</definedName>
    <definedName name="OSRRefD21_1_8x" localSheetId="61">'Div 6'!$D$67:$G$67</definedName>
    <definedName name="OSRRefD21_1_8x" localSheetId="2">Summary!$D$161:$G$161</definedName>
    <definedName name="OSRRefD21_1_9x" localSheetId="41">'201'!$D$38:$G$38</definedName>
    <definedName name="OSRRefD21_1_9x" localSheetId="42">'202'!$D$38:$G$38</definedName>
    <definedName name="OSRRefD21_1_9x" localSheetId="43">'203'!$D$39:$G$39</definedName>
    <definedName name="OSRRefD21_1_9x" localSheetId="44">'204'!$D$39:$G$39</definedName>
    <definedName name="OSRRefD21_1_9x" localSheetId="45">'205'!$D$38:$G$38</definedName>
    <definedName name="OSRRefD21_1_9x" localSheetId="46">'206'!$D$38:$G$38</definedName>
    <definedName name="OSRRefD21_1_9x" localSheetId="48">'300'!$D$131:$G$131</definedName>
    <definedName name="OSRRefD21_1_9x" localSheetId="49">'300 &amp; 317'!$D$153:$G$153</definedName>
    <definedName name="OSRRefD21_1_9x" localSheetId="50">'301'!$D$38:$G$38</definedName>
    <definedName name="OSRRefD21_1_9x" localSheetId="52">'307'!$D$56:$G$56</definedName>
    <definedName name="OSRRefD21_1_9x" localSheetId="53">'308'!$D$73:$G$73</definedName>
    <definedName name="OSRRefD21_1_9x" localSheetId="64">'309'!$D$39:$G$39</definedName>
    <definedName name="OSRRefD21_1_9x" localSheetId="63">'310'!$D$45:$G$45</definedName>
    <definedName name="OSRRefD21_1_9x" localSheetId="71">'310 &amp; 491'!$D$50:$G$50</definedName>
    <definedName name="OSRRefD21_1_9x" localSheetId="54">'311'!$D$72:$G$72</definedName>
    <definedName name="OSRRefD21_1_9x" localSheetId="65">'313'!$D$39:$G$39</definedName>
    <definedName name="OSRRefD21_1_9x" localSheetId="57">'315'!$D$95:$G$95</definedName>
    <definedName name="OSRRefD21_1_9x" localSheetId="60">'316'!$D$48:$G$48</definedName>
    <definedName name="OSRRefD21_1_9x" localSheetId="62">'317'!$D$68:$G$68</definedName>
    <definedName name="OSRRefD21_1_9x" localSheetId="66">'321'!$D$41:$G$41</definedName>
    <definedName name="OSRRefD21_1_9x" localSheetId="67">'322'!$D$40:$G$40</definedName>
    <definedName name="OSRRefD21_1_9x" localSheetId="55">'324'!$D$44:$G$44</definedName>
    <definedName name="OSRRefD21_1_9x" localSheetId="68">'325'!$D$39:$G$39</definedName>
    <definedName name="OSRRefD21_1_9x" localSheetId="58">'326'!$D$62:$G$62</definedName>
    <definedName name="OSRRefD21_1_9x" localSheetId="51">'330'!$D$56:$G$56</definedName>
    <definedName name="OSRRefD21_1_9x" localSheetId="56">'331'!$D$95:$G$95</definedName>
    <definedName name="OSRRefD21_1_9x" localSheetId="59">'332'!$D$48:$G$48</definedName>
    <definedName name="OSRRefD21_1_9x" localSheetId="73">'405'!$D$40:$G$40</definedName>
    <definedName name="OSRRefD21_1_9x" localSheetId="75">'411'!$D$38:$G$38</definedName>
    <definedName name="OSRRefD21_1_9x" localSheetId="76">'412'!$D$39:$G$39</definedName>
    <definedName name="OSRRefD21_1_9x" localSheetId="77">'413'!$D$41:$G$41</definedName>
    <definedName name="OSRRefD21_1_9x" localSheetId="78">'414'!$D$42:$G$42</definedName>
    <definedName name="OSRRefD21_1_9x" localSheetId="79">'415'!$D$45:$G$45</definedName>
    <definedName name="OSRRefD21_1_9x" localSheetId="80">'418'!$D$40:$G$40</definedName>
    <definedName name="OSRRefD21_1_9x" localSheetId="82">'423'!$D$37:$G$37</definedName>
    <definedName name="OSRRefD21_1_9x" localSheetId="87">'430'!$D$38:$G$38</definedName>
    <definedName name="OSRRefD21_1_9x" localSheetId="88">'433'!$D$46:$G$46</definedName>
    <definedName name="OSRRefD21_1_9x" localSheetId="90">'444'!$D$46:$G$46</definedName>
    <definedName name="OSRRefD21_1_9x" localSheetId="91">'450'!$D$42:$G$42</definedName>
    <definedName name="OSRRefD21_1_9x" localSheetId="72">'491'!$D$47:$G$47</definedName>
    <definedName name="OSRRefD21_1_9x" localSheetId="86">'492'!$D$46:$G$46</definedName>
    <definedName name="OSRRefD21_1_9x" localSheetId="93">'501'!$D$41:$G$41</definedName>
    <definedName name="OSRRefD21_1_9x" localSheetId="39">'Div 2'!$D$40:$G$40</definedName>
    <definedName name="OSRRefD21_1_9x" localSheetId="47">'Div 3'!$D$135:$G$135</definedName>
    <definedName name="OSRRefD21_1_9x" localSheetId="70">'Div 4'!$D$50:$G$50</definedName>
    <definedName name="OSRRefD21_1_9x" localSheetId="92">'Div 5'!$D$41:$G$41</definedName>
    <definedName name="OSRRefD21_1_9x" localSheetId="61">'Div 6'!$D$68:$G$68</definedName>
    <definedName name="OSRRefD21_1_9x" localSheetId="2">Summary!$D$162:$G$162</definedName>
    <definedName name="OSRRefD21_10_0x" localSheetId="41">'201'!$D$57:$G$57</definedName>
    <definedName name="OSRRefD21_10_0x" localSheetId="42">'202'!$D$59:$G$59</definedName>
    <definedName name="OSRRefD21_10_0x" localSheetId="43">'203'!$D$59:$G$59</definedName>
    <definedName name="OSRRefD21_10_0x" localSheetId="48">'300'!$D$152:$G$152</definedName>
    <definedName name="OSRRefD21_10_0x" localSheetId="49">'300 &amp; 317'!$D$174:$G$174</definedName>
    <definedName name="OSRRefD21_10_0x" localSheetId="50">'301'!$D$58:$G$58</definedName>
    <definedName name="OSRRefD21_10_0x" localSheetId="52">'307'!$D$78:$G$78</definedName>
    <definedName name="OSRRefD21_10_0x" localSheetId="53">'308'!$D$94:$G$94</definedName>
    <definedName name="OSRRefD21_10_0x" localSheetId="63">'310'!$D$64:$G$64</definedName>
    <definedName name="OSRRefD21_10_0x" localSheetId="71">'310 &amp; 491'!$D$71:$G$71</definedName>
    <definedName name="OSRRefD21_10_0x" localSheetId="54">'311'!$D$93:$G$93</definedName>
    <definedName name="OSRRefD21_10_0x" localSheetId="57">'315'!$D$114:$G$114</definedName>
    <definedName name="OSRRefD21_10_0x" localSheetId="60">'316'!$D$72:$G$72</definedName>
    <definedName name="OSRRefD21_10_0x" localSheetId="62">'317'!$D$87:$G$87</definedName>
    <definedName name="OSRRefD21_10_0x" localSheetId="66">'321'!$D$62:$G$62</definedName>
    <definedName name="OSRRefD21_10_0x" localSheetId="67">'322'!$D$63:$G$63</definedName>
    <definedName name="OSRRefD21_10_0x" localSheetId="68">'325'!$D$58:$G$58</definedName>
    <definedName name="OSRRefD21_10_0x" localSheetId="58">'326'!$D$80:$G$80</definedName>
    <definedName name="OSRRefD21_10_0x" localSheetId="51">'330'!$D$78:$G$78</definedName>
    <definedName name="OSRRefD21_10_0x" localSheetId="56">'331'!$D$114:$G$114</definedName>
    <definedName name="OSRRefD21_10_0x" localSheetId="59">'332'!$D$72:$G$72</definedName>
    <definedName name="OSRRefD21_10_0x" localSheetId="73">'405'!$D$60:$G$60</definedName>
    <definedName name="OSRRefD21_10_0x" localSheetId="75">'411'!$D$58:$G$58</definedName>
    <definedName name="OSRRefD21_10_0x" localSheetId="76">'412'!$D$59:$G$59</definedName>
    <definedName name="OSRRefD21_10_0x" localSheetId="77">'413'!$D$62:$G$62</definedName>
    <definedName name="OSRRefD21_10_0x" localSheetId="78">'414'!$D$61:$G$61</definedName>
    <definedName name="OSRRefD21_10_0x" localSheetId="79">'415'!$D$64:$G$64</definedName>
    <definedName name="OSRRefD21_10_0x" localSheetId="80">'418'!$D$61:$G$61</definedName>
    <definedName name="OSRRefD21_10_0x" localSheetId="88">'433'!$D$64:$G$64</definedName>
    <definedName name="OSRRefD21_10_0x" localSheetId="90">'444'!$D$64:$G$64</definedName>
    <definedName name="OSRRefD21_10_0x" localSheetId="91">'450'!$D$60:$G$60</definedName>
    <definedName name="OSRRefD21_10_0x" localSheetId="72">'491'!$D$67:$G$67</definedName>
    <definedName name="OSRRefD21_10_0x" localSheetId="86">'492'!$D$64:$G$64</definedName>
    <definedName name="OSRRefD21_10_0x" localSheetId="93">'501'!$D$62:$G$62</definedName>
    <definedName name="OSRRefD21_10_0x" localSheetId="39">'Div 2'!$D$60:$G$60</definedName>
    <definedName name="OSRRefD21_10_0x" localSheetId="47">'Div 3'!$D$156:$G$156</definedName>
    <definedName name="OSRRefD21_10_0x" localSheetId="70">'Div 4'!$D$70:$G$70</definedName>
    <definedName name="OSRRefD21_10_0x" localSheetId="92">'Div 5'!$D$62:$G$62</definedName>
    <definedName name="OSRRefD21_10_0x" localSheetId="61">'Div 6'!$D$87:$G$87</definedName>
    <definedName name="OSRRefD21_10_0x" localSheetId="2">Summary!$D$184:$G$184</definedName>
    <definedName name="OSRRefD21_10_1x" localSheetId="41">'201'!$D$58:$G$58</definedName>
    <definedName name="OSRRefD21_10_1x" localSheetId="48">'300'!$D$153:$G$153</definedName>
    <definedName name="OSRRefD21_10_1x" localSheetId="49">'300 &amp; 317'!$D$175:$G$175</definedName>
    <definedName name="OSRRefD21_10_1x" localSheetId="52">'307'!$D$79:$G$79</definedName>
    <definedName name="OSRRefD21_10_1x" localSheetId="53">'308'!$D$95:$G$95</definedName>
    <definedName name="OSRRefD21_10_1x" localSheetId="54">'311'!$D$94:$G$94</definedName>
    <definedName name="OSRRefD21_10_1x" localSheetId="62">'317'!$D$88:$G$88</definedName>
    <definedName name="OSRRefD21_10_1x" localSheetId="66">'321'!$D$63:$G$63</definedName>
    <definedName name="OSRRefD21_10_1x" localSheetId="51">'330'!$D$79:$G$79</definedName>
    <definedName name="OSRRefD21_10_1x" localSheetId="75">'411'!$D$59:$G$59</definedName>
    <definedName name="OSRRefD21_10_1x" localSheetId="76">'412'!$D$60:$G$60</definedName>
    <definedName name="OSRRefD21_10_1x" localSheetId="77">'413'!$D$63:$G$63</definedName>
    <definedName name="OSRRefD21_10_1x" localSheetId="80">'418'!$D$62:$G$62</definedName>
    <definedName name="OSRRefD21_10_1x" localSheetId="47">'Div 3'!$D$157:$G$157</definedName>
    <definedName name="OSRRefD21_10_1x" localSheetId="61">'Div 6'!$D$88:$G$88</definedName>
    <definedName name="OSRRefD21_10_1x" localSheetId="2">Summary!$D$185:$G$185</definedName>
    <definedName name="OSRRefD21_10_2x" localSheetId="41">'201'!$D$59:$G$59</definedName>
    <definedName name="OSRRefD21_10_2x" localSheetId="52">'307'!$D$80:$G$80</definedName>
    <definedName name="OSRRefD21_10_2x" localSheetId="62">'317'!$D$89:$G$89</definedName>
    <definedName name="OSRRefD21_10_2x" localSheetId="51">'330'!$D$80:$G$80</definedName>
    <definedName name="OSRRefD21_10_2x" localSheetId="75">'411'!$D$60:$G$60</definedName>
    <definedName name="OSRRefD21_10_2x" localSheetId="76">'412'!$D$61:$G$61</definedName>
    <definedName name="OSRRefD21_10_2x" localSheetId="77">'413'!$D$64:$G$64</definedName>
    <definedName name="OSRRefD21_10_2x" localSheetId="61">'Div 6'!$D$89:$G$89</definedName>
    <definedName name="OSRRefD21_10_3x" localSheetId="52">'307'!$D$81:$G$81</definedName>
    <definedName name="OSRRefD21_10_3x" localSheetId="51">'330'!$D$81:$G$81</definedName>
    <definedName name="OSRRefD21_10_3x" localSheetId="75">'411'!$D$61:$G$61</definedName>
    <definedName name="OSRRefD21_10_3x" localSheetId="76">'412'!$D$62:$G$62</definedName>
    <definedName name="OSRRefD21_10_3x" localSheetId="77">'413'!$D$65:$G$65</definedName>
    <definedName name="OSRRefD21_10_4x" localSheetId="77">'413'!$D$66:$G$66</definedName>
    <definedName name="OSRRefD21_10_5x" localSheetId="77">'413'!$D$67:$G$67</definedName>
    <definedName name="OSRRefD21_10_6x" localSheetId="77">'413'!$D$68:$G$68</definedName>
    <definedName name="OSRRefD21_10x_0" localSheetId="41">'201'!$D$57:$D$59</definedName>
    <definedName name="OSRRefD21_10x_0" localSheetId="42">'202'!$D$59</definedName>
    <definedName name="OSRRefD21_10x_0" localSheetId="43">'203'!$D$59</definedName>
    <definedName name="OSRRefD21_10x_0" localSheetId="48">'300'!$D$152:$D$153</definedName>
    <definedName name="OSRRefD21_10x_0" localSheetId="49">'300 &amp; 317'!$D$174:$D$175</definedName>
    <definedName name="OSRRefD21_10x_0" localSheetId="50">'301'!$D$58</definedName>
    <definedName name="OSRRefD21_10x_0" localSheetId="52">'307'!$D$78:$D$81</definedName>
    <definedName name="OSRRefD21_10x_0" localSheetId="53">'308'!$D$94:$D$95</definedName>
    <definedName name="OSRRefD21_10x_0" localSheetId="63">'310'!$D$64</definedName>
    <definedName name="OSRRefD21_10x_0" localSheetId="71">'310 &amp; 491'!$D$71</definedName>
    <definedName name="OSRRefD21_10x_0" localSheetId="54">'311'!$D$93:$D$94</definedName>
    <definedName name="OSRRefD21_10x_0" localSheetId="57">'315'!$D$114</definedName>
    <definedName name="OSRRefD21_10x_0" localSheetId="60">'316'!$D$72</definedName>
    <definedName name="OSRRefD21_10x_0" localSheetId="62">'317'!$D$87:$D$89</definedName>
    <definedName name="OSRRefD21_10x_0" localSheetId="66">'321'!$D$62:$D$63</definedName>
    <definedName name="OSRRefD21_10x_0" localSheetId="67">'322'!$D$63</definedName>
    <definedName name="OSRRefD21_10x_0" localSheetId="68">'325'!$D$58</definedName>
    <definedName name="OSRRefD21_10x_0" localSheetId="58">'326'!$D$80</definedName>
    <definedName name="OSRRefD21_10x_0" localSheetId="51">'330'!$D$78:$D$81</definedName>
    <definedName name="OSRRefD21_10x_0" localSheetId="56">'331'!$D$114</definedName>
    <definedName name="OSRRefD21_10x_0" localSheetId="59">'332'!$D$72</definedName>
    <definedName name="OSRRefD21_10x_0" localSheetId="73">'405'!$D$60</definedName>
    <definedName name="OSRRefD21_10x_0" localSheetId="75">'411'!$D$58:$D$61</definedName>
    <definedName name="OSRRefD21_10x_0" localSheetId="76">'412'!$D$59:$D$62</definedName>
    <definedName name="OSRRefD21_10x_0" localSheetId="77">'413'!$D$62:$D$68</definedName>
    <definedName name="OSRRefD21_10x_0" localSheetId="78">'414'!$D$61</definedName>
    <definedName name="OSRRefD21_10x_0" localSheetId="79">'415'!$D$64</definedName>
    <definedName name="OSRRefD21_10x_0" localSheetId="80">'418'!$D$61:$D$62</definedName>
    <definedName name="OSRRefD21_10x_0" localSheetId="88">'433'!$D$64</definedName>
    <definedName name="OSRRefD21_10x_0" localSheetId="90">'444'!$D$64</definedName>
    <definedName name="OSRRefD21_10x_0" localSheetId="91">'450'!$D$60</definedName>
    <definedName name="OSRRefD21_10x_0" localSheetId="72">'491'!$D$67</definedName>
    <definedName name="OSRRefD21_10x_0" localSheetId="86">'492'!$D$64</definedName>
    <definedName name="OSRRefD21_10x_0" localSheetId="93">'501'!$D$62</definedName>
    <definedName name="OSRRefD21_10x_0" localSheetId="39">'Div 2'!$D$60</definedName>
    <definedName name="OSRRefD21_10x_0" localSheetId="47">'Div 3'!$D$156:$D$157</definedName>
    <definedName name="OSRRefD21_10x_0" localSheetId="70">'Div 4'!$D$70</definedName>
    <definedName name="OSRRefD21_10x_0" localSheetId="92">'Div 5'!$D$62</definedName>
    <definedName name="OSRRefD21_10x_0" localSheetId="61">'Div 6'!$D$87:$D$89</definedName>
    <definedName name="OSRRefD21_10x_0" localSheetId="2">Summary!$D$184:$D$185</definedName>
    <definedName name="OSRRefD21_10x_1" localSheetId="41">'201'!$E$57:$E$59</definedName>
    <definedName name="OSRRefD21_10x_1" localSheetId="42">'202'!$E$59</definedName>
    <definedName name="OSRRefD21_10x_1" localSheetId="43">'203'!$E$59</definedName>
    <definedName name="OSRRefD21_10x_1" localSheetId="48">'300'!$E$152:$E$153</definedName>
    <definedName name="OSRRefD21_10x_1" localSheetId="49">'300 &amp; 317'!$E$174:$E$175</definedName>
    <definedName name="OSRRefD21_10x_1" localSheetId="50">'301'!$E$58</definedName>
    <definedName name="OSRRefD21_10x_1" localSheetId="52">'307'!$E$78:$E$81</definedName>
    <definedName name="OSRRefD21_10x_1" localSheetId="53">'308'!$E$94:$E$95</definedName>
    <definedName name="OSRRefD21_10x_1" localSheetId="63">'310'!$E$64</definedName>
    <definedName name="OSRRefD21_10x_1" localSheetId="71">'310 &amp; 491'!$E$71</definedName>
    <definedName name="OSRRefD21_10x_1" localSheetId="54">'311'!$E$93:$E$94</definedName>
    <definedName name="OSRRefD21_10x_1" localSheetId="57">'315'!$E$114</definedName>
    <definedName name="OSRRefD21_10x_1" localSheetId="60">'316'!$E$72</definedName>
    <definedName name="OSRRefD21_10x_1" localSheetId="62">'317'!$E$87:$E$89</definedName>
    <definedName name="OSRRefD21_10x_1" localSheetId="66">'321'!$E$62:$E$63</definedName>
    <definedName name="OSRRefD21_10x_1" localSheetId="67">'322'!$E$63</definedName>
    <definedName name="OSRRefD21_10x_1" localSheetId="68">'325'!$E$58</definedName>
    <definedName name="OSRRefD21_10x_1" localSheetId="58">'326'!$E$80</definedName>
    <definedName name="OSRRefD21_10x_1" localSheetId="51">'330'!$E$78:$E$81</definedName>
    <definedName name="OSRRefD21_10x_1" localSheetId="56">'331'!$E$114</definedName>
    <definedName name="OSRRefD21_10x_1" localSheetId="59">'332'!$E$72</definedName>
    <definedName name="OSRRefD21_10x_1" localSheetId="73">'405'!$E$60</definedName>
    <definedName name="OSRRefD21_10x_1" localSheetId="75">'411'!$E$58:$E$61</definedName>
    <definedName name="OSRRefD21_10x_1" localSheetId="76">'412'!$E$59:$E$62</definedName>
    <definedName name="OSRRefD21_10x_1" localSheetId="77">'413'!$E$62:$E$68</definedName>
    <definedName name="OSRRefD21_10x_1" localSheetId="78">'414'!$E$61</definedName>
    <definedName name="OSRRefD21_10x_1" localSheetId="79">'415'!$E$64</definedName>
    <definedName name="OSRRefD21_10x_1" localSheetId="80">'418'!$E$61:$E$62</definedName>
    <definedName name="OSRRefD21_10x_1" localSheetId="88">'433'!$E$64</definedName>
    <definedName name="OSRRefD21_10x_1" localSheetId="90">'444'!$E$64</definedName>
    <definedName name="OSRRefD21_10x_1" localSheetId="91">'450'!$E$60</definedName>
    <definedName name="OSRRefD21_10x_1" localSheetId="72">'491'!$E$67</definedName>
    <definedName name="OSRRefD21_10x_1" localSheetId="86">'492'!$E$64</definedName>
    <definedName name="OSRRefD21_10x_1" localSheetId="93">'501'!$E$62</definedName>
    <definedName name="OSRRefD21_10x_1" localSheetId="39">'Div 2'!$E$60</definedName>
    <definedName name="OSRRefD21_10x_1" localSheetId="47">'Div 3'!$E$156:$E$157</definedName>
    <definedName name="OSRRefD21_10x_1" localSheetId="70">'Div 4'!$E$70</definedName>
    <definedName name="OSRRefD21_10x_1" localSheetId="92">'Div 5'!$E$62</definedName>
    <definedName name="OSRRefD21_10x_1" localSheetId="61">'Div 6'!$E$87:$E$89</definedName>
    <definedName name="OSRRefD21_10x_1" localSheetId="2">Summary!$E$184:$E$185</definedName>
    <definedName name="OSRRefD21_10x_2" localSheetId="41">'201'!$F$57:$F$59</definedName>
    <definedName name="OSRRefD21_10x_2" localSheetId="42">'202'!$F$59</definedName>
    <definedName name="OSRRefD21_10x_2" localSheetId="43">'203'!$F$59</definedName>
    <definedName name="OSRRefD21_10x_2" localSheetId="48">'300'!$F$152:$F$153</definedName>
    <definedName name="OSRRefD21_10x_2" localSheetId="49">'300 &amp; 317'!$F$174:$F$175</definedName>
    <definedName name="OSRRefD21_10x_2" localSheetId="50">'301'!$F$58</definedName>
    <definedName name="OSRRefD21_10x_2" localSheetId="52">'307'!$F$78:$F$81</definedName>
    <definedName name="OSRRefD21_10x_2" localSheetId="53">'308'!$F$94:$F$95</definedName>
    <definedName name="OSRRefD21_10x_2" localSheetId="63">'310'!$F$64</definedName>
    <definedName name="OSRRefD21_10x_2" localSheetId="71">'310 &amp; 491'!$F$71</definedName>
    <definedName name="OSRRefD21_10x_2" localSheetId="54">'311'!$F$93:$F$94</definedName>
    <definedName name="OSRRefD21_10x_2" localSheetId="57">'315'!$F$114</definedName>
    <definedName name="OSRRefD21_10x_2" localSheetId="60">'316'!$F$72</definedName>
    <definedName name="OSRRefD21_10x_2" localSheetId="62">'317'!$F$87:$F$89</definedName>
    <definedName name="OSRRefD21_10x_2" localSheetId="66">'321'!$F$62:$F$63</definedName>
    <definedName name="OSRRefD21_10x_2" localSheetId="67">'322'!$F$63</definedName>
    <definedName name="OSRRefD21_10x_2" localSheetId="68">'325'!$F$58</definedName>
    <definedName name="OSRRefD21_10x_2" localSheetId="58">'326'!$F$80</definedName>
    <definedName name="OSRRefD21_10x_2" localSheetId="51">'330'!$F$78:$F$81</definedName>
    <definedName name="OSRRefD21_10x_2" localSheetId="56">'331'!$F$114</definedName>
    <definedName name="OSRRefD21_10x_2" localSheetId="59">'332'!$F$72</definedName>
    <definedName name="OSRRefD21_10x_2" localSheetId="73">'405'!$F$60</definedName>
    <definedName name="OSRRefD21_10x_2" localSheetId="75">'411'!$F$58:$F$61</definedName>
    <definedName name="OSRRefD21_10x_2" localSheetId="76">'412'!$F$59:$F$62</definedName>
    <definedName name="OSRRefD21_10x_2" localSheetId="77">'413'!$F$62:$F$68</definedName>
    <definedName name="OSRRefD21_10x_2" localSheetId="78">'414'!$F$61</definedName>
    <definedName name="OSRRefD21_10x_2" localSheetId="79">'415'!$F$64</definedName>
    <definedName name="OSRRefD21_10x_2" localSheetId="80">'418'!$F$61:$F$62</definedName>
    <definedName name="OSRRefD21_10x_2" localSheetId="88">'433'!$F$64</definedName>
    <definedName name="OSRRefD21_10x_2" localSheetId="90">'444'!$F$64</definedName>
    <definedName name="OSRRefD21_10x_2" localSheetId="91">'450'!$F$60</definedName>
    <definedName name="OSRRefD21_10x_2" localSheetId="72">'491'!$F$67</definedName>
    <definedName name="OSRRefD21_10x_2" localSheetId="86">'492'!$F$64</definedName>
    <definedName name="OSRRefD21_10x_2" localSheetId="93">'501'!$F$62</definedName>
    <definedName name="OSRRefD21_10x_2" localSheetId="39">'Div 2'!$F$60</definedName>
    <definedName name="OSRRefD21_10x_2" localSheetId="47">'Div 3'!$F$156:$F$157</definedName>
    <definedName name="OSRRefD21_10x_2" localSheetId="70">'Div 4'!$F$70</definedName>
    <definedName name="OSRRefD21_10x_2" localSheetId="92">'Div 5'!$F$62</definedName>
    <definedName name="OSRRefD21_10x_2" localSheetId="61">'Div 6'!$F$87:$F$89</definedName>
    <definedName name="OSRRefD21_10x_2" localSheetId="2">Summary!$F$184:$F$185</definedName>
    <definedName name="OSRRefD21_10x_3" localSheetId="41">'201'!$G$57:$G$59</definedName>
    <definedName name="OSRRefD21_10x_3" localSheetId="42">'202'!$G$59</definedName>
    <definedName name="OSRRefD21_10x_3" localSheetId="43">'203'!$G$59</definedName>
    <definedName name="OSRRefD21_10x_3" localSheetId="48">'300'!$G$152:$G$153</definedName>
    <definedName name="OSRRefD21_10x_3" localSheetId="49">'300 &amp; 317'!$G$174:$G$175</definedName>
    <definedName name="OSRRefD21_10x_3" localSheetId="50">'301'!$G$58</definedName>
    <definedName name="OSRRefD21_10x_3" localSheetId="52">'307'!$G$78:$G$81</definedName>
    <definedName name="OSRRefD21_10x_3" localSheetId="53">'308'!$G$94:$G$95</definedName>
    <definedName name="OSRRefD21_10x_3" localSheetId="63">'310'!$G$64</definedName>
    <definedName name="OSRRefD21_10x_3" localSheetId="71">'310 &amp; 491'!$G$71</definedName>
    <definedName name="OSRRefD21_10x_3" localSheetId="54">'311'!$G$93:$G$94</definedName>
    <definedName name="OSRRefD21_10x_3" localSheetId="57">'315'!$G$114</definedName>
    <definedName name="OSRRefD21_10x_3" localSheetId="60">'316'!$G$72</definedName>
    <definedName name="OSRRefD21_10x_3" localSheetId="62">'317'!$G$87:$G$89</definedName>
    <definedName name="OSRRefD21_10x_3" localSheetId="66">'321'!$G$62:$G$63</definedName>
    <definedName name="OSRRefD21_10x_3" localSheetId="67">'322'!$G$63</definedName>
    <definedName name="OSRRefD21_10x_3" localSheetId="68">'325'!$G$58</definedName>
    <definedName name="OSRRefD21_10x_3" localSheetId="58">'326'!$G$80</definedName>
    <definedName name="OSRRefD21_10x_3" localSheetId="51">'330'!$G$78:$G$81</definedName>
    <definedName name="OSRRefD21_10x_3" localSheetId="56">'331'!$G$114</definedName>
    <definedName name="OSRRefD21_10x_3" localSheetId="59">'332'!$G$72</definedName>
    <definedName name="OSRRefD21_10x_3" localSheetId="73">'405'!$G$60</definedName>
    <definedName name="OSRRefD21_10x_3" localSheetId="75">'411'!$G$58:$G$61</definedName>
    <definedName name="OSRRefD21_10x_3" localSheetId="76">'412'!$G$59:$G$62</definedName>
    <definedName name="OSRRefD21_10x_3" localSheetId="77">'413'!$G$62:$G$68</definedName>
    <definedName name="OSRRefD21_10x_3" localSheetId="78">'414'!$G$61</definedName>
    <definedName name="OSRRefD21_10x_3" localSheetId="79">'415'!$G$64</definedName>
    <definedName name="OSRRefD21_10x_3" localSheetId="80">'418'!$G$61:$G$62</definedName>
    <definedName name="OSRRefD21_10x_3" localSheetId="88">'433'!$G$64</definedName>
    <definedName name="OSRRefD21_10x_3" localSheetId="90">'444'!$G$64</definedName>
    <definedName name="OSRRefD21_10x_3" localSheetId="91">'450'!$G$60</definedName>
    <definedName name="OSRRefD21_10x_3" localSheetId="72">'491'!$G$67</definedName>
    <definedName name="OSRRefD21_10x_3" localSheetId="86">'492'!$G$64</definedName>
    <definedName name="OSRRefD21_10x_3" localSheetId="93">'501'!$G$62</definedName>
    <definedName name="OSRRefD21_10x_3" localSheetId="39">'Div 2'!$G$60</definedName>
    <definedName name="OSRRefD21_10x_3" localSheetId="47">'Div 3'!$G$156:$G$157</definedName>
    <definedName name="OSRRefD21_10x_3" localSheetId="70">'Div 4'!$G$70</definedName>
    <definedName name="OSRRefD21_10x_3" localSheetId="92">'Div 5'!$G$62</definedName>
    <definedName name="OSRRefD21_10x_3" localSheetId="61">'Div 6'!$G$87:$G$89</definedName>
    <definedName name="OSRRefD21_10x_3" localSheetId="2">Summary!$G$184:$G$185</definedName>
    <definedName name="OSRRefD21_11_0x" localSheetId="41">'201'!$D$61:$G$61</definedName>
    <definedName name="OSRRefD21_11_0x" localSheetId="42">'202'!$D$61:$G$61</definedName>
    <definedName name="OSRRefD21_11_0x" localSheetId="43">'203'!$D$61:$G$61</definedName>
    <definedName name="OSRRefD21_11_0x" localSheetId="48">'300'!$D$155:$G$155</definedName>
    <definedName name="OSRRefD21_11_0x" localSheetId="49">'300 &amp; 317'!$D$177:$G$177</definedName>
    <definedName name="OSRRefD21_11_0x" localSheetId="50">'301'!$D$60:$G$60</definedName>
    <definedName name="OSRRefD21_11_0x" localSheetId="52">'307'!$D$83:$G$83</definedName>
    <definedName name="OSRRefD21_11_0x" localSheetId="53">'308'!$D$97:$G$97</definedName>
    <definedName name="OSRRefD21_11_0x" localSheetId="63">'310'!$D$66:$G$66</definedName>
    <definedName name="OSRRefD21_11_0x" localSheetId="71">'310 &amp; 491'!$D$73:$G$73</definedName>
    <definedName name="OSRRefD21_11_0x" localSheetId="54">'311'!$D$96:$G$96</definedName>
    <definedName name="OSRRefD21_11_0x" localSheetId="57">'315'!$D$116:$G$116</definedName>
    <definedName name="OSRRefD21_11_0x" localSheetId="60">'316'!$D$74:$G$74</definedName>
    <definedName name="OSRRefD21_11_0x" localSheetId="62">'317'!$D$91:$G$91</definedName>
    <definedName name="OSRRefD21_11_0x" localSheetId="66">'321'!$D$65:$G$65</definedName>
    <definedName name="OSRRefD21_11_0x" localSheetId="68">'325'!$D$60:$G$60</definedName>
    <definedName name="OSRRefD21_11_0x" localSheetId="58">'326'!$D$82:$G$82</definedName>
    <definedName name="OSRRefD21_11_0x" localSheetId="51">'330'!$D$83:$G$83</definedName>
    <definedName name="OSRRefD21_11_0x" localSheetId="56">'331'!$D$116:$G$116</definedName>
    <definedName name="OSRRefD21_11_0x" localSheetId="59">'332'!$D$74:$G$74</definedName>
    <definedName name="OSRRefD21_11_0x" localSheetId="73">'405'!$D$62:$G$62</definedName>
    <definedName name="OSRRefD21_11_0x" localSheetId="75">'411'!$D$63:$G$63</definedName>
    <definedName name="OSRRefD21_11_0x" localSheetId="76">'412'!$D$64:$G$64</definedName>
    <definedName name="OSRRefD21_11_0x" localSheetId="77">'413'!$D$70:$G$70</definedName>
    <definedName name="OSRRefD21_11_0x" localSheetId="78">'414'!$D$63:$G$63</definedName>
    <definedName name="OSRRefD21_11_0x" localSheetId="79">'415'!$D$66:$G$66</definedName>
    <definedName name="OSRRefD21_11_0x" localSheetId="80">'418'!$D$64:$G$64</definedName>
    <definedName name="OSRRefD21_11_0x" localSheetId="88">'433'!$D$66:$G$66</definedName>
    <definedName name="OSRRefD21_11_0x" localSheetId="90">'444'!$D$66:$G$66</definedName>
    <definedName name="OSRRefD21_11_0x" localSheetId="91">'450'!$D$62:$G$62</definedName>
    <definedName name="OSRRefD21_11_0x" localSheetId="72">'491'!$D$69:$G$69</definedName>
    <definedName name="OSRRefD21_11_0x" localSheetId="86">'492'!$D$66:$G$66</definedName>
    <definedName name="OSRRefD21_11_0x" localSheetId="93">'501'!$D$64:$G$64</definedName>
    <definedName name="OSRRefD21_11_0x" localSheetId="39">'Div 2'!$D$62:$G$62</definedName>
    <definedName name="OSRRefD21_11_0x" localSheetId="47">'Div 3'!$D$159:$G$159</definedName>
    <definedName name="OSRRefD21_11_0x" localSheetId="70">'Div 4'!$D$72:$G$72</definedName>
    <definedName name="OSRRefD21_11_0x" localSheetId="92">'Div 5'!$D$64:$G$64</definedName>
    <definedName name="OSRRefD21_11_0x" localSheetId="61">'Div 6'!$D$91:$G$91</definedName>
    <definedName name="OSRRefD21_11_0x" localSheetId="2">Summary!$D$187:$G$187</definedName>
    <definedName name="OSRRefD21_11_1x" localSheetId="43">'203'!$D$62:$G$62</definedName>
    <definedName name="OSRRefD21_11_1x" localSheetId="48">'300'!$D$156:$G$156</definedName>
    <definedName name="OSRRefD21_11_1x" localSheetId="49">'300 &amp; 317'!$D$178:$G$178</definedName>
    <definedName name="OSRRefD21_11_1x" localSheetId="52">'307'!$D$84:$G$84</definedName>
    <definedName name="OSRRefD21_11_1x" localSheetId="53">'308'!$D$98:$G$98</definedName>
    <definedName name="OSRRefD21_11_1x" localSheetId="54">'311'!$D$97:$G$97</definedName>
    <definedName name="OSRRefD21_11_1x" localSheetId="51">'330'!$D$84:$G$84</definedName>
    <definedName name="OSRRefD21_11_1x" localSheetId="73">'405'!$D$63:$G$63</definedName>
    <definedName name="OSRRefD21_11_1x" localSheetId="76">'412'!$D$65:$G$65</definedName>
    <definedName name="OSRRefD21_11_1x" localSheetId="77">'413'!$D$71:$G$71</definedName>
    <definedName name="OSRRefD21_11_1x" localSheetId="79">'415'!$D$67:$G$67</definedName>
    <definedName name="OSRRefD21_11_1x" localSheetId="80">'418'!$D$65:$G$65</definedName>
    <definedName name="OSRRefD21_11_1x" localSheetId="88">'433'!$D$67:$G$67</definedName>
    <definedName name="OSRRefD21_11_1x" localSheetId="90">'444'!$D$67:$G$67</definedName>
    <definedName name="OSRRefD21_11_1x" localSheetId="93">'501'!$D$65:$G$65</definedName>
    <definedName name="OSRRefD21_11_1x" localSheetId="47">'Div 3'!$D$160:$G$160</definedName>
    <definedName name="OSRRefD21_11_1x" localSheetId="92">'Div 5'!$D$65:$G$65</definedName>
    <definedName name="OSRRefD21_11_1x" localSheetId="2">Summary!$D$188:$G$188</definedName>
    <definedName name="OSRRefD21_11_2x" localSheetId="43">'203'!$D$63:$G$63</definedName>
    <definedName name="OSRRefD21_11_2x" localSheetId="53">'308'!$D$99:$G$99</definedName>
    <definedName name="OSRRefD21_11_2x" localSheetId="54">'311'!$D$98:$G$98</definedName>
    <definedName name="OSRRefD21_11_2x" localSheetId="73">'405'!$D$64:$G$64</definedName>
    <definedName name="OSRRefD21_11_2x" localSheetId="76">'412'!$D$66:$G$66</definedName>
    <definedName name="OSRRefD21_11_2x" localSheetId="80">'418'!$D$66:$G$66</definedName>
    <definedName name="OSRRefD21_11_2x" localSheetId="88">'433'!$D$68:$G$68</definedName>
    <definedName name="OSRRefD21_11_2x" localSheetId="90">'444'!$D$68:$G$68</definedName>
    <definedName name="OSRRefD21_11_3x" localSheetId="73">'405'!$D$65:$G$65</definedName>
    <definedName name="OSRRefD21_11_3x" localSheetId="76">'412'!$D$67:$G$67</definedName>
    <definedName name="OSRRefD21_11_3x" localSheetId="80">'418'!$D$67:$G$67</definedName>
    <definedName name="OSRRefD21_11_4x" localSheetId="76">'412'!$D$68:$G$68</definedName>
    <definedName name="OSRRefD21_11_4x" localSheetId="80">'418'!$D$68:$G$68</definedName>
    <definedName name="OSRRefD21_11_5x" localSheetId="80">'418'!$D$69:$G$69</definedName>
    <definedName name="OSRRefD21_11_6x" localSheetId="80">'418'!$D$70:$G$70</definedName>
    <definedName name="OSRRefD21_11_7x" localSheetId="80">'418'!$D$71:$G$71</definedName>
    <definedName name="OSRRefD21_11_8x" localSheetId="80">'418'!$D$72:$G$72</definedName>
    <definedName name="OSRRefD21_11x_0" localSheetId="41">'201'!$D$61</definedName>
    <definedName name="OSRRefD21_11x_0" localSheetId="42">'202'!$D$61</definedName>
    <definedName name="OSRRefD21_11x_0" localSheetId="43">'203'!$D$61:$D$63</definedName>
    <definedName name="OSRRefD21_11x_0" localSheetId="48">'300'!$D$155:$D$156</definedName>
    <definedName name="OSRRefD21_11x_0" localSheetId="49">'300 &amp; 317'!$D$177:$D$178</definedName>
    <definedName name="OSRRefD21_11x_0" localSheetId="50">'301'!$D$60</definedName>
    <definedName name="OSRRefD21_11x_0" localSheetId="52">'307'!$D$83:$D$84</definedName>
    <definedName name="OSRRefD21_11x_0" localSheetId="53">'308'!$D$97:$D$99</definedName>
    <definedName name="OSRRefD21_11x_0" localSheetId="63">'310'!$D$66</definedName>
    <definedName name="OSRRefD21_11x_0" localSheetId="71">'310 &amp; 491'!$D$73</definedName>
    <definedName name="OSRRefD21_11x_0" localSheetId="54">'311'!$D$96:$D$98</definedName>
    <definedName name="OSRRefD21_11x_0" localSheetId="57">'315'!$D$116</definedName>
    <definedName name="OSRRefD21_11x_0" localSheetId="60">'316'!$D$74</definedName>
    <definedName name="OSRRefD21_11x_0" localSheetId="62">'317'!$D$91</definedName>
    <definedName name="OSRRefD21_11x_0" localSheetId="66">'321'!$D$65</definedName>
    <definedName name="OSRRefD21_11x_0" localSheetId="68">'325'!$D$60</definedName>
    <definedName name="OSRRefD21_11x_0" localSheetId="58">'326'!$D$82</definedName>
    <definedName name="OSRRefD21_11x_0" localSheetId="51">'330'!$D$83:$D$84</definedName>
    <definedName name="OSRRefD21_11x_0" localSheetId="56">'331'!$D$116</definedName>
    <definedName name="OSRRefD21_11x_0" localSheetId="59">'332'!$D$74</definedName>
    <definedName name="OSRRefD21_11x_0" localSheetId="73">'405'!$D$62:$D$65</definedName>
    <definedName name="OSRRefD21_11x_0" localSheetId="75">'411'!$D$63</definedName>
    <definedName name="OSRRefD21_11x_0" localSheetId="76">'412'!$D$64:$D$68</definedName>
    <definedName name="OSRRefD21_11x_0" localSheetId="77">'413'!$D$70:$D$71</definedName>
    <definedName name="OSRRefD21_11x_0" localSheetId="78">'414'!$D$63</definedName>
    <definedName name="OSRRefD21_11x_0" localSheetId="79">'415'!$D$66:$D$67</definedName>
    <definedName name="OSRRefD21_11x_0" localSheetId="80">'418'!$D$64:$D$72</definedName>
    <definedName name="OSRRefD21_11x_0" localSheetId="88">'433'!$D$66:$D$68</definedName>
    <definedName name="OSRRefD21_11x_0" localSheetId="90">'444'!$D$66:$D$68</definedName>
    <definedName name="OSRRefD21_11x_0" localSheetId="91">'450'!$D$62</definedName>
    <definedName name="OSRRefD21_11x_0" localSheetId="72">'491'!$D$69</definedName>
    <definedName name="OSRRefD21_11x_0" localSheetId="86">'492'!$D$66</definedName>
    <definedName name="OSRRefD21_11x_0" localSheetId="93">'501'!$D$64:$D$65</definedName>
    <definedName name="OSRRefD21_11x_0" localSheetId="39">'Div 2'!$D$62</definedName>
    <definedName name="OSRRefD21_11x_0" localSheetId="47">'Div 3'!$D$159:$D$160</definedName>
    <definedName name="OSRRefD21_11x_0" localSheetId="70">'Div 4'!$D$72</definedName>
    <definedName name="OSRRefD21_11x_0" localSheetId="92">'Div 5'!$D$64:$D$65</definedName>
    <definedName name="OSRRefD21_11x_0" localSheetId="61">'Div 6'!$D$91</definedName>
    <definedName name="OSRRefD21_11x_0" localSheetId="2">Summary!$D$187:$D$188</definedName>
    <definedName name="OSRRefD21_11x_1" localSheetId="41">'201'!$E$61</definedName>
    <definedName name="OSRRefD21_11x_1" localSheetId="42">'202'!$E$61</definedName>
    <definedName name="OSRRefD21_11x_1" localSheetId="43">'203'!$E$61:$E$63</definedName>
    <definedName name="OSRRefD21_11x_1" localSheetId="48">'300'!$E$155:$E$156</definedName>
    <definedName name="OSRRefD21_11x_1" localSheetId="49">'300 &amp; 317'!$E$177:$E$178</definedName>
    <definedName name="OSRRefD21_11x_1" localSheetId="50">'301'!$E$60</definedName>
    <definedName name="OSRRefD21_11x_1" localSheetId="52">'307'!$E$83:$E$84</definedName>
    <definedName name="OSRRefD21_11x_1" localSheetId="53">'308'!$E$97:$E$99</definedName>
    <definedName name="OSRRefD21_11x_1" localSheetId="63">'310'!$E$66</definedName>
    <definedName name="OSRRefD21_11x_1" localSheetId="71">'310 &amp; 491'!$E$73</definedName>
    <definedName name="OSRRefD21_11x_1" localSheetId="54">'311'!$E$96:$E$98</definedName>
    <definedName name="OSRRefD21_11x_1" localSheetId="57">'315'!$E$116</definedName>
    <definedName name="OSRRefD21_11x_1" localSheetId="60">'316'!$E$74</definedName>
    <definedName name="OSRRefD21_11x_1" localSheetId="62">'317'!$E$91</definedName>
    <definedName name="OSRRefD21_11x_1" localSheetId="66">'321'!$E$65</definedName>
    <definedName name="OSRRefD21_11x_1" localSheetId="68">'325'!$E$60</definedName>
    <definedName name="OSRRefD21_11x_1" localSheetId="58">'326'!$E$82</definedName>
    <definedName name="OSRRefD21_11x_1" localSheetId="51">'330'!$E$83:$E$84</definedName>
    <definedName name="OSRRefD21_11x_1" localSheetId="56">'331'!$E$116</definedName>
    <definedName name="OSRRefD21_11x_1" localSheetId="59">'332'!$E$74</definedName>
    <definedName name="OSRRefD21_11x_1" localSheetId="73">'405'!$E$62:$E$65</definedName>
    <definedName name="OSRRefD21_11x_1" localSheetId="75">'411'!$E$63</definedName>
    <definedName name="OSRRefD21_11x_1" localSheetId="76">'412'!$E$64:$E$68</definedName>
    <definedName name="OSRRefD21_11x_1" localSheetId="77">'413'!$E$70:$E$71</definedName>
    <definedName name="OSRRefD21_11x_1" localSheetId="78">'414'!$E$63</definedName>
    <definedName name="OSRRefD21_11x_1" localSheetId="79">'415'!$E$66:$E$67</definedName>
    <definedName name="OSRRefD21_11x_1" localSheetId="80">'418'!$E$64:$E$72</definedName>
    <definedName name="OSRRefD21_11x_1" localSheetId="88">'433'!$E$66:$E$68</definedName>
    <definedName name="OSRRefD21_11x_1" localSheetId="90">'444'!$E$66:$E$68</definedName>
    <definedName name="OSRRefD21_11x_1" localSheetId="91">'450'!$E$62</definedName>
    <definedName name="OSRRefD21_11x_1" localSheetId="72">'491'!$E$69</definedName>
    <definedName name="OSRRefD21_11x_1" localSheetId="86">'492'!$E$66</definedName>
    <definedName name="OSRRefD21_11x_1" localSheetId="93">'501'!$E$64:$E$65</definedName>
    <definedName name="OSRRefD21_11x_1" localSheetId="39">'Div 2'!$E$62</definedName>
    <definedName name="OSRRefD21_11x_1" localSheetId="47">'Div 3'!$E$159:$E$160</definedName>
    <definedName name="OSRRefD21_11x_1" localSheetId="70">'Div 4'!$E$72</definedName>
    <definedName name="OSRRefD21_11x_1" localSheetId="92">'Div 5'!$E$64:$E$65</definedName>
    <definedName name="OSRRefD21_11x_1" localSheetId="61">'Div 6'!$E$91</definedName>
    <definedName name="OSRRefD21_11x_1" localSheetId="2">Summary!$E$187:$E$188</definedName>
    <definedName name="OSRRefD21_11x_2" localSheetId="41">'201'!$F$61</definedName>
    <definedName name="OSRRefD21_11x_2" localSheetId="42">'202'!$F$61</definedName>
    <definedName name="OSRRefD21_11x_2" localSheetId="43">'203'!$F$61:$F$63</definedName>
    <definedName name="OSRRefD21_11x_2" localSheetId="48">'300'!$F$155:$F$156</definedName>
    <definedName name="OSRRefD21_11x_2" localSheetId="49">'300 &amp; 317'!$F$177:$F$178</definedName>
    <definedName name="OSRRefD21_11x_2" localSheetId="50">'301'!$F$60</definedName>
    <definedName name="OSRRefD21_11x_2" localSheetId="52">'307'!$F$83:$F$84</definedName>
    <definedName name="OSRRefD21_11x_2" localSheetId="53">'308'!$F$97:$F$99</definedName>
    <definedName name="OSRRefD21_11x_2" localSheetId="63">'310'!$F$66</definedName>
    <definedName name="OSRRefD21_11x_2" localSheetId="71">'310 &amp; 491'!$F$73</definedName>
    <definedName name="OSRRefD21_11x_2" localSheetId="54">'311'!$F$96:$F$98</definedName>
    <definedName name="OSRRefD21_11x_2" localSheetId="57">'315'!$F$116</definedName>
    <definedName name="OSRRefD21_11x_2" localSheetId="60">'316'!$F$74</definedName>
    <definedName name="OSRRefD21_11x_2" localSheetId="62">'317'!$F$91</definedName>
    <definedName name="OSRRefD21_11x_2" localSheetId="66">'321'!$F$65</definedName>
    <definedName name="OSRRefD21_11x_2" localSheetId="68">'325'!$F$60</definedName>
    <definedName name="OSRRefD21_11x_2" localSheetId="58">'326'!$F$82</definedName>
    <definedName name="OSRRefD21_11x_2" localSheetId="51">'330'!$F$83:$F$84</definedName>
    <definedName name="OSRRefD21_11x_2" localSheetId="56">'331'!$F$116</definedName>
    <definedName name="OSRRefD21_11x_2" localSheetId="59">'332'!$F$74</definedName>
    <definedName name="OSRRefD21_11x_2" localSheetId="73">'405'!$F$62:$F$65</definedName>
    <definedName name="OSRRefD21_11x_2" localSheetId="75">'411'!$F$63</definedName>
    <definedName name="OSRRefD21_11x_2" localSheetId="76">'412'!$F$64:$F$68</definedName>
    <definedName name="OSRRefD21_11x_2" localSheetId="77">'413'!$F$70:$F$71</definedName>
    <definedName name="OSRRefD21_11x_2" localSheetId="78">'414'!$F$63</definedName>
    <definedName name="OSRRefD21_11x_2" localSheetId="79">'415'!$F$66:$F$67</definedName>
    <definedName name="OSRRefD21_11x_2" localSheetId="80">'418'!$F$64:$F$72</definedName>
    <definedName name="OSRRefD21_11x_2" localSheetId="88">'433'!$F$66:$F$68</definedName>
    <definedName name="OSRRefD21_11x_2" localSheetId="90">'444'!$F$66:$F$68</definedName>
    <definedName name="OSRRefD21_11x_2" localSheetId="91">'450'!$F$62</definedName>
    <definedName name="OSRRefD21_11x_2" localSheetId="72">'491'!$F$69</definedName>
    <definedName name="OSRRefD21_11x_2" localSheetId="86">'492'!$F$66</definedName>
    <definedName name="OSRRefD21_11x_2" localSheetId="93">'501'!$F$64:$F$65</definedName>
    <definedName name="OSRRefD21_11x_2" localSheetId="39">'Div 2'!$F$62</definedName>
    <definedName name="OSRRefD21_11x_2" localSheetId="47">'Div 3'!$F$159:$F$160</definedName>
    <definedName name="OSRRefD21_11x_2" localSheetId="70">'Div 4'!$F$72</definedName>
    <definedName name="OSRRefD21_11x_2" localSheetId="92">'Div 5'!$F$64:$F$65</definedName>
    <definedName name="OSRRefD21_11x_2" localSheetId="61">'Div 6'!$F$91</definedName>
    <definedName name="OSRRefD21_11x_2" localSheetId="2">Summary!$F$187:$F$188</definedName>
    <definedName name="OSRRefD21_11x_3" localSheetId="41">'201'!$G$61</definedName>
    <definedName name="OSRRefD21_11x_3" localSheetId="42">'202'!$G$61</definedName>
    <definedName name="OSRRefD21_11x_3" localSheetId="43">'203'!$G$61:$G$63</definedName>
    <definedName name="OSRRefD21_11x_3" localSheetId="48">'300'!$G$155:$G$156</definedName>
    <definedName name="OSRRefD21_11x_3" localSheetId="49">'300 &amp; 317'!$G$177:$G$178</definedName>
    <definedName name="OSRRefD21_11x_3" localSheetId="50">'301'!$G$60</definedName>
    <definedName name="OSRRefD21_11x_3" localSheetId="52">'307'!$G$83:$G$84</definedName>
    <definedName name="OSRRefD21_11x_3" localSheetId="53">'308'!$G$97:$G$99</definedName>
    <definedName name="OSRRefD21_11x_3" localSheetId="63">'310'!$G$66</definedName>
    <definedName name="OSRRefD21_11x_3" localSheetId="71">'310 &amp; 491'!$G$73</definedName>
    <definedName name="OSRRefD21_11x_3" localSheetId="54">'311'!$G$96:$G$98</definedName>
    <definedName name="OSRRefD21_11x_3" localSheetId="57">'315'!$G$116</definedName>
    <definedName name="OSRRefD21_11x_3" localSheetId="60">'316'!$G$74</definedName>
    <definedName name="OSRRefD21_11x_3" localSheetId="62">'317'!$G$91</definedName>
    <definedName name="OSRRefD21_11x_3" localSheetId="66">'321'!$G$65</definedName>
    <definedName name="OSRRefD21_11x_3" localSheetId="68">'325'!$G$60</definedName>
    <definedName name="OSRRefD21_11x_3" localSheetId="58">'326'!$G$82</definedName>
    <definedName name="OSRRefD21_11x_3" localSheetId="51">'330'!$G$83:$G$84</definedName>
    <definedName name="OSRRefD21_11x_3" localSheetId="56">'331'!$G$116</definedName>
    <definedName name="OSRRefD21_11x_3" localSheetId="59">'332'!$G$74</definedName>
    <definedName name="OSRRefD21_11x_3" localSheetId="73">'405'!$G$62:$G$65</definedName>
    <definedName name="OSRRefD21_11x_3" localSheetId="75">'411'!$G$63</definedName>
    <definedName name="OSRRefD21_11x_3" localSheetId="76">'412'!$G$64:$G$68</definedName>
    <definedName name="OSRRefD21_11x_3" localSheetId="77">'413'!$G$70:$G$71</definedName>
    <definedName name="OSRRefD21_11x_3" localSheetId="78">'414'!$G$63</definedName>
    <definedName name="OSRRefD21_11x_3" localSheetId="79">'415'!$G$66:$G$67</definedName>
    <definedName name="OSRRefD21_11x_3" localSheetId="80">'418'!$G$64:$G$72</definedName>
    <definedName name="OSRRefD21_11x_3" localSheetId="88">'433'!$G$66:$G$68</definedName>
    <definedName name="OSRRefD21_11x_3" localSheetId="90">'444'!$G$66:$G$68</definedName>
    <definedName name="OSRRefD21_11x_3" localSheetId="91">'450'!$G$62</definedName>
    <definedName name="OSRRefD21_11x_3" localSheetId="72">'491'!$G$69</definedName>
    <definedName name="OSRRefD21_11x_3" localSheetId="86">'492'!$G$66</definedName>
    <definedName name="OSRRefD21_11x_3" localSheetId="93">'501'!$G$64:$G$65</definedName>
    <definedName name="OSRRefD21_11x_3" localSheetId="39">'Div 2'!$G$62</definedName>
    <definedName name="OSRRefD21_11x_3" localSheetId="47">'Div 3'!$G$159:$G$160</definedName>
    <definedName name="OSRRefD21_11x_3" localSheetId="70">'Div 4'!$G$72</definedName>
    <definedName name="OSRRefD21_11x_3" localSheetId="92">'Div 5'!$G$64:$G$65</definedName>
    <definedName name="OSRRefD21_11x_3" localSheetId="61">'Div 6'!$G$91</definedName>
    <definedName name="OSRRefD21_11x_3" localSheetId="2">Summary!$G$187:$G$188</definedName>
    <definedName name="OSRRefD21_12_0x" localSheetId="41">'201'!$D$63:$G$63</definedName>
    <definedName name="OSRRefD21_12_0x" localSheetId="42">'202'!$D$63:$G$63</definedName>
    <definedName name="OSRRefD21_12_0x" localSheetId="43">'203'!$D$65:$G$65</definedName>
    <definedName name="OSRRefD21_12_0x" localSheetId="48">'300'!$D$158:$G$158</definedName>
    <definedName name="OSRRefD21_12_0x" localSheetId="49">'300 &amp; 317'!$D$180:$G$180</definedName>
    <definedName name="OSRRefD21_12_0x" localSheetId="50">'301'!$D$62:$G$62</definedName>
    <definedName name="OSRRefD21_12_0x" localSheetId="52">'307'!$D$86:$G$86</definedName>
    <definedName name="OSRRefD21_12_0x" localSheetId="53">'308'!$D$101:$G$101</definedName>
    <definedName name="OSRRefD21_12_0x" localSheetId="63">'310'!$D$68:$G$68</definedName>
    <definedName name="OSRRefD21_12_0x" localSheetId="71">'310 &amp; 491'!$D$75:$G$75</definedName>
    <definedName name="OSRRefD21_12_0x" localSheetId="54">'311'!$D$100:$G$100</definedName>
    <definedName name="OSRRefD21_12_0x" localSheetId="57">'315'!$D$118:$G$118</definedName>
    <definedName name="OSRRefD21_12_0x" localSheetId="62">'317'!$D$93:$G$93</definedName>
    <definedName name="OSRRefD21_12_0x" localSheetId="66">'321'!$D$67:$G$67</definedName>
    <definedName name="OSRRefD21_12_0x" localSheetId="68">'325'!$D$62:$G$62</definedName>
    <definedName name="OSRRefD21_12_0x" localSheetId="58">'326'!$D$84:$G$84</definedName>
    <definedName name="OSRRefD21_12_0x" localSheetId="51">'330'!$D$86:$G$86</definedName>
    <definedName name="OSRRefD21_12_0x" localSheetId="56">'331'!$D$118:$G$118</definedName>
    <definedName name="OSRRefD21_12_0x" localSheetId="73">'405'!$D$67:$G$67</definedName>
    <definedName name="OSRRefD21_12_0x" localSheetId="75">'411'!$D$65:$G$65</definedName>
    <definedName name="OSRRefD21_12_0x" localSheetId="76">'412'!$D$70:$G$70</definedName>
    <definedName name="OSRRefD21_12_0x" localSheetId="78">'414'!$D$65:$G$65</definedName>
    <definedName name="OSRRefD21_12_0x" localSheetId="79">'415'!$D$69:$G$69</definedName>
    <definedName name="OSRRefD21_12_0x" localSheetId="80">'418'!$D$74:$G$74</definedName>
    <definedName name="OSRRefD21_12_0x" localSheetId="88">'433'!$D$70:$G$70</definedName>
    <definedName name="OSRRefD21_12_0x" localSheetId="90">'444'!$D$70:$G$70</definedName>
    <definedName name="OSRRefD21_12_0x" localSheetId="91">'450'!$D$64:$G$64</definedName>
    <definedName name="OSRRefD21_12_0x" localSheetId="72">'491'!$D$71:$G$71</definedName>
    <definedName name="OSRRefD21_12_0x" localSheetId="86">'492'!$D$68:$G$68</definedName>
    <definedName name="OSRRefD21_12_0x" localSheetId="93">'501'!$D$67:$G$67</definedName>
    <definedName name="OSRRefD21_12_0x" localSheetId="39">'Div 2'!$D$64:$G$64</definedName>
    <definedName name="OSRRefD21_12_0x" localSheetId="47">'Div 3'!$D$162:$G$162</definedName>
    <definedName name="OSRRefD21_12_0x" localSheetId="70">'Div 4'!$D$74:$G$74</definedName>
    <definedName name="OSRRefD21_12_0x" localSheetId="92">'Div 5'!$D$67:$G$67</definedName>
    <definedName name="OSRRefD21_12_0x" localSheetId="61">'Div 6'!$D$93:$G$93</definedName>
    <definedName name="OSRRefD21_12_0x" localSheetId="2">Summary!$D$190:$G$190</definedName>
    <definedName name="OSRRefD21_12_1x" localSheetId="53">'308'!$D$102:$G$102</definedName>
    <definedName name="OSRRefD21_12_1x" localSheetId="54">'311'!$D$101:$G$101</definedName>
    <definedName name="OSRRefD21_12_1x" localSheetId="57">'315'!$D$119:$G$119</definedName>
    <definedName name="OSRRefD21_12_1x" localSheetId="68">'325'!$D$63:$G$63</definedName>
    <definedName name="OSRRefD21_12_1x" localSheetId="58">'326'!$D$85:$G$85</definedName>
    <definedName name="OSRRefD21_12_1x" localSheetId="75">'411'!$D$66:$G$66</definedName>
    <definedName name="OSRRefD21_12_1x" localSheetId="76">'412'!$D$71:$G$71</definedName>
    <definedName name="OSRRefD21_12_1x" localSheetId="78">'414'!$D$66:$G$66</definedName>
    <definedName name="OSRRefD21_12_1x" localSheetId="79">'415'!$D$70:$G$70</definedName>
    <definedName name="OSRRefD21_12_1x" localSheetId="80">'418'!$D$75:$G$75</definedName>
    <definedName name="OSRRefD21_12_1x" localSheetId="88">'433'!$D$71:$G$71</definedName>
    <definedName name="OSRRefD21_12_1x" localSheetId="90">'444'!$D$71:$G$71</definedName>
    <definedName name="OSRRefD21_12_1x" localSheetId="86">'492'!$D$69:$G$69</definedName>
    <definedName name="OSRRefD21_12_1x" localSheetId="39">'Div 2'!$D$65:$G$65</definedName>
    <definedName name="OSRRefD21_12_2x" localSheetId="57">'315'!$D$120:$G$120</definedName>
    <definedName name="OSRRefD21_12_2x" localSheetId="68">'325'!$D$64:$G$64</definedName>
    <definedName name="OSRRefD21_12_2x" localSheetId="75">'411'!$D$67:$G$67</definedName>
    <definedName name="OSRRefD21_12_2x" localSheetId="78">'414'!$D$67:$G$67</definedName>
    <definedName name="OSRRefD21_12_2x" localSheetId="79">'415'!$D$71:$G$71</definedName>
    <definedName name="OSRRefD21_12_2x" localSheetId="88">'433'!$D$72:$G$72</definedName>
    <definedName name="OSRRefD21_12_2x" localSheetId="90">'444'!$D$72:$G$72</definedName>
    <definedName name="OSRRefD21_12_2x" localSheetId="86">'492'!$D$70:$G$70</definedName>
    <definedName name="OSRRefD21_12_2x" localSheetId="39">'Div 2'!$D$66:$G$66</definedName>
    <definedName name="OSRRefD21_12_3x" localSheetId="68">'325'!$D$65:$G$65</definedName>
    <definedName name="OSRRefD21_12_3x" localSheetId="75">'411'!$D$68:$G$68</definedName>
    <definedName name="OSRRefD21_12_3x" localSheetId="79">'415'!$D$72:$G$72</definedName>
    <definedName name="OSRRefD21_12_3x" localSheetId="88">'433'!$D$73:$G$73</definedName>
    <definedName name="OSRRefD21_12_3x" localSheetId="39">'Div 2'!$D$67:$G$67</definedName>
    <definedName name="OSRRefD21_12_4x" localSheetId="68">'325'!$D$66:$G$66</definedName>
    <definedName name="OSRRefD21_12_4x" localSheetId="75">'411'!$D$69:$G$69</definedName>
    <definedName name="OSRRefD21_12_5x" localSheetId="75">'411'!$D$70:$G$70</definedName>
    <definedName name="OSRRefD21_12x_0" localSheetId="41">'201'!$D$63</definedName>
    <definedName name="OSRRefD21_12x_0" localSheetId="42">'202'!$D$63</definedName>
    <definedName name="OSRRefD21_12x_0" localSheetId="43">'203'!$D$65</definedName>
    <definedName name="OSRRefD21_12x_0" localSheetId="48">'300'!$D$158</definedName>
    <definedName name="OSRRefD21_12x_0" localSheetId="49">'300 &amp; 317'!$D$180</definedName>
    <definedName name="OSRRefD21_12x_0" localSheetId="50">'301'!$D$62</definedName>
    <definedName name="OSRRefD21_12x_0" localSheetId="52">'307'!$D$86</definedName>
    <definedName name="OSRRefD21_12x_0" localSheetId="53">'308'!$D$101:$D$102</definedName>
    <definedName name="OSRRefD21_12x_0" localSheetId="63">'310'!$D$68</definedName>
    <definedName name="OSRRefD21_12x_0" localSheetId="71">'310 &amp; 491'!$D$75</definedName>
    <definedName name="OSRRefD21_12x_0" localSheetId="54">'311'!$D$100:$D$101</definedName>
    <definedName name="OSRRefD21_12x_0" localSheetId="57">'315'!$D$118:$D$120</definedName>
    <definedName name="OSRRefD21_12x_0" localSheetId="62">'317'!$D$93</definedName>
    <definedName name="OSRRefD21_12x_0" localSheetId="66">'321'!$D$67</definedName>
    <definedName name="OSRRefD21_12x_0" localSheetId="68">'325'!$D$62:$D$66</definedName>
    <definedName name="OSRRefD21_12x_0" localSheetId="58">'326'!$D$84:$D$85</definedName>
    <definedName name="OSRRefD21_12x_0" localSheetId="51">'330'!$D$86</definedName>
    <definedName name="OSRRefD21_12x_0" localSheetId="56">'331'!$D$118</definedName>
    <definedName name="OSRRefD21_12x_0" localSheetId="73">'405'!$D$67</definedName>
    <definedName name="OSRRefD21_12x_0" localSheetId="75">'411'!$D$65:$D$70</definedName>
    <definedName name="OSRRefD21_12x_0" localSheetId="76">'412'!$D$70:$D$71</definedName>
    <definedName name="OSRRefD21_12x_0" localSheetId="78">'414'!$D$65:$D$67</definedName>
    <definedName name="OSRRefD21_12x_0" localSheetId="79">'415'!$D$69:$D$72</definedName>
    <definedName name="OSRRefD21_12x_0" localSheetId="80">'418'!$D$74:$D$75</definedName>
    <definedName name="OSRRefD21_12x_0" localSheetId="88">'433'!$D$70:$D$73</definedName>
    <definedName name="OSRRefD21_12x_0" localSheetId="90">'444'!$D$70:$D$72</definedName>
    <definedName name="OSRRefD21_12x_0" localSheetId="91">'450'!$D$64</definedName>
    <definedName name="OSRRefD21_12x_0" localSheetId="72">'491'!$D$71</definedName>
    <definedName name="OSRRefD21_12x_0" localSheetId="86">'492'!$D$68:$D$70</definedName>
    <definedName name="OSRRefD21_12x_0" localSheetId="93">'501'!$D$67</definedName>
    <definedName name="OSRRefD21_12x_0" localSheetId="39">'Div 2'!$D$64:$D$67</definedName>
    <definedName name="OSRRefD21_12x_0" localSheetId="47">'Div 3'!$D$162</definedName>
    <definedName name="OSRRefD21_12x_0" localSheetId="70">'Div 4'!$D$74</definedName>
    <definedName name="OSRRefD21_12x_0" localSheetId="92">'Div 5'!$D$67</definedName>
    <definedName name="OSRRefD21_12x_0" localSheetId="61">'Div 6'!$D$93</definedName>
    <definedName name="OSRRefD21_12x_0" localSheetId="2">Summary!$D$190</definedName>
    <definedName name="OSRRefD21_12x_1" localSheetId="41">'201'!$E$63</definedName>
    <definedName name="OSRRefD21_12x_1" localSheetId="42">'202'!$E$63</definedName>
    <definedName name="OSRRefD21_12x_1" localSheetId="43">'203'!$E$65</definedName>
    <definedName name="OSRRefD21_12x_1" localSheetId="48">'300'!$E$158</definedName>
    <definedName name="OSRRefD21_12x_1" localSheetId="49">'300 &amp; 317'!$E$180</definedName>
    <definedName name="OSRRefD21_12x_1" localSheetId="50">'301'!$E$62</definedName>
    <definedName name="OSRRefD21_12x_1" localSheetId="52">'307'!$E$86</definedName>
    <definedName name="OSRRefD21_12x_1" localSheetId="53">'308'!$E$101:$E$102</definedName>
    <definedName name="OSRRefD21_12x_1" localSheetId="63">'310'!$E$68</definedName>
    <definedName name="OSRRefD21_12x_1" localSheetId="71">'310 &amp; 491'!$E$75</definedName>
    <definedName name="OSRRefD21_12x_1" localSheetId="54">'311'!$E$100:$E$101</definedName>
    <definedName name="OSRRefD21_12x_1" localSheetId="57">'315'!$E$118:$E$120</definedName>
    <definedName name="OSRRefD21_12x_1" localSheetId="62">'317'!$E$93</definedName>
    <definedName name="OSRRefD21_12x_1" localSheetId="66">'321'!$E$67</definedName>
    <definedName name="OSRRefD21_12x_1" localSheetId="68">'325'!$E$62:$E$66</definedName>
    <definedName name="OSRRefD21_12x_1" localSheetId="58">'326'!$E$84:$E$85</definedName>
    <definedName name="OSRRefD21_12x_1" localSheetId="51">'330'!$E$86</definedName>
    <definedName name="OSRRefD21_12x_1" localSheetId="56">'331'!$E$118</definedName>
    <definedName name="OSRRefD21_12x_1" localSheetId="73">'405'!$E$67</definedName>
    <definedName name="OSRRefD21_12x_1" localSheetId="75">'411'!$E$65:$E$70</definedName>
    <definedName name="OSRRefD21_12x_1" localSheetId="76">'412'!$E$70:$E$71</definedName>
    <definedName name="OSRRefD21_12x_1" localSheetId="78">'414'!$E$65:$E$67</definedName>
    <definedName name="OSRRefD21_12x_1" localSheetId="79">'415'!$E$69:$E$72</definedName>
    <definedName name="OSRRefD21_12x_1" localSheetId="80">'418'!$E$74:$E$75</definedName>
    <definedName name="OSRRefD21_12x_1" localSheetId="88">'433'!$E$70:$E$73</definedName>
    <definedName name="OSRRefD21_12x_1" localSheetId="90">'444'!$E$70:$E$72</definedName>
    <definedName name="OSRRefD21_12x_1" localSheetId="91">'450'!$E$64</definedName>
    <definedName name="OSRRefD21_12x_1" localSheetId="72">'491'!$E$71</definedName>
    <definedName name="OSRRefD21_12x_1" localSheetId="86">'492'!$E$68:$E$70</definedName>
    <definedName name="OSRRefD21_12x_1" localSheetId="93">'501'!$E$67</definedName>
    <definedName name="OSRRefD21_12x_1" localSheetId="39">'Div 2'!$E$64:$E$67</definedName>
    <definedName name="OSRRefD21_12x_1" localSheetId="47">'Div 3'!$E$162</definedName>
    <definedName name="OSRRefD21_12x_1" localSheetId="70">'Div 4'!$E$74</definedName>
    <definedName name="OSRRefD21_12x_1" localSheetId="92">'Div 5'!$E$67</definedName>
    <definedName name="OSRRefD21_12x_1" localSheetId="61">'Div 6'!$E$93</definedName>
    <definedName name="OSRRefD21_12x_1" localSheetId="2">Summary!$E$190</definedName>
    <definedName name="OSRRefD21_12x_2" localSheetId="41">'201'!$F$63</definedName>
    <definedName name="OSRRefD21_12x_2" localSheetId="42">'202'!$F$63</definedName>
    <definedName name="OSRRefD21_12x_2" localSheetId="43">'203'!$F$65</definedName>
    <definedName name="OSRRefD21_12x_2" localSheetId="48">'300'!$F$158</definedName>
    <definedName name="OSRRefD21_12x_2" localSheetId="49">'300 &amp; 317'!$F$180</definedName>
    <definedName name="OSRRefD21_12x_2" localSheetId="50">'301'!$F$62</definedName>
    <definedName name="OSRRefD21_12x_2" localSheetId="52">'307'!$F$86</definedName>
    <definedName name="OSRRefD21_12x_2" localSheetId="53">'308'!$F$101:$F$102</definedName>
    <definedName name="OSRRefD21_12x_2" localSheetId="63">'310'!$F$68</definedName>
    <definedName name="OSRRefD21_12x_2" localSheetId="71">'310 &amp; 491'!$F$75</definedName>
    <definedName name="OSRRefD21_12x_2" localSheetId="54">'311'!$F$100:$F$101</definedName>
    <definedName name="OSRRefD21_12x_2" localSheetId="57">'315'!$F$118:$F$120</definedName>
    <definedName name="OSRRefD21_12x_2" localSheetId="62">'317'!$F$93</definedName>
    <definedName name="OSRRefD21_12x_2" localSheetId="66">'321'!$F$67</definedName>
    <definedName name="OSRRefD21_12x_2" localSheetId="68">'325'!$F$62:$F$66</definedName>
    <definedName name="OSRRefD21_12x_2" localSheetId="58">'326'!$F$84:$F$85</definedName>
    <definedName name="OSRRefD21_12x_2" localSheetId="51">'330'!$F$86</definedName>
    <definedName name="OSRRefD21_12x_2" localSheetId="56">'331'!$F$118</definedName>
    <definedName name="OSRRefD21_12x_2" localSheetId="73">'405'!$F$67</definedName>
    <definedName name="OSRRefD21_12x_2" localSheetId="75">'411'!$F$65:$F$70</definedName>
    <definedName name="OSRRefD21_12x_2" localSheetId="76">'412'!$F$70:$F$71</definedName>
    <definedName name="OSRRefD21_12x_2" localSheetId="78">'414'!$F$65:$F$67</definedName>
    <definedName name="OSRRefD21_12x_2" localSheetId="79">'415'!$F$69:$F$72</definedName>
    <definedName name="OSRRefD21_12x_2" localSheetId="80">'418'!$F$74:$F$75</definedName>
    <definedName name="OSRRefD21_12x_2" localSheetId="88">'433'!$F$70:$F$73</definedName>
    <definedName name="OSRRefD21_12x_2" localSheetId="90">'444'!$F$70:$F$72</definedName>
    <definedName name="OSRRefD21_12x_2" localSheetId="91">'450'!$F$64</definedName>
    <definedName name="OSRRefD21_12x_2" localSheetId="72">'491'!$F$71</definedName>
    <definedName name="OSRRefD21_12x_2" localSheetId="86">'492'!$F$68:$F$70</definedName>
    <definedName name="OSRRefD21_12x_2" localSheetId="93">'501'!$F$67</definedName>
    <definedName name="OSRRefD21_12x_2" localSheetId="39">'Div 2'!$F$64:$F$67</definedName>
    <definedName name="OSRRefD21_12x_2" localSheetId="47">'Div 3'!$F$162</definedName>
    <definedName name="OSRRefD21_12x_2" localSheetId="70">'Div 4'!$F$74</definedName>
    <definedName name="OSRRefD21_12x_2" localSheetId="92">'Div 5'!$F$67</definedName>
    <definedName name="OSRRefD21_12x_2" localSheetId="61">'Div 6'!$F$93</definedName>
    <definedName name="OSRRefD21_12x_2" localSheetId="2">Summary!$F$190</definedName>
    <definedName name="OSRRefD21_12x_3" localSheetId="41">'201'!$G$63</definedName>
    <definedName name="OSRRefD21_12x_3" localSheetId="42">'202'!$G$63</definedName>
    <definedName name="OSRRefD21_12x_3" localSheetId="43">'203'!$G$65</definedName>
    <definedName name="OSRRefD21_12x_3" localSheetId="48">'300'!$G$158</definedName>
    <definedName name="OSRRefD21_12x_3" localSheetId="49">'300 &amp; 317'!$G$180</definedName>
    <definedName name="OSRRefD21_12x_3" localSheetId="50">'301'!$G$62</definedName>
    <definedName name="OSRRefD21_12x_3" localSheetId="52">'307'!$G$86</definedName>
    <definedName name="OSRRefD21_12x_3" localSheetId="53">'308'!$G$101:$G$102</definedName>
    <definedName name="OSRRefD21_12x_3" localSheetId="63">'310'!$G$68</definedName>
    <definedName name="OSRRefD21_12x_3" localSheetId="71">'310 &amp; 491'!$G$75</definedName>
    <definedName name="OSRRefD21_12x_3" localSheetId="54">'311'!$G$100:$G$101</definedName>
    <definedName name="OSRRefD21_12x_3" localSheetId="57">'315'!$G$118:$G$120</definedName>
    <definedName name="OSRRefD21_12x_3" localSheetId="62">'317'!$G$93</definedName>
    <definedName name="OSRRefD21_12x_3" localSheetId="66">'321'!$G$67</definedName>
    <definedName name="OSRRefD21_12x_3" localSheetId="68">'325'!$G$62:$G$66</definedName>
    <definedName name="OSRRefD21_12x_3" localSheetId="58">'326'!$G$84:$G$85</definedName>
    <definedName name="OSRRefD21_12x_3" localSheetId="51">'330'!$G$86</definedName>
    <definedName name="OSRRefD21_12x_3" localSheetId="56">'331'!$G$118</definedName>
    <definedName name="OSRRefD21_12x_3" localSheetId="73">'405'!$G$67</definedName>
    <definedName name="OSRRefD21_12x_3" localSheetId="75">'411'!$G$65:$G$70</definedName>
    <definedName name="OSRRefD21_12x_3" localSheetId="76">'412'!$G$70:$G$71</definedName>
    <definedName name="OSRRefD21_12x_3" localSheetId="78">'414'!$G$65:$G$67</definedName>
    <definedName name="OSRRefD21_12x_3" localSheetId="79">'415'!$G$69:$G$72</definedName>
    <definedName name="OSRRefD21_12x_3" localSheetId="80">'418'!$G$74:$G$75</definedName>
    <definedName name="OSRRefD21_12x_3" localSheetId="88">'433'!$G$70:$G$73</definedName>
    <definedName name="OSRRefD21_12x_3" localSheetId="90">'444'!$G$70:$G$72</definedName>
    <definedName name="OSRRefD21_12x_3" localSheetId="91">'450'!$G$64</definedName>
    <definedName name="OSRRefD21_12x_3" localSheetId="72">'491'!$G$71</definedName>
    <definedName name="OSRRefD21_12x_3" localSheetId="86">'492'!$G$68:$G$70</definedName>
    <definedName name="OSRRefD21_12x_3" localSheetId="93">'501'!$G$67</definedName>
    <definedName name="OSRRefD21_12x_3" localSheetId="39">'Div 2'!$G$64:$G$67</definedName>
    <definedName name="OSRRefD21_12x_3" localSheetId="47">'Div 3'!$G$162</definedName>
    <definedName name="OSRRefD21_12x_3" localSheetId="70">'Div 4'!$G$74</definedName>
    <definedName name="OSRRefD21_12x_3" localSheetId="92">'Div 5'!$G$67</definedName>
    <definedName name="OSRRefD21_12x_3" localSheetId="61">'Div 6'!$G$93</definedName>
    <definedName name="OSRRefD21_12x_3" localSheetId="2">Summary!$G$190</definedName>
    <definedName name="OSRRefD21_13_0x" localSheetId="41">'201'!$D$65:$G$65</definedName>
    <definedName name="OSRRefD21_13_0x" localSheetId="43">'203'!$D$67:$G$67</definedName>
    <definedName name="OSRRefD21_13_0x" localSheetId="48">'300'!$D$160:$G$160</definedName>
    <definedName name="OSRRefD21_13_0x" localSheetId="49">'300 &amp; 317'!$D$182:$G$182</definedName>
    <definedName name="OSRRefD21_13_0x" localSheetId="50">'301'!$D$64:$G$64</definedName>
    <definedName name="OSRRefD21_13_0x" localSheetId="53">'308'!$D$104:$G$104</definedName>
    <definedName name="OSRRefD21_13_0x" localSheetId="63">'310'!$D$70:$G$70</definedName>
    <definedName name="OSRRefD21_13_0x" localSheetId="71">'310 &amp; 491'!$D$77:$G$77</definedName>
    <definedName name="OSRRefD21_13_0x" localSheetId="54">'311'!$D$103:$G$103</definedName>
    <definedName name="OSRRefD21_13_0x" localSheetId="57">'315'!$D$122:$G$122</definedName>
    <definedName name="OSRRefD21_13_0x" localSheetId="68">'325'!$D$68:$G$68</definedName>
    <definedName name="OSRRefD21_13_0x" localSheetId="58">'326'!$D$87:$G$87</definedName>
    <definedName name="OSRRefD21_13_0x" localSheetId="56">'331'!$D$120:$G$120</definedName>
    <definedName name="OSRRefD21_13_0x" localSheetId="73">'405'!$D$69:$G$69</definedName>
    <definedName name="OSRRefD21_13_0x" localSheetId="75">'411'!$D$72:$G$72</definedName>
    <definedName name="OSRRefD21_13_0x" localSheetId="76">'412'!$D$73:$G$73</definedName>
    <definedName name="OSRRefD21_13_0x" localSheetId="78">'414'!$D$69:$G$69</definedName>
    <definedName name="OSRRefD21_13_0x" localSheetId="79">'415'!$D$74:$G$74</definedName>
    <definedName name="OSRRefD21_13_0x" localSheetId="80">'418'!$D$77:$G$77</definedName>
    <definedName name="OSRRefD21_13_0x" localSheetId="88">'433'!$D$75:$G$75</definedName>
    <definedName name="OSRRefD21_13_0x" localSheetId="90">'444'!$D$74:$G$74</definedName>
    <definedName name="OSRRefD21_13_0x" localSheetId="91">'450'!$D$66:$G$66</definedName>
    <definedName name="OSRRefD21_13_0x" localSheetId="72">'491'!$D$73:$G$73</definedName>
    <definedName name="OSRRefD21_13_0x" localSheetId="86">'492'!$D$72:$G$72</definedName>
    <definedName name="OSRRefD21_13_0x" localSheetId="93">'501'!$D$69:$G$69</definedName>
    <definedName name="OSRRefD21_13_0x" localSheetId="39">'Div 2'!$D$69:$G$69</definedName>
    <definedName name="OSRRefD21_13_0x" localSheetId="47">'Div 3'!$D$164:$G$164</definedName>
    <definedName name="OSRRefD21_13_0x" localSheetId="70">'Div 4'!$D$76:$G$76</definedName>
    <definedName name="OSRRefD21_13_0x" localSheetId="92">'Div 5'!$D$69:$G$69</definedName>
    <definedName name="OSRRefD21_13_0x" localSheetId="2">Summary!$D$192:$G$192</definedName>
    <definedName name="OSRRefD21_13_1x" localSheetId="41">'201'!$D$66:$G$66</definedName>
    <definedName name="OSRRefD21_13_1x" localSheetId="50">'301'!$D$65:$G$65</definedName>
    <definedName name="OSRRefD21_13_1x" localSheetId="63">'310'!$D$71:$G$71</definedName>
    <definedName name="OSRRefD21_13_1x" localSheetId="57">'315'!$D$123:$G$123</definedName>
    <definedName name="OSRRefD21_13_1x" localSheetId="68">'325'!$D$69:$G$69</definedName>
    <definedName name="OSRRefD21_13_1x" localSheetId="58">'326'!$D$88:$G$88</definedName>
    <definedName name="OSRRefD21_13_1x" localSheetId="56">'331'!$D$121:$G$121</definedName>
    <definedName name="OSRRefD21_13_1x" localSheetId="73">'405'!$D$70:$G$70</definedName>
    <definedName name="OSRRefD21_13_1x" localSheetId="88">'433'!$D$76:$G$76</definedName>
    <definedName name="OSRRefD21_13_1x" localSheetId="90">'444'!$D$75:$G$75</definedName>
    <definedName name="OSRRefD21_13_1x" localSheetId="91">'450'!$D$67:$G$67</definedName>
    <definedName name="OSRRefD21_13_1x" localSheetId="86">'492'!$D$73:$G$73</definedName>
    <definedName name="OSRRefD21_13_1x" localSheetId="39">'Div 2'!$D$70:$G$70</definedName>
    <definedName name="OSRRefD21_13_2x" localSheetId="41">'201'!$D$67:$G$67</definedName>
    <definedName name="OSRRefD21_13_2x" localSheetId="50">'301'!$D$66:$G$66</definedName>
    <definedName name="OSRRefD21_13_2x" localSheetId="58">'326'!$D$89:$G$89</definedName>
    <definedName name="OSRRefD21_13_2x" localSheetId="73">'405'!$D$71:$G$71</definedName>
    <definedName name="OSRRefD21_13_2x" localSheetId="88">'433'!$D$77:$G$77</definedName>
    <definedName name="OSRRefD21_13_2x" localSheetId="90">'444'!$D$76:$G$76</definedName>
    <definedName name="OSRRefD21_13_2x" localSheetId="91">'450'!$D$68:$G$68</definedName>
    <definedName name="OSRRefD21_13_2x" localSheetId="86">'492'!$D$74:$G$74</definedName>
    <definedName name="OSRRefD21_13_2x" localSheetId="39">'Div 2'!$D$71:$G$71</definedName>
    <definedName name="OSRRefD21_13_3x" localSheetId="50">'301'!$D$67:$G$67</definedName>
    <definedName name="OSRRefD21_13_3x" localSheetId="73">'405'!$D$72:$G$72</definedName>
    <definedName name="OSRRefD21_13_3x" localSheetId="88">'433'!$D$78:$G$78</definedName>
    <definedName name="OSRRefD21_13_3x" localSheetId="90">'444'!$D$77:$G$77</definedName>
    <definedName name="OSRRefD21_13_3x" localSheetId="86">'492'!$D$75:$G$75</definedName>
    <definedName name="OSRRefD21_13_3x" localSheetId="39">'Div 2'!$D$72:$G$72</definedName>
    <definedName name="OSRRefD21_13_4x" localSheetId="73">'405'!$D$73:$G$73</definedName>
    <definedName name="OSRRefD21_13_4x" localSheetId="88">'433'!$D$79:$G$79</definedName>
    <definedName name="OSRRefD21_13_4x" localSheetId="90">'444'!$D$78:$G$78</definedName>
    <definedName name="OSRRefD21_13_5x" localSheetId="73">'405'!$D$74:$G$74</definedName>
    <definedName name="OSRRefD21_13_5x" localSheetId="88">'433'!$D$80:$G$80</definedName>
    <definedName name="OSRRefD21_13_5x" localSheetId="90">'444'!$D$79:$G$79</definedName>
    <definedName name="OSRRefD21_13_6x" localSheetId="73">'405'!$D$75:$G$75</definedName>
    <definedName name="OSRRefD21_13_6x" localSheetId="88">'433'!$D$81:$G$81</definedName>
    <definedName name="OSRRefD21_13_6x" localSheetId="90">'444'!$D$80:$G$80</definedName>
    <definedName name="OSRRefD21_13_7x" localSheetId="73">'405'!$D$76:$G$76</definedName>
    <definedName name="OSRRefD21_13_7x" localSheetId="88">'433'!$D$82:$G$82</definedName>
    <definedName name="OSRRefD21_13_7x" localSheetId="90">'444'!$D$81:$G$81</definedName>
    <definedName name="OSRRefD21_13x_0" localSheetId="41">'201'!$D$65:$D$67</definedName>
    <definedName name="OSRRefD21_13x_0" localSheetId="43">'203'!$D$67</definedName>
    <definedName name="OSRRefD21_13x_0" localSheetId="48">'300'!$D$160</definedName>
    <definedName name="OSRRefD21_13x_0" localSheetId="49">'300 &amp; 317'!$D$182</definedName>
    <definedName name="OSRRefD21_13x_0" localSheetId="50">'301'!$D$64:$D$67</definedName>
    <definedName name="OSRRefD21_13x_0" localSheetId="53">'308'!$D$104</definedName>
    <definedName name="OSRRefD21_13x_0" localSheetId="63">'310'!$D$70:$D$71</definedName>
    <definedName name="OSRRefD21_13x_0" localSheetId="71">'310 &amp; 491'!$D$77</definedName>
    <definedName name="OSRRefD21_13x_0" localSheetId="54">'311'!$D$103</definedName>
    <definedName name="OSRRefD21_13x_0" localSheetId="57">'315'!$D$122:$D$123</definedName>
    <definedName name="OSRRefD21_13x_0" localSheetId="68">'325'!$D$68:$D$69</definedName>
    <definedName name="OSRRefD21_13x_0" localSheetId="58">'326'!$D$87:$D$89</definedName>
    <definedName name="OSRRefD21_13x_0" localSheetId="56">'331'!$D$120:$D$121</definedName>
    <definedName name="OSRRefD21_13x_0" localSheetId="73">'405'!$D$69:$D$76</definedName>
    <definedName name="OSRRefD21_13x_0" localSheetId="75">'411'!$D$72</definedName>
    <definedName name="OSRRefD21_13x_0" localSheetId="76">'412'!$D$73</definedName>
    <definedName name="OSRRefD21_13x_0" localSheetId="78">'414'!$D$69</definedName>
    <definedName name="OSRRefD21_13x_0" localSheetId="79">'415'!$D$74</definedName>
    <definedName name="OSRRefD21_13x_0" localSheetId="80">'418'!$D$77</definedName>
    <definedName name="OSRRefD21_13x_0" localSheetId="88">'433'!$D$75:$D$82</definedName>
    <definedName name="OSRRefD21_13x_0" localSheetId="90">'444'!$D$74:$D$81</definedName>
    <definedName name="OSRRefD21_13x_0" localSheetId="91">'450'!$D$66:$D$68</definedName>
    <definedName name="OSRRefD21_13x_0" localSheetId="72">'491'!$D$73</definedName>
    <definedName name="OSRRefD21_13x_0" localSheetId="86">'492'!$D$72:$D$75</definedName>
    <definedName name="OSRRefD21_13x_0" localSheetId="93">'501'!$D$69</definedName>
    <definedName name="OSRRefD21_13x_0" localSheetId="39">'Div 2'!$D$69:$D$72</definedName>
    <definedName name="OSRRefD21_13x_0" localSheetId="47">'Div 3'!$D$164</definedName>
    <definedName name="OSRRefD21_13x_0" localSheetId="70">'Div 4'!$D$76</definedName>
    <definedName name="OSRRefD21_13x_0" localSheetId="92">'Div 5'!$D$69</definedName>
    <definedName name="OSRRefD21_13x_0" localSheetId="2">Summary!$D$192</definedName>
    <definedName name="OSRRefD21_13x_1" localSheetId="41">'201'!$E$65:$E$67</definedName>
    <definedName name="OSRRefD21_13x_1" localSheetId="43">'203'!$E$67</definedName>
    <definedName name="OSRRefD21_13x_1" localSheetId="48">'300'!$E$160</definedName>
    <definedName name="OSRRefD21_13x_1" localSheetId="49">'300 &amp; 317'!$E$182</definedName>
    <definedName name="OSRRefD21_13x_1" localSheetId="50">'301'!$E$64:$E$67</definedName>
    <definedName name="OSRRefD21_13x_1" localSheetId="53">'308'!$E$104</definedName>
    <definedName name="OSRRefD21_13x_1" localSheetId="63">'310'!$E$70:$E$71</definedName>
    <definedName name="OSRRefD21_13x_1" localSheetId="71">'310 &amp; 491'!$E$77</definedName>
    <definedName name="OSRRefD21_13x_1" localSheetId="54">'311'!$E$103</definedName>
    <definedName name="OSRRefD21_13x_1" localSheetId="57">'315'!$E$122:$E$123</definedName>
    <definedName name="OSRRefD21_13x_1" localSheetId="68">'325'!$E$68:$E$69</definedName>
    <definedName name="OSRRefD21_13x_1" localSheetId="58">'326'!$E$87:$E$89</definedName>
    <definedName name="OSRRefD21_13x_1" localSheetId="56">'331'!$E$120:$E$121</definedName>
    <definedName name="OSRRefD21_13x_1" localSheetId="73">'405'!$E$69:$E$76</definedName>
    <definedName name="OSRRefD21_13x_1" localSheetId="75">'411'!$E$72</definedName>
    <definedName name="OSRRefD21_13x_1" localSheetId="76">'412'!$E$73</definedName>
    <definedName name="OSRRefD21_13x_1" localSheetId="78">'414'!$E$69</definedName>
    <definedName name="OSRRefD21_13x_1" localSheetId="79">'415'!$E$74</definedName>
    <definedName name="OSRRefD21_13x_1" localSheetId="80">'418'!$E$77</definedName>
    <definedName name="OSRRefD21_13x_1" localSheetId="88">'433'!$E$75:$E$82</definedName>
    <definedName name="OSRRefD21_13x_1" localSheetId="90">'444'!$E$74:$E$81</definedName>
    <definedName name="OSRRefD21_13x_1" localSheetId="91">'450'!$E$66:$E$68</definedName>
    <definedName name="OSRRefD21_13x_1" localSheetId="72">'491'!$E$73</definedName>
    <definedName name="OSRRefD21_13x_1" localSheetId="86">'492'!$E$72:$E$75</definedName>
    <definedName name="OSRRefD21_13x_1" localSheetId="93">'501'!$E$69</definedName>
    <definedName name="OSRRefD21_13x_1" localSheetId="39">'Div 2'!$E$69:$E$72</definedName>
    <definedName name="OSRRefD21_13x_1" localSheetId="47">'Div 3'!$E$164</definedName>
    <definedName name="OSRRefD21_13x_1" localSheetId="70">'Div 4'!$E$76</definedName>
    <definedName name="OSRRefD21_13x_1" localSheetId="92">'Div 5'!$E$69</definedName>
    <definedName name="OSRRefD21_13x_1" localSheetId="2">Summary!$E$192</definedName>
    <definedName name="OSRRefD21_13x_2" localSheetId="41">'201'!$F$65:$F$67</definedName>
    <definedName name="OSRRefD21_13x_2" localSheetId="43">'203'!$F$67</definedName>
    <definedName name="OSRRefD21_13x_2" localSheetId="48">'300'!$F$160</definedName>
    <definedName name="OSRRefD21_13x_2" localSheetId="49">'300 &amp; 317'!$F$182</definedName>
    <definedName name="OSRRefD21_13x_2" localSheetId="50">'301'!$F$64:$F$67</definedName>
    <definedName name="OSRRefD21_13x_2" localSheetId="53">'308'!$F$104</definedName>
    <definedName name="OSRRefD21_13x_2" localSheetId="63">'310'!$F$70:$F$71</definedName>
    <definedName name="OSRRefD21_13x_2" localSheetId="71">'310 &amp; 491'!$F$77</definedName>
    <definedName name="OSRRefD21_13x_2" localSheetId="54">'311'!$F$103</definedName>
    <definedName name="OSRRefD21_13x_2" localSheetId="57">'315'!$F$122:$F$123</definedName>
    <definedName name="OSRRefD21_13x_2" localSheetId="68">'325'!$F$68:$F$69</definedName>
    <definedName name="OSRRefD21_13x_2" localSheetId="58">'326'!$F$87:$F$89</definedName>
    <definedName name="OSRRefD21_13x_2" localSheetId="56">'331'!$F$120:$F$121</definedName>
    <definedName name="OSRRefD21_13x_2" localSheetId="73">'405'!$F$69:$F$76</definedName>
    <definedName name="OSRRefD21_13x_2" localSheetId="75">'411'!$F$72</definedName>
    <definedName name="OSRRefD21_13x_2" localSheetId="76">'412'!$F$73</definedName>
    <definedName name="OSRRefD21_13x_2" localSheetId="78">'414'!$F$69</definedName>
    <definedName name="OSRRefD21_13x_2" localSheetId="79">'415'!$F$74</definedName>
    <definedName name="OSRRefD21_13x_2" localSheetId="80">'418'!$F$77</definedName>
    <definedName name="OSRRefD21_13x_2" localSheetId="88">'433'!$F$75:$F$82</definedName>
    <definedName name="OSRRefD21_13x_2" localSheetId="90">'444'!$F$74:$F$81</definedName>
    <definedName name="OSRRefD21_13x_2" localSheetId="91">'450'!$F$66:$F$68</definedName>
    <definedName name="OSRRefD21_13x_2" localSheetId="72">'491'!$F$73</definedName>
    <definedName name="OSRRefD21_13x_2" localSheetId="86">'492'!$F$72:$F$75</definedName>
    <definedName name="OSRRefD21_13x_2" localSheetId="93">'501'!$F$69</definedName>
    <definedName name="OSRRefD21_13x_2" localSheetId="39">'Div 2'!$F$69:$F$72</definedName>
    <definedName name="OSRRefD21_13x_2" localSheetId="47">'Div 3'!$F$164</definedName>
    <definedName name="OSRRefD21_13x_2" localSheetId="70">'Div 4'!$F$76</definedName>
    <definedName name="OSRRefD21_13x_2" localSheetId="92">'Div 5'!$F$69</definedName>
    <definedName name="OSRRefD21_13x_2" localSheetId="2">Summary!$F$192</definedName>
    <definedName name="OSRRefD21_13x_3" localSheetId="41">'201'!$G$65:$G$67</definedName>
    <definedName name="OSRRefD21_13x_3" localSheetId="43">'203'!$G$67</definedName>
    <definedName name="OSRRefD21_13x_3" localSheetId="48">'300'!$G$160</definedName>
    <definedName name="OSRRefD21_13x_3" localSheetId="49">'300 &amp; 317'!$G$182</definedName>
    <definedName name="OSRRefD21_13x_3" localSheetId="50">'301'!$G$64:$G$67</definedName>
    <definedName name="OSRRefD21_13x_3" localSheetId="53">'308'!$G$104</definedName>
    <definedName name="OSRRefD21_13x_3" localSheetId="63">'310'!$G$70:$G$71</definedName>
    <definedName name="OSRRefD21_13x_3" localSheetId="71">'310 &amp; 491'!$G$77</definedName>
    <definedName name="OSRRefD21_13x_3" localSheetId="54">'311'!$G$103</definedName>
    <definedName name="OSRRefD21_13x_3" localSheetId="57">'315'!$G$122:$G$123</definedName>
    <definedName name="OSRRefD21_13x_3" localSheetId="68">'325'!$G$68:$G$69</definedName>
    <definedName name="OSRRefD21_13x_3" localSheetId="58">'326'!$G$87:$G$89</definedName>
    <definedName name="OSRRefD21_13x_3" localSheetId="56">'331'!$G$120:$G$121</definedName>
    <definedName name="OSRRefD21_13x_3" localSheetId="73">'405'!$G$69:$G$76</definedName>
    <definedName name="OSRRefD21_13x_3" localSheetId="75">'411'!$G$72</definedName>
    <definedName name="OSRRefD21_13x_3" localSheetId="76">'412'!$G$73</definedName>
    <definedName name="OSRRefD21_13x_3" localSheetId="78">'414'!$G$69</definedName>
    <definedName name="OSRRefD21_13x_3" localSheetId="79">'415'!$G$74</definedName>
    <definedName name="OSRRefD21_13x_3" localSheetId="80">'418'!$G$77</definedName>
    <definedName name="OSRRefD21_13x_3" localSheetId="88">'433'!$G$75:$G$82</definedName>
    <definedName name="OSRRefD21_13x_3" localSheetId="90">'444'!$G$74:$G$81</definedName>
    <definedName name="OSRRefD21_13x_3" localSheetId="91">'450'!$G$66:$G$68</definedName>
    <definedName name="OSRRefD21_13x_3" localSheetId="72">'491'!$G$73</definedName>
    <definedName name="OSRRefD21_13x_3" localSheetId="86">'492'!$G$72:$G$75</definedName>
    <definedName name="OSRRefD21_13x_3" localSheetId="93">'501'!$G$69</definedName>
    <definedName name="OSRRefD21_13x_3" localSheetId="39">'Div 2'!$G$69:$G$72</definedName>
    <definedName name="OSRRefD21_13x_3" localSheetId="47">'Div 3'!$G$164</definedName>
    <definedName name="OSRRefD21_13x_3" localSheetId="70">'Div 4'!$G$76</definedName>
    <definedName name="OSRRefD21_13x_3" localSheetId="92">'Div 5'!$G$69</definedName>
    <definedName name="OSRRefD21_13x_3" localSheetId="2">Summary!$G$192</definedName>
    <definedName name="OSRRefD21_14_0x" localSheetId="41">'201'!$D$69:$G$69</definedName>
    <definedName name="OSRRefD21_14_0x" localSheetId="48">'300'!$D$162:$G$162</definedName>
    <definedName name="OSRRefD21_14_0x" localSheetId="49">'300 &amp; 317'!$D$184:$G$184</definedName>
    <definedName name="OSRRefD21_14_0x" localSheetId="50">'301'!$D$69:$G$69</definedName>
    <definedName name="OSRRefD21_14_0x" localSheetId="53">'308'!$D$106:$G$106</definedName>
    <definedName name="OSRRefD21_14_0x" localSheetId="63">'310'!$D$73:$G$73</definedName>
    <definedName name="OSRRefD21_14_0x" localSheetId="71">'310 &amp; 491'!$D$79:$G$79</definedName>
    <definedName name="OSRRefD21_14_0x" localSheetId="54">'311'!$D$105:$G$105</definedName>
    <definedName name="OSRRefD21_14_0x" localSheetId="57">'315'!$D$125:$G$125</definedName>
    <definedName name="OSRRefD21_14_0x" localSheetId="68">'325'!$D$71:$G$71</definedName>
    <definedName name="OSRRefD21_14_0x" localSheetId="58">'326'!$D$91:$G$91</definedName>
    <definedName name="OSRRefD21_14_0x" localSheetId="56">'331'!$D$123:$G$123</definedName>
    <definedName name="OSRRefD21_14_0x" localSheetId="73">'405'!$D$78:$G$78</definedName>
    <definedName name="OSRRefD21_14_0x" localSheetId="75">'411'!$D$74:$G$74</definedName>
    <definedName name="OSRRefD21_14_0x" localSheetId="78">'414'!$D$71:$G$71</definedName>
    <definedName name="OSRRefD21_14_0x" localSheetId="79">'415'!$D$76:$G$76</definedName>
    <definedName name="OSRRefD21_14_0x" localSheetId="88">'433'!$D$84:$G$84</definedName>
    <definedName name="OSRRefD21_14_0x" localSheetId="90">'444'!$D$83:$G$83</definedName>
    <definedName name="OSRRefD21_14_0x" localSheetId="91">'450'!$D$70:$G$70</definedName>
    <definedName name="OSRRefD21_14_0x" localSheetId="72">'491'!$D$75:$G$75</definedName>
    <definedName name="OSRRefD21_14_0x" localSheetId="86">'492'!$D$77:$G$77</definedName>
    <definedName name="OSRRefD21_14_0x" localSheetId="39">'Div 2'!$D$74:$G$74</definedName>
    <definedName name="OSRRefD21_14_0x" localSheetId="47">'Div 3'!$D$166:$G$166</definedName>
    <definedName name="OSRRefD21_14_0x" localSheetId="70">'Div 4'!$D$78:$G$78</definedName>
    <definedName name="OSRRefD21_14_0x" localSheetId="2">Summary!$D$194:$G$194</definedName>
    <definedName name="OSRRefD21_14_1x" localSheetId="50">'301'!$D$70:$G$70</definedName>
    <definedName name="OSRRefD21_14_1x" localSheetId="71">'310 &amp; 491'!$D$80:$G$80</definedName>
    <definedName name="OSRRefD21_14_1x" localSheetId="57">'315'!$D$126:$G$126</definedName>
    <definedName name="OSRRefD21_14_1x" localSheetId="58">'326'!$D$92:$G$92</definedName>
    <definedName name="OSRRefD21_14_1x" localSheetId="56">'331'!$D$124:$G$124</definedName>
    <definedName name="OSRRefD21_14_1x" localSheetId="79">'415'!$D$77:$G$77</definedName>
    <definedName name="OSRRefD21_14_1x" localSheetId="90">'444'!$D$84:$G$84</definedName>
    <definedName name="OSRRefD21_14_1x" localSheetId="91">'450'!$D$71:$G$71</definedName>
    <definedName name="OSRRefD21_14_1x" localSheetId="72">'491'!$D$76:$G$76</definedName>
    <definedName name="OSRRefD21_14_1x" localSheetId="86">'492'!$D$78:$G$78</definedName>
    <definedName name="OSRRefD21_14_1x" localSheetId="39">'Div 2'!$D$75:$G$75</definedName>
    <definedName name="OSRRefD21_14_2x" localSheetId="50">'301'!$D$71:$G$71</definedName>
    <definedName name="OSRRefD21_14_2x" localSheetId="71">'310 &amp; 491'!$D$81:$G$81</definedName>
    <definedName name="OSRRefD21_14_2x" localSheetId="57">'315'!$D$127:$G$127</definedName>
    <definedName name="OSRRefD21_14_2x" localSheetId="56">'331'!$D$125:$G$125</definedName>
    <definedName name="OSRRefD21_14_2x" localSheetId="79">'415'!$D$78:$G$78</definedName>
    <definedName name="OSRRefD21_14_2x" localSheetId="91">'450'!$D$72:$G$72</definedName>
    <definedName name="OSRRefD21_14_2x" localSheetId="72">'491'!$D$77:$G$77</definedName>
    <definedName name="OSRRefD21_14_2x" localSheetId="86">'492'!$D$79:$G$79</definedName>
    <definedName name="OSRRefD21_14_3x" localSheetId="57">'315'!$D$128:$G$128</definedName>
    <definedName name="OSRRefD21_14_3x" localSheetId="79">'415'!$D$79:$G$79</definedName>
    <definedName name="OSRRefD21_14_3x" localSheetId="91">'450'!$D$73:$G$73</definedName>
    <definedName name="OSRRefD21_14_3x" localSheetId="86">'492'!$D$80:$G$80</definedName>
    <definedName name="OSRRefD21_14_4x" localSheetId="57">'315'!$D$129:$G$129</definedName>
    <definedName name="OSRRefD21_14_4x" localSheetId="79">'415'!$D$80:$G$80</definedName>
    <definedName name="OSRRefD21_14_4x" localSheetId="91">'450'!$D$74:$G$74</definedName>
    <definedName name="OSRRefD21_14_4x" localSheetId="86">'492'!$D$81:$G$81</definedName>
    <definedName name="OSRRefD21_14_5x" localSheetId="57">'315'!$D$130:$G$130</definedName>
    <definedName name="OSRRefD21_14_5x" localSheetId="79">'415'!$D$81:$G$81</definedName>
    <definedName name="OSRRefD21_14_5x" localSheetId="91">'450'!$D$75:$G$75</definedName>
    <definedName name="OSRRefD21_14_5x" localSheetId="86">'492'!$D$82:$G$82</definedName>
    <definedName name="OSRRefD21_14_6x" localSheetId="57">'315'!$D$131:$G$131</definedName>
    <definedName name="OSRRefD21_14_6x" localSheetId="86">'492'!$D$83:$G$83</definedName>
    <definedName name="OSRRefD21_14_7x" localSheetId="86">'492'!$D$84:$G$84</definedName>
    <definedName name="OSRRefD21_14_8x" localSheetId="86">'492'!$D$85:$G$85</definedName>
    <definedName name="OSRRefD21_14_9x" localSheetId="86">'492'!$D$86:$G$86</definedName>
    <definedName name="OSRRefD21_14x_0" localSheetId="41">'201'!$D$69</definedName>
    <definedName name="OSRRefD21_14x_0" localSheetId="48">'300'!$D$162</definedName>
    <definedName name="OSRRefD21_14x_0" localSheetId="49">'300 &amp; 317'!$D$184</definedName>
    <definedName name="OSRRefD21_14x_0" localSheetId="50">'301'!$D$69:$D$71</definedName>
    <definedName name="OSRRefD21_14x_0" localSheetId="53">'308'!$D$106</definedName>
    <definedName name="OSRRefD21_14x_0" localSheetId="63">'310'!$D$73</definedName>
    <definedName name="OSRRefD21_14x_0" localSheetId="71">'310 &amp; 491'!$D$79:$D$81</definedName>
    <definedName name="OSRRefD21_14x_0" localSheetId="54">'311'!$D$105</definedName>
    <definedName name="OSRRefD21_14x_0" localSheetId="57">'315'!$D$125:$D$131</definedName>
    <definedName name="OSRRefD21_14x_0" localSheetId="68">'325'!$D$71</definedName>
    <definedName name="OSRRefD21_14x_0" localSheetId="58">'326'!$D$91:$D$92</definedName>
    <definedName name="OSRRefD21_14x_0" localSheetId="56">'331'!$D$123:$D$125</definedName>
    <definedName name="OSRRefD21_14x_0" localSheetId="73">'405'!$D$78</definedName>
    <definedName name="OSRRefD21_14x_0" localSheetId="75">'411'!$D$74</definedName>
    <definedName name="OSRRefD21_14x_0" localSheetId="78">'414'!$D$71</definedName>
    <definedName name="OSRRefD21_14x_0" localSheetId="79">'415'!$D$76:$D$81</definedName>
    <definedName name="OSRRefD21_14x_0" localSheetId="88">'433'!$D$84</definedName>
    <definedName name="OSRRefD21_14x_0" localSheetId="90">'444'!$D$83:$D$84</definedName>
    <definedName name="OSRRefD21_14x_0" localSheetId="91">'450'!$D$70:$D$75</definedName>
    <definedName name="OSRRefD21_14x_0" localSheetId="72">'491'!$D$75:$D$77</definedName>
    <definedName name="OSRRefD21_14x_0" localSheetId="86">'492'!$D$77:$D$86</definedName>
    <definedName name="OSRRefD21_14x_0" localSheetId="39">'Div 2'!$D$74:$D$75</definedName>
    <definedName name="OSRRefD21_14x_0" localSheetId="47">'Div 3'!$D$166</definedName>
    <definedName name="OSRRefD21_14x_0" localSheetId="70">'Div 4'!$D$78</definedName>
    <definedName name="OSRRefD21_14x_0" localSheetId="2">Summary!$D$194</definedName>
    <definedName name="OSRRefD21_14x_1" localSheetId="41">'201'!$E$69</definedName>
    <definedName name="OSRRefD21_14x_1" localSheetId="48">'300'!$E$162</definedName>
    <definedName name="OSRRefD21_14x_1" localSheetId="49">'300 &amp; 317'!$E$184</definedName>
    <definedName name="OSRRefD21_14x_1" localSheetId="50">'301'!$E$69:$E$71</definedName>
    <definedName name="OSRRefD21_14x_1" localSheetId="53">'308'!$E$106</definedName>
    <definedName name="OSRRefD21_14x_1" localSheetId="63">'310'!$E$73</definedName>
    <definedName name="OSRRefD21_14x_1" localSheetId="71">'310 &amp; 491'!$E$79:$E$81</definedName>
    <definedName name="OSRRefD21_14x_1" localSheetId="54">'311'!$E$105</definedName>
    <definedName name="OSRRefD21_14x_1" localSheetId="57">'315'!$E$125:$E$131</definedName>
    <definedName name="OSRRefD21_14x_1" localSheetId="68">'325'!$E$71</definedName>
    <definedName name="OSRRefD21_14x_1" localSheetId="58">'326'!$E$91:$E$92</definedName>
    <definedName name="OSRRefD21_14x_1" localSheetId="56">'331'!$E$123:$E$125</definedName>
    <definedName name="OSRRefD21_14x_1" localSheetId="73">'405'!$E$78</definedName>
    <definedName name="OSRRefD21_14x_1" localSheetId="75">'411'!$E$74</definedName>
    <definedName name="OSRRefD21_14x_1" localSheetId="78">'414'!$E$71</definedName>
    <definedName name="OSRRefD21_14x_1" localSheetId="79">'415'!$E$76:$E$81</definedName>
    <definedName name="OSRRefD21_14x_1" localSheetId="88">'433'!$E$84</definedName>
    <definedName name="OSRRefD21_14x_1" localSheetId="90">'444'!$E$83:$E$84</definedName>
    <definedName name="OSRRefD21_14x_1" localSheetId="91">'450'!$E$70:$E$75</definedName>
    <definedName name="OSRRefD21_14x_1" localSheetId="72">'491'!$E$75:$E$77</definedName>
    <definedName name="OSRRefD21_14x_1" localSheetId="86">'492'!$E$77:$E$86</definedName>
    <definedName name="OSRRefD21_14x_1" localSheetId="39">'Div 2'!$E$74:$E$75</definedName>
    <definedName name="OSRRefD21_14x_1" localSheetId="47">'Div 3'!$E$166</definedName>
    <definedName name="OSRRefD21_14x_1" localSheetId="70">'Div 4'!$E$78</definedName>
    <definedName name="OSRRefD21_14x_1" localSheetId="2">Summary!$E$194</definedName>
    <definedName name="OSRRefD21_14x_2" localSheetId="41">'201'!$F$69</definedName>
    <definedName name="OSRRefD21_14x_2" localSheetId="48">'300'!$F$162</definedName>
    <definedName name="OSRRefD21_14x_2" localSheetId="49">'300 &amp; 317'!$F$184</definedName>
    <definedName name="OSRRefD21_14x_2" localSheetId="50">'301'!$F$69:$F$71</definedName>
    <definedName name="OSRRefD21_14x_2" localSheetId="53">'308'!$F$106</definedName>
    <definedName name="OSRRefD21_14x_2" localSheetId="63">'310'!$F$73</definedName>
    <definedName name="OSRRefD21_14x_2" localSheetId="71">'310 &amp; 491'!$F$79:$F$81</definedName>
    <definedName name="OSRRefD21_14x_2" localSheetId="54">'311'!$F$105</definedName>
    <definedName name="OSRRefD21_14x_2" localSheetId="57">'315'!$F$125:$F$131</definedName>
    <definedName name="OSRRefD21_14x_2" localSheetId="68">'325'!$F$71</definedName>
    <definedName name="OSRRefD21_14x_2" localSheetId="58">'326'!$F$91:$F$92</definedName>
    <definedName name="OSRRefD21_14x_2" localSheetId="56">'331'!$F$123:$F$125</definedName>
    <definedName name="OSRRefD21_14x_2" localSheetId="73">'405'!$F$78</definedName>
    <definedName name="OSRRefD21_14x_2" localSheetId="75">'411'!$F$74</definedName>
    <definedName name="OSRRefD21_14x_2" localSheetId="78">'414'!$F$71</definedName>
    <definedName name="OSRRefD21_14x_2" localSheetId="79">'415'!$F$76:$F$81</definedName>
    <definedName name="OSRRefD21_14x_2" localSheetId="88">'433'!$F$84</definedName>
    <definedName name="OSRRefD21_14x_2" localSheetId="90">'444'!$F$83:$F$84</definedName>
    <definedName name="OSRRefD21_14x_2" localSheetId="91">'450'!$F$70:$F$75</definedName>
    <definedName name="OSRRefD21_14x_2" localSheetId="72">'491'!$F$75:$F$77</definedName>
    <definedName name="OSRRefD21_14x_2" localSheetId="86">'492'!$F$77:$F$86</definedName>
    <definedName name="OSRRefD21_14x_2" localSheetId="39">'Div 2'!$F$74:$F$75</definedName>
    <definedName name="OSRRefD21_14x_2" localSheetId="47">'Div 3'!$F$166</definedName>
    <definedName name="OSRRefD21_14x_2" localSheetId="70">'Div 4'!$F$78</definedName>
    <definedName name="OSRRefD21_14x_2" localSheetId="2">Summary!$F$194</definedName>
    <definedName name="OSRRefD21_14x_3" localSheetId="41">'201'!$G$69</definedName>
    <definedName name="OSRRefD21_14x_3" localSheetId="48">'300'!$G$162</definedName>
    <definedName name="OSRRefD21_14x_3" localSheetId="49">'300 &amp; 317'!$G$184</definedName>
    <definedName name="OSRRefD21_14x_3" localSheetId="50">'301'!$G$69:$G$71</definedName>
    <definedName name="OSRRefD21_14x_3" localSheetId="53">'308'!$G$106</definedName>
    <definedName name="OSRRefD21_14x_3" localSheetId="63">'310'!$G$73</definedName>
    <definedName name="OSRRefD21_14x_3" localSheetId="71">'310 &amp; 491'!$G$79:$G$81</definedName>
    <definedName name="OSRRefD21_14x_3" localSheetId="54">'311'!$G$105</definedName>
    <definedName name="OSRRefD21_14x_3" localSheetId="57">'315'!$G$125:$G$131</definedName>
    <definedName name="OSRRefD21_14x_3" localSheetId="68">'325'!$G$71</definedName>
    <definedName name="OSRRefD21_14x_3" localSheetId="58">'326'!$G$91:$G$92</definedName>
    <definedName name="OSRRefD21_14x_3" localSheetId="56">'331'!$G$123:$G$125</definedName>
    <definedName name="OSRRefD21_14x_3" localSheetId="73">'405'!$G$78</definedName>
    <definedName name="OSRRefD21_14x_3" localSheetId="75">'411'!$G$74</definedName>
    <definedName name="OSRRefD21_14x_3" localSheetId="78">'414'!$G$71</definedName>
    <definedName name="OSRRefD21_14x_3" localSheetId="79">'415'!$G$76:$G$81</definedName>
    <definedName name="OSRRefD21_14x_3" localSheetId="88">'433'!$G$84</definedName>
    <definedName name="OSRRefD21_14x_3" localSheetId="90">'444'!$G$83:$G$84</definedName>
    <definedName name="OSRRefD21_14x_3" localSheetId="91">'450'!$G$70:$G$75</definedName>
    <definedName name="OSRRefD21_14x_3" localSheetId="72">'491'!$G$75:$G$77</definedName>
    <definedName name="OSRRefD21_14x_3" localSheetId="86">'492'!$G$77:$G$86</definedName>
    <definedName name="OSRRefD21_14x_3" localSheetId="39">'Div 2'!$G$74:$G$75</definedName>
    <definedName name="OSRRefD21_14x_3" localSheetId="47">'Div 3'!$G$166</definedName>
    <definedName name="OSRRefD21_14x_3" localSheetId="70">'Div 4'!$G$78</definedName>
    <definedName name="OSRRefD21_14x_3" localSheetId="2">Summary!$G$194</definedName>
    <definedName name="OSRRefD21_15_0x" localSheetId="41">'201'!$D$71:$G$71</definedName>
    <definedName name="OSRRefD21_15_0x" localSheetId="48">'300'!$D$164:$G$164</definedName>
    <definedName name="OSRRefD21_15_0x" localSheetId="49">'300 &amp; 317'!$D$186:$G$186</definedName>
    <definedName name="OSRRefD21_15_0x" localSheetId="50">'301'!$D$73:$G$73</definedName>
    <definedName name="OSRRefD21_15_0x" localSheetId="63">'310'!$D$75:$G$75</definedName>
    <definedName name="OSRRefD21_15_0x" localSheetId="71">'310 &amp; 491'!$D$83:$G$83</definedName>
    <definedName name="OSRRefD21_15_0x" localSheetId="57">'315'!$D$133:$G$133</definedName>
    <definedName name="OSRRefD21_15_0x" localSheetId="58">'326'!$D$94:$G$94</definedName>
    <definedName name="OSRRefD21_15_0x" localSheetId="56">'331'!$D$127:$G$127</definedName>
    <definedName name="OSRRefD21_15_0x" localSheetId="73">'405'!$D$80:$G$80</definedName>
    <definedName name="OSRRefD21_15_0x" localSheetId="75">'411'!$D$76:$G$76</definedName>
    <definedName name="OSRRefD21_15_0x" localSheetId="79">'415'!$D$83:$G$83</definedName>
    <definedName name="OSRRefD21_15_0x" localSheetId="88">'433'!$D$86:$G$86</definedName>
    <definedName name="OSRRefD21_15_0x" localSheetId="90">'444'!$D$86:$G$86</definedName>
    <definedName name="OSRRefD21_15_0x" localSheetId="91">'450'!$D$77:$G$77</definedName>
    <definedName name="OSRRefD21_15_0x" localSheetId="72">'491'!$D$79:$G$79</definedName>
    <definedName name="OSRRefD21_15_0x" localSheetId="86">'492'!$D$88:$G$88</definedName>
    <definedName name="OSRRefD21_15_0x" localSheetId="39">'Div 2'!$D$77:$G$77</definedName>
    <definedName name="OSRRefD21_15_0x" localSheetId="47">'Div 3'!$D$168:$G$168</definedName>
    <definedName name="OSRRefD21_15_0x" localSheetId="70">'Div 4'!$D$80:$G$80</definedName>
    <definedName name="OSRRefD21_15_0x" localSheetId="2">Summary!$D$196:$G$196</definedName>
    <definedName name="OSRRefD21_15_1x" localSheetId="63">'310'!$D$76:$G$76</definedName>
    <definedName name="OSRRefD21_15_1x" localSheetId="71">'310 &amp; 491'!$D$84:$G$84</definedName>
    <definedName name="OSRRefD21_15_1x" localSheetId="58">'326'!$D$95:$G$95</definedName>
    <definedName name="OSRRefD21_15_1x" localSheetId="56">'331'!$D$128:$G$128</definedName>
    <definedName name="OSRRefD21_15_1x" localSheetId="79">'415'!$D$84:$G$84</definedName>
    <definedName name="OSRRefD21_15_1x" localSheetId="91">'450'!$D$78:$G$78</definedName>
    <definedName name="OSRRefD21_15_1x" localSheetId="72">'491'!$D$80:$G$80</definedName>
    <definedName name="OSRRefD21_15_1x" localSheetId="86">'492'!$D$89:$G$89</definedName>
    <definedName name="OSRRefD21_15_1x" localSheetId="39">'Div 2'!$D$78:$G$78</definedName>
    <definedName name="OSRRefD21_15_1x" localSheetId="70">'Div 4'!$D$81:$G$81</definedName>
    <definedName name="OSRRefD21_15_2x" localSheetId="58">'326'!$D$96:$G$96</definedName>
    <definedName name="OSRRefD21_15_2x" localSheetId="56">'331'!$D$129:$G$129</definedName>
    <definedName name="OSRRefD21_15_2x" localSheetId="70">'Div 4'!$D$82:$G$82</definedName>
    <definedName name="OSRRefD21_15_3x" localSheetId="58">'326'!$D$97:$G$97</definedName>
    <definedName name="OSRRefD21_15_3x" localSheetId="70">'Div 4'!$D$83:$G$83</definedName>
    <definedName name="OSRRefD21_15_4x" localSheetId="58">'326'!$D$98:$G$98</definedName>
    <definedName name="OSRRefD21_15_5x" localSheetId="58">'326'!$D$99:$G$99</definedName>
    <definedName name="OSRRefD21_15x_0" localSheetId="41">'201'!$D$71</definedName>
    <definedName name="OSRRefD21_15x_0" localSheetId="48">'300'!$D$164</definedName>
    <definedName name="OSRRefD21_15x_0" localSheetId="49">'300 &amp; 317'!$D$186</definedName>
    <definedName name="OSRRefD21_15x_0" localSheetId="50">'301'!$D$73</definedName>
    <definedName name="OSRRefD21_15x_0" localSheetId="63">'310'!$D$75:$D$76</definedName>
    <definedName name="OSRRefD21_15x_0" localSheetId="71">'310 &amp; 491'!$D$83:$D$84</definedName>
    <definedName name="OSRRefD21_15x_0" localSheetId="57">'315'!$D$133</definedName>
    <definedName name="OSRRefD21_15x_0" localSheetId="58">'326'!$D$94:$D$99</definedName>
    <definedName name="OSRRefD21_15x_0" localSheetId="56">'331'!$D$127:$D$129</definedName>
    <definedName name="OSRRefD21_15x_0" localSheetId="73">'405'!$D$80</definedName>
    <definedName name="OSRRefD21_15x_0" localSheetId="75">'411'!$D$76</definedName>
    <definedName name="OSRRefD21_15x_0" localSheetId="79">'415'!$D$83:$D$84</definedName>
    <definedName name="OSRRefD21_15x_0" localSheetId="88">'433'!$D$86</definedName>
    <definedName name="OSRRefD21_15x_0" localSheetId="90">'444'!$D$86</definedName>
    <definedName name="OSRRefD21_15x_0" localSheetId="91">'450'!$D$77:$D$78</definedName>
    <definedName name="OSRRefD21_15x_0" localSheetId="72">'491'!$D$79:$D$80</definedName>
    <definedName name="OSRRefD21_15x_0" localSheetId="86">'492'!$D$88:$D$89</definedName>
    <definedName name="OSRRefD21_15x_0" localSheetId="39">'Div 2'!$D$77:$D$78</definedName>
    <definedName name="OSRRefD21_15x_0" localSheetId="47">'Div 3'!$D$168</definedName>
    <definedName name="OSRRefD21_15x_0" localSheetId="70">'Div 4'!$D$80:$D$83</definedName>
    <definedName name="OSRRefD21_15x_0" localSheetId="2">Summary!$D$196</definedName>
    <definedName name="OSRRefD21_15x_1" localSheetId="41">'201'!$E$71</definedName>
    <definedName name="OSRRefD21_15x_1" localSheetId="48">'300'!$E$164</definedName>
    <definedName name="OSRRefD21_15x_1" localSheetId="49">'300 &amp; 317'!$E$186</definedName>
    <definedName name="OSRRefD21_15x_1" localSheetId="50">'301'!$E$73</definedName>
    <definedName name="OSRRefD21_15x_1" localSheetId="63">'310'!$E$75:$E$76</definedName>
    <definedName name="OSRRefD21_15x_1" localSheetId="71">'310 &amp; 491'!$E$83:$E$84</definedName>
    <definedName name="OSRRefD21_15x_1" localSheetId="57">'315'!$E$133</definedName>
    <definedName name="OSRRefD21_15x_1" localSheetId="58">'326'!$E$94:$E$99</definedName>
    <definedName name="OSRRefD21_15x_1" localSheetId="56">'331'!$E$127:$E$129</definedName>
    <definedName name="OSRRefD21_15x_1" localSheetId="73">'405'!$E$80</definedName>
    <definedName name="OSRRefD21_15x_1" localSheetId="75">'411'!$E$76</definedName>
    <definedName name="OSRRefD21_15x_1" localSheetId="79">'415'!$E$83:$E$84</definedName>
    <definedName name="OSRRefD21_15x_1" localSheetId="88">'433'!$E$86</definedName>
    <definedName name="OSRRefD21_15x_1" localSheetId="90">'444'!$E$86</definedName>
    <definedName name="OSRRefD21_15x_1" localSheetId="91">'450'!$E$77:$E$78</definedName>
    <definedName name="OSRRefD21_15x_1" localSheetId="72">'491'!$E$79:$E$80</definedName>
    <definedName name="OSRRefD21_15x_1" localSheetId="86">'492'!$E$88:$E$89</definedName>
    <definedName name="OSRRefD21_15x_1" localSheetId="39">'Div 2'!$E$77:$E$78</definedName>
    <definedName name="OSRRefD21_15x_1" localSheetId="47">'Div 3'!$E$168</definedName>
    <definedName name="OSRRefD21_15x_1" localSheetId="70">'Div 4'!$E$80:$E$83</definedName>
    <definedName name="OSRRefD21_15x_1" localSheetId="2">Summary!$E$196</definedName>
    <definedName name="OSRRefD21_15x_2" localSheetId="41">'201'!$F$71</definedName>
    <definedName name="OSRRefD21_15x_2" localSheetId="48">'300'!$F$164</definedName>
    <definedName name="OSRRefD21_15x_2" localSheetId="49">'300 &amp; 317'!$F$186</definedName>
    <definedName name="OSRRefD21_15x_2" localSheetId="50">'301'!$F$73</definedName>
    <definedName name="OSRRefD21_15x_2" localSheetId="63">'310'!$F$75:$F$76</definedName>
    <definedName name="OSRRefD21_15x_2" localSheetId="71">'310 &amp; 491'!$F$83:$F$84</definedName>
    <definedName name="OSRRefD21_15x_2" localSheetId="57">'315'!$F$133</definedName>
    <definedName name="OSRRefD21_15x_2" localSheetId="58">'326'!$F$94:$F$99</definedName>
    <definedName name="OSRRefD21_15x_2" localSheetId="56">'331'!$F$127:$F$129</definedName>
    <definedName name="OSRRefD21_15x_2" localSheetId="73">'405'!$F$80</definedName>
    <definedName name="OSRRefD21_15x_2" localSheetId="75">'411'!$F$76</definedName>
    <definedName name="OSRRefD21_15x_2" localSheetId="79">'415'!$F$83:$F$84</definedName>
    <definedName name="OSRRefD21_15x_2" localSheetId="88">'433'!$F$86</definedName>
    <definedName name="OSRRefD21_15x_2" localSheetId="90">'444'!$F$86</definedName>
    <definedName name="OSRRefD21_15x_2" localSheetId="91">'450'!$F$77:$F$78</definedName>
    <definedName name="OSRRefD21_15x_2" localSheetId="72">'491'!$F$79:$F$80</definedName>
    <definedName name="OSRRefD21_15x_2" localSheetId="86">'492'!$F$88:$F$89</definedName>
    <definedName name="OSRRefD21_15x_2" localSheetId="39">'Div 2'!$F$77:$F$78</definedName>
    <definedName name="OSRRefD21_15x_2" localSheetId="47">'Div 3'!$F$168</definedName>
    <definedName name="OSRRefD21_15x_2" localSheetId="70">'Div 4'!$F$80:$F$83</definedName>
    <definedName name="OSRRefD21_15x_2" localSheetId="2">Summary!$F$196</definedName>
    <definedName name="OSRRefD21_15x_3" localSheetId="41">'201'!$G$71</definedName>
    <definedName name="OSRRefD21_15x_3" localSheetId="48">'300'!$G$164</definedName>
    <definedName name="OSRRefD21_15x_3" localSheetId="49">'300 &amp; 317'!$G$186</definedName>
    <definedName name="OSRRefD21_15x_3" localSheetId="50">'301'!$G$73</definedName>
    <definedName name="OSRRefD21_15x_3" localSheetId="63">'310'!$G$75:$G$76</definedName>
    <definedName name="OSRRefD21_15x_3" localSheetId="71">'310 &amp; 491'!$G$83:$G$84</definedName>
    <definedName name="OSRRefD21_15x_3" localSheetId="57">'315'!$G$133</definedName>
    <definedName name="OSRRefD21_15x_3" localSheetId="58">'326'!$G$94:$G$99</definedName>
    <definedName name="OSRRefD21_15x_3" localSheetId="56">'331'!$G$127:$G$129</definedName>
    <definedName name="OSRRefD21_15x_3" localSheetId="73">'405'!$G$80</definedName>
    <definedName name="OSRRefD21_15x_3" localSheetId="75">'411'!$G$76</definedName>
    <definedName name="OSRRefD21_15x_3" localSheetId="79">'415'!$G$83:$G$84</definedName>
    <definedName name="OSRRefD21_15x_3" localSheetId="88">'433'!$G$86</definedName>
    <definedName name="OSRRefD21_15x_3" localSheetId="90">'444'!$G$86</definedName>
    <definedName name="OSRRefD21_15x_3" localSheetId="91">'450'!$G$77:$G$78</definedName>
    <definedName name="OSRRefD21_15x_3" localSheetId="72">'491'!$G$79:$G$80</definedName>
    <definedName name="OSRRefD21_15x_3" localSheetId="86">'492'!$G$88:$G$89</definedName>
    <definedName name="OSRRefD21_15x_3" localSheetId="39">'Div 2'!$G$77:$G$78</definedName>
    <definedName name="OSRRefD21_15x_3" localSheetId="47">'Div 3'!$G$168</definedName>
    <definedName name="OSRRefD21_15x_3" localSheetId="70">'Div 4'!$G$80:$G$83</definedName>
    <definedName name="OSRRefD21_15x_3" localSheetId="2">Summary!$G$196</definedName>
    <definedName name="OSRRefD21_16_0x" localSheetId="41">'201'!$D$73:$G$73</definedName>
    <definedName name="OSRRefD21_16_0x" localSheetId="48">'300'!$D$166:$G$166</definedName>
    <definedName name="OSRRefD21_16_0x" localSheetId="49">'300 &amp; 317'!$D$188:$G$188</definedName>
    <definedName name="OSRRefD21_16_0x" localSheetId="50">'301'!$D$75:$G$75</definedName>
    <definedName name="OSRRefD21_16_0x" localSheetId="63">'310'!$D$78:$G$78</definedName>
    <definedName name="OSRRefD21_16_0x" localSheetId="71">'310 &amp; 491'!$D$86:$G$86</definedName>
    <definedName name="OSRRefD21_16_0x" localSheetId="57">'315'!$D$135:$G$135</definedName>
    <definedName name="OSRRefD21_16_0x" localSheetId="58">'326'!$D$101:$G$101</definedName>
    <definedName name="OSRRefD21_16_0x" localSheetId="56">'331'!$D$131:$G$131</definedName>
    <definedName name="OSRRefD21_16_0x" localSheetId="73">'405'!$D$82:$G$82</definedName>
    <definedName name="OSRRefD21_16_0x" localSheetId="79">'415'!$D$86:$G$86</definedName>
    <definedName name="OSRRefD21_16_0x" localSheetId="91">'450'!$D$80:$G$80</definedName>
    <definedName name="OSRRefD21_16_0x" localSheetId="72">'491'!$D$82:$G$82</definedName>
    <definedName name="OSRRefD21_16_0x" localSheetId="86">'492'!$D$91:$G$91</definedName>
    <definedName name="OSRRefD21_16_0x" localSheetId="39">'Div 2'!$D$80:$G$80</definedName>
    <definedName name="OSRRefD21_16_0x" localSheetId="47">'Div 3'!$D$170:$G$170</definedName>
    <definedName name="OSRRefD21_16_0x" localSheetId="70">'Div 4'!$D$85:$G$85</definedName>
    <definedName name="OSRRefD21_16_0x" localSheetId="2">Summary!$D$198:$G$198</definedName>
    <definedName name="OSRRefD21_16_1x" localSheetId="48">'300'!$D$167:$G$167</definedName>
    <definedName name="OSRRefD21_16_1x" localSheetId="49">'300 &amp; 317'!$D$189:$G$189</definedName>
    <definedName name="OSRRefD21_16_1x" localSheetId="50">'301'!$D$76:$G$76</definedName>
    <definedName name="OSRRefD21_16_1x" localSheetId="63">'310'!$D$79:$G$79</definedName>
    <definedName name="OSRRefD21_16_1x" localSheetId="71">'310 &amp; 491'!$D$87:$G$87</definedName>
    <definedName name="OSRRefD21_16_1x" localSheetId="58">'326'!$D$102:$G$102</definedName>
    <definedName name="OSRRefD21_16_1x" localSheetId="56">'331'!$D$132:$G$132</definedName>
    <definedName name="OSRRefD21_16_1x" localSheetId="72">'491'!$D$83:$G$83</definedName>
    <definedName name="OSRRefD21_16_1x" localSheetId="39">'Div 2'!$D$81:$G$81</definedName>
    <definedName name="OSRRefD21_16_1x" localSheetId="70">'Div 4'!$D$86:$G$86</definedName>
    <definedName name="OSRRefD21_16_2x" localSheetId="48">'300'!$D$168:$G$168</definedName>
    <definedName name="OSRRefD21_16_2x" localSheetId="49">'300 &amp; 317'!$D$190:$G$190</definedName>
    <definedName name="OSRRefD21_16_2x" localSheetId="50">'301'!$D$77:$G$77</definedName>
    <definedName name="OSRRefD21_16_2x" localSheetId="63">'310'!$D$80:$G$80</definedName>
    <definedName name="OSRRefD21_16_2x" localSheetId="71">'310 &amp; 491'!$D$88:$G$88</definedName>
    <definedName name="OSRRefD21_16_2x" localSheetId="72">'491'!$D$84:$G$84</definedName>
    <definedName name="OSRRefD21_16_2x" localSheetId="39">'Div 2'!$D$82:$G$82</definedName>
    <definedName name="OSRRefD21_16_3x" localSheetId="48">'300'!$D$169:$G$169</definedName>
    <definedName name="OSRRefD21_16_3x" localSheetId="49">'300 &amp; 317'!$D$191:$G$191</definedName>
    <definedName name="OSRRefD21_16_3x" localSheetId="50">'301'!$D$78:$G$78</definedName>
    <definedName name="OSRRefD21_16_3x" localSheetId="63">'310'!$D$81:$G$81</definedName>
    <definedName name="OSRRefD21_16_3x" localSheetId="71">'310 &amp; 491'!$D$89:$G$89</definedName>
    <definedName name="OSRRefD21_16_3x" localSheetId="72">'491'!$D$85:$G$85</definedName>
    <definedName name="OSRRefD21_16_3x" localSheetId="39">'Div 2'!$D$83:$G$83</definedName>
    <definedName name="OSRRefD21_16_4x" localSheetId="50">'301'!$D$79:$G$79</definedName>
    <definedName name="OSRRefD21_16_4x" localSheetId="63">'310'!$D$82:$G$82</definedName>
    <definedName name="OSRRefD21_16_4x" localSheetId="71">'310 &amp; 491'!$D$90:$G$90</definedName>
    <definedName name="OSRRefD21_16_4x" localSheetId="72">'491'!$D$86:$G$86</definedName>
    <definedName name="OSRRefD21_16_5x" localSheetId="50">'301'!$D$80:$G$80</definedName>
    <definedName name="OSRRefD21_16_5x" localSheetId="63">'310'!$D$83:$G$83</definedName>
    <definedName name="OSRRefD21_16_6x" localSheetId="50">'301'!$D$81:$G$81</definedName>
    <definedName name="OSRRefD21_16_6x" localSheetId="63">'310'!$D$84:$G$84</definedName>
    <definedName name="OSRRefD21_16x_0" localSheetId="41">'201'!$D$73</definedName>
    <definedName name="OSRRefD21_16x_0" localSheetId="48">'300'!$D$166:$D$169</definedName>
    <definedName name="OSRRefD21_16x_0" localSheetId="49">'300 &amp; 317'!$D$188:$D$191</definedName>
    <definedName name="OSRRefD21_16x_0" localSheetId="50">'301'!$D$75:$D$81</definedName>
    <definedName name="OSRRefD21_16x_0" localSheetId="63">'310'!$D$78:$D$84</definedName>
    <definedName name="OSRRefD21_16x_0" localSheetId="71">'310 &amp; 491'!$D$86:$D$90</definedName>
    <definedName name="OSRRefD21_16x_0" localSheetId="57">'315'!$D$135</definedName>
    <definedName name="OSRRefD21_16x_0" localSheetId="58">'326'!$D$101:$D$102</definedName>
    <definedName name="OSRRefD21_16x_0" localSheetId="56">'331'!$D$131:$D$132</definedName>
    <definedName name="OSRRefD21_16x_0" localSheetId="73">'405'!$D$82</definedName>
    <definedName name="OSRRefD21_16x_0" localSheetId="79">'415'!$D$86</definedName>
    <definedName name="OSRRefD21_16x_0" localSheetId="91">'450'!$D$80</definedName>
    <definedName name="OSRRefD21_16x_0" localSheetId="72">'491'!$D$82:$D$86</definedName>
    <definedName name="OSRRefD21_16x_0" localSheetId="86">'492'!$D$91</definedName>
    <definedName name="OSRRefD21_16x_0" localSheetId="39">'Div 2'!$D$80:$D$83</definedName>
    <definedName name="OSRRefD21_16x_0" localSheetId="47">'Div 3'!$D$170</definedName>
    <definedName name="OSRRefD21_16x_0" localSheetId="70">'Div 4'!$D$85:$D$86</definedName>
    <definedName name="OSRRefD21_16x_0" localSheetId="2">Summary!$D$198</definedName>
    <definedName name="OSRRefD21_16x_1" localSheetId="41">'201'!$E$73</definedName>
    <definedName name="OSRRefD21_16x_1" localSheetId="48">'300'!$E$166:$E$169</definedName>
    <definedName name="OSRRefD21_16x_1" localSheetId="49">'300 &amp; 317'!$E$188:$E$191</definedName>
    <definedName name="OSRRefD21_16x_1" localSheetId="50">'301'!$E$75:$E$81</definedName>
    <definedName name="OSRRefD21_16x_1" localSheetId="63">'310'!$E$78:$E$84</definedName>
    <definedName name="OSRRefD21_16x_1" localSheetId="71">'310 &amp; 491'!$E$86:$E$90</definedName>
    <definedName name="OSRRefD21_16x_1" localSheetId="57">'315'!$E$135</definedName>
    <definedName name="OSRRefD21_16x_1" localSheetId="58">'326'!$E$101:$E$102</definedName>
    <definedName name="OSRRefD21_16x_1" localSheetId="56">'331'!$E$131:$E$132</definedName>
    <definedName name="OSRRefD21_16x_1" localSheetId="73">'405'!$E$82</definedName>
    <definedName name="OSRRefD21_16x_1" localSheetId="79">'415'!$E$86</definedName>
    <definedName name="OSRRefD21_16x_1" localSheetId="91">'450'!$E$80</definedName>
    <definedName name="OSRRefD21_16x_1" localSheetId="72">'491'!$E$82:$E$86</definedName>
    <definedName name="OSRRefD21_16x_1" localSheetId="86">'492'!$E$91</definedName>
    <definedName name="OSRRefD21_16x_1" localSheetId="39">'Div 2'!$E$80:$E$83</definedName>
    <definedName name="OSRRefD21_16x_1" localSheetId="47">'Div 3'!$E$170</definedName>
    <definedName name="OSRRefD21_16x_1" localSheetId="70">'Div 4'!$E$85:$E$86</definedName>
    <definedName name="OSRRefD21_16x_1" localSheetId="2">Summary!$E$198</definedName>
    <definedName name="OSRRefD21_16x_2" localSheetId="41">'201'!$F$73</definedName>
    <definedName name="OSRRefD21_16x_2" localSheetId="48">'300'!$F$166:$F$169</definedName>
    <definedName name="OSRRefD21_16x_2" localSheetId="49">'300 &amp; 317'!$F$188:$F$191</definedName>
    <definedName name="OSRRefD21_16x_2" localSheetId="50">'301'!$F$75:$F$81</definedName>
    <definedName name="OSRRefD21_16x_2" localSheetId="63">'310'!$F$78:$F$84</definedName>
    <definedName name="OSRRefD21_16x_2" localSheetId="71">'310 &amp; 491'!$F$86:$F$90</definedName>
    <definedName name="OSRRefD21_16x_2" localSheetId="57">'315'!$F$135</definedName>
    <definedName name="OSRRefD21_16x_2" localSheetId="58">'326'!$F$101:$F$102</definedName>
    <definedName name="OSRRefD21_16x_2" localSheetId="56">'331'!$F$131:$F$132</definedName>
    <definedName name="OSRRefD21_16x_2" localSheetId="73">'405'!$F$82</definedName>
    <definedName name="OSRRefD21_16x_2" localSheetId="79">'415'!$F$86</definedName>
    <definedName name="OSRRefD21_16x_2" localSheetId="91">'450'!$F$80</definedName>
    <definedName name="OSRRefD21_16x_2" localSheetId="72">'491'!$F$82:$F$86</definedName>
    <definedName name="OSRRefD21_16x_2" localSheetId="86">'492'!$F$91</definedName>
    <definedName name="OSRRefD21_16x_2" localSheetId="39">'Div 2'!$F$80:$F$83</definedName>
    <definedName name="OSRRefD21_16x_2" localSheetId="47">'Div 3'!$F$170</definedName>
    <definedName name="OSRRefD21_16x_2" localSheetId="70">'Div 4'!$F$85:$F$86</definedName>
    <definedName name="OSRRefD21_16x_2" localSheetId="2">Summary!$F$198</definedName>
    <definedName name="OSRRefD21_16x_3" localSheetId="41">'201'!$G$73</definedName>
    <definedName name="OSRRefD21_16x_3" localSheetId="48">'300'!$G$166:$G$169</definedName>
    <definedName name="OSRRefD21_16x_3" localSheetId="49">'300 &amp; 317'!$G$188:$G$191</definedName>
    <definedName name="OSRRefD21_16x_3" localSheetId="50">'301'!$G$75:$G$81</definedName>
    <definedName name="OSRRefD21_16x_3" localSheetId="63">'310'!$G$78:$G$84</definedName>
    <definedName name="OSRRefD21_16x_3" localSheetId="71">'310 &amp; 491'!$G$86:$G$90</definedName>
    <definedName name="OSRRefD21_16x_3" localSheetId="57">'315'!$G$135</definedName>
    <definedName name="OSRRefD21_16x_3" localSheetId="58">'326'!$G$101:$G$102</definedName>
    <definedName name="OSRRefD21_16x_3" localSheetId="56">'331'!$G$131:$G$132</definedName>
    <definedName name="OSRRefD21_16x_3" localSheetId="73">'405'!$G$82</definedName>
    <definedName name="OSRRefD21_16x_3" localSheetId="79">'415'!$G$86</definedName>
    <definedName name="OSRRefD21_16x_3" localSheetId="91">'450'!$G$80</definedName>
    <definedName name="OSRRefD21_16x_3" localSheetId="72">'491'!$G$82:$G$86</definedName>
    <definedName name="OSRRefD21_16x_3" localSheetId="86">'492'!$G$91</definedName>
    <definedName name="OSRRefD21_16x_3" localSheetId="39">'Div 2'!$G$80:$G$83</definedName>
    <definedName name="OSRRefD21_16x_3" localSheetId="47">'Div 3'!$G$170</definedName>
    <definedName name="OSRRefD21_16x_3" localSheetId="70">'Div 4'!$G$85:$G$86</definedName>
    <definedName name="OSRRefD21_16x_3" localSheetId="2">Summary!$G$198</definedName>
    <definedName name="OSRRefD21_17_0x" localSheetId="48">'300'!$D$171:$G$171</definedName>
    <definedName name="OSRRefD21_17_0x" localSheetId="49">'300 &amp; 317'!$D$193:$G$193</definedName>
    <definedName name="OSRRefD21_17_0x" localSheetId="50">'301'!$D$83:$G$83</definedName>
    <definedName name="OSRRefD21_17_0x" localSheetId="63">'310'!$D$86:$G$86</definedName>
    <definedName name="OSRRefD21_17_0x" localSheetId="71">'310 &amp; 491'!$D$92:$G$92</definedName>
    <definedName name="OSRRefD21_17_0x" localSheetId="57">'315'!$D$137:$G$137</definedName>
    <definedName name="OSRRefD21_17_0x" localSheetId="58">'326'!$D$104:$G$104</definedName>
    <definedName name="OSRRefD21_17_0x" localSheetId="56">'331'!$D$134:$G$134</definedName>
    <definedName name="OSRRefD21_17_0x" localSheetId="72">'491'!$D$88:$G$88</definedName>
    <definedName name="OSRRefD21_17_0x" localSheetId="86">'492'!$D$93:$G$93</definedName>
    <definedName name="OSRRefD21_17_0x" localSheetId="39">'Div 2'!$D$85:$G$85</definedName>
    <definedName name="OSRRefD21_17_0x" localSheetId="47">'Div 3'!$D$172:$G$172</definedName>
    <definedName name="OSRRefD21_17_0x" localSheetId="70">'Div 4'!$D$88:$G$88</definedName>
    <definedName name="OSRRefD21_17_0x" localSheetId="2">Summary!$D$200:$G$200</definedName>
    <definedName name="OSRRefD21_17_1x" localSheetId="48">'300'!$D$172:$G$172</definedName>
    <definedName name="OSRRefD21_17_1x" localSheetId="49">'300 &amp; 317'!$D$194:$G$194</definedName>
    <definedName name="OSRRefD21_17_1x" localSheetId="63">'310'!$D$87:$G$87</definedName>
    <definedName name="OSRRefD21_17_1x" localSheetId="71">'310 &amp; 491'!$D$93:$G$93</definedName>
    <definedName name="OSRRefD21_17_1x" localSheetId="57">'315'!$D$138:$G$138</definedName>
    <definedName name="OSRRefD21_17_1x" localSheetId="56">'331'!$D$135:$G$135</definedName>
    <definedName name="OSRRefD21_17_1x" localSheetId="72">'491'!$D$89:$G$89</definedName>
    <definedName name="OSRRefD21_17_1x" localSheetId="39">'Div 2'!$D$86:$G$86</definedName>
    <definedName name="OSRRefD21_17_1x" localSheetId="47">'Div 3'!$D$173:$G$173</definedName>
    <definedName name="OSRRefD21_17_1x" localSheetId="70">'Div 4'!$D$89:$G$89</definedName>
    <definedName name="OSRRefD21_17_2x" localSheetId="48">'300'!$D$173:$G$173</definedName>
    <definedName name="OSRRefD21_17_2x" localSheetId="49">'300 &amp; 317'!$D$195:$G$195</definedName>
    <definedName name="OSRRefD21_17_2x" localSheetId="56">'331'!$D$136:$G$136</definedName>
    <definedName name="OSRRefD21_17_2x" localSheetId="47">'Div 3'!$D$174:$G$174</definedName>
    <definedName name="OSRRefD21_17_2x" localSheetId="70">'Div 4'!$D$90:$G$90</definedName>
    <definedName name="OSRRefD21_17_3x" localSheetId="48">'300'!$D$174:$G$174</definedName>
    <definedName name="OSRRefD21_17_3x" localSheetId="49">'300 &amp; 317'!$D$196:$G$196</definedName>
    <definedName name="OSRRefD21_17_3x" localSheetId="56">'331'!$D$137:$G$137</definedName>
    <definedName name="OSRRefD21_17_3x" localSheetId="47">'Div 3'!$D$175:$G$175</definedName>
    <definedName name="OSRRefD21_17_3x" localSheetId="70">'Div 4'!$D$91:$G$91</definedName>
    <definedName name="OSRRefD21_17_4x" localSheetId="56">'331'!$D$138:$G$138</definedName>
    <definedName name="OSRRefD21_17_4x" localSheetId="70">'Div 4'!$D$92:$G$92</definedName>
    <definedName name="OSRRefD21_17_5x" localSheetId="56">'331'!$D$139:$G$139</definedName>
    <definedName name="OSRRefD21_17_6x" localSheetId="56">'331'!$D$140:$G$140</definedName>
    <definedName name="OSRRefD21_17_7x" localSheetId="56">'331'!$D$141:$G$141</definedName>
    <definedName name="OSRRefD21_17x_0" localSheetId="48">'300'!$D$171:$D$174</definedName>
    <definedName name="OSRRefD21_17x_0" localSheetId="49">'300 &amp; 317'!$D$193:$D$196</definedName>
    <definedName name="OSRRefD21_17x_0" localSheetId="50">'301'!$D$83</definedName>
    <definedName name="OSRRefD21_17x_0" localSheetId="63">'310'!$D$86:$D$87</definedName>
    <definedName name="OSRRefD21_17x_0" localSheetId="71">'310 &amp; 491'!$D$92:$D$93</definedName>
    <definedName name="OSRRefD21_17x_0" localSheetId="57">'315'!$D$137:$D$138</definedName>
    <definedName name="OSRRefD21_17x_0" localSheetId="58">'326'!$D$104</definedName>
    <definedName name="OSRRefD21_17x_0" localSheetId="56">'331'!$D$134:$D$141</definedName>
    <definedName name="OSRRefD21_17x_0" localSheetId="72">'491'!$D$88:$D$89</definedName>
    <definedName name="OSRRefD21_17x_0" localSheetId="86">'492'!$D$93</definedName>
    <definedName name="OSRRefD21_17x_0" localSheetId="39">'Div 2'!$D$85:$D$86</definedName>
    <definedName name="OSRRefD21_17x_0" localSheetId="47">'Div 3'!$D$172:$D$175</definedName>
    <definedName name="OSRRefD21_17x_0" localSheetId="70">'Div 4'!$D$88:$D$92</definedName>
    <definedName name="OSRRefD21_17x_0" localSheetId="2">Summary!$D$200</definedName>
    <definedName name="OSRRefD21_17x_1" localSheetId="48">'300'!$E$171:$E$174</definedName>
    <definedName name="OSRRefD21_17x_1" localSheetId="49">'300 &amp; 317'!$E$193:$E$196</definedName>
    <definedName name="OSRRefD21_17x_1" localSheetId="50">'301'!$E$83</definedName>
    <definedName name="OSRRefD21_17x_1" localSheetId="63">'310'!$E$86:$E$87</definedName>
    <definedName name="OSRRefD21_17x_1" localSheetId="71">'310 &amp; 491'!$E$92:$E$93</definedName>
    <definedName name="OSRRefD21_17x_1" localSheetId="57">'315'!$E$137:$E$138</definedName>
    <definedName name="OSRRefD21_17x_1" localSheetId="58">'326'!$E$104</definedName>
    <definedName name="OSRRefD21_17x_1" localSheetId="56">'331'!$E$134:$E$141</definedName>
    <definedName name="OSRRefD21_17x_1" localSheetId="72">'491'!$E$88:$E$89</definedName>
    <definedName name="OSRRefD21_17x_1" localSheetId="86">'492'!$E$93</definedName>
    <definedName name="OSRRefD21_17x_1" localSheetId="39">'Div 2'!$E$85:$E$86</definedName>
    <definedName name="OSRRefD21_17x_1" localSheetId="47">'Div 3'!$E$172:$E$175</definedName>
    <definedName name="OSRRefD21_17x_1" localSheetId="70">'Div 4'!$E$88:$E$92</definedName>
    <definedName name="OSRRefD21_17x_1" localSheetId="2">Summary!$E$200</definedName>
    <definedName name="OSRRefD21_17x_2" localSheetId="48">'300'!$F$171:$F$174</definedName>
    <definedName name="OSRRefD21_17x_2" localSheetId="49">'300 &amp; 317'!$F$193:$F$196</definedName>
    <definedName name="OSRRefD21_17x_2" localSheetId="50">'301'!$F$83</definedName>
    <definedName name="OSRRefD21_17x_2" localSheetId="63">'310'!$F$86:$F$87</definedName>
    <definedName name="OSRRefD21_17x_2" localSheetId="71">'310 &amp; 491'!$F$92:$F$93</definedName>
    <definedName name="OSRRefD21_17x_2" localSheetId="57">'315'!$F$137:$F$138</definedName>
    <definedName name="OSRRefD21_17x_2" localSheetId="58">'326'!$F$104</definedName>
    <definedName name="OSRRefD21_17x_2" localSheetId="56">'331'!$F$134:$F$141</definedName>
    <definedName name="OSRRefD21_17x_2" localSheetId="72">'491'!$F$88:$F$89</definedName>
    <definedName name="OSRRefD21_17x_2" localSheetId="86">'492'!$F$93</definedName>
    <definedName name="OSRRefD21_17x_2" localSheetId="39">'Div 2'!$F$85:$F$86</definedName>
    <definedName name="OSRRefD21_17x_2" localSheetId="47">'Div 3'!$F$172:$F$175</definedName>
    <definedName name="OSRRefD21_17x_2" localSheetId="70">'Div 4'!$F$88:$F$92</definedName>
    <definedName name="OSRRefD21_17x_2" localSheetId="2">Summary!$F$200</definedName>
    <definedName name="OSRRefD21_17x_3" localSheetId="48">'300'!$G$171:$G$174</definedName>
    <definedName name="OSRRefD21_17x_3" localSheetId="49">'300 &amp; 317'!$G$193:$G$196</definedName>
    <definedName name="OSRRefD21_17x_3" localSheetId="50">'301'!$G$83</definedName>
    <definedName name="OSRRefD21_17x_3" localSheetId="63">'310'!$G$86:$G$87</definedName>
    <definedName name="OSRRefD21_17x_3" localSheetId="71">'310 &amp; 491'!$G$92:$G$93</definedName>
    <definedName name="OSRRefD21_17x_3" localSheetId="57">'315'!$G$137:$G$138</definedName>
    <definedName name="OSRRefD21_17x_3" localSheetId="58">'326'!$G$104</definedName>
    <definedName name="OSRRefD21_17x_3" localSheetId="56">'331'!$G$134:$G$141</definedName>
    <definedName name="OSRRefD21_17x_3" localSheetId="72">'491'!$G$88:$G$89</definedName>
    <definedName name="OSRRefD21_17x_3" localSheetId="86">'492'!$G$93</definedName>
    <definedName name="OSRRefD21_17x_3" localSheetId="39">'Div 2'!$G$85:$G$86</definedName>
    <definedName name="OSRRefD21_17x_3" localSheetId="47">'Div 3'!$G$172:$G$175</definedName>
    <definedName name="OSRRefD21_17x_3" localSheetId="70">'Div 4'!$G$88:$G$92</definedName>
    <definedName name="OSRRefD21_17x_3" localSheetId="2">Summary!$G$200</definedName>
    <definedName name="OSRRefD21_18_0x" localSheetId="48">'300'!$D$176:$G$176</definedName>
    <definedName name="OSRRefD21_18_0x" localSheetId="49">'300 &amp; 317'!$D$198:$G$198</definedName>
    <definedName name="OSRRefD21_18_0x" localSheetId="50">'301'!$D$85:$G$85</definedName>
    <definedName name="OSRRefD21_18_0x" localSheetId="63">'310'!$D$89:$G$89</definedName>
    <definedName name="OSRRefD21_18_0x" localSheetId="71">'310 &amp; 491'!$D$95:$G$95</definedName>
    <definedName name="OSRRefD21_18_0x" localSheetId="58">'326'!$D$106:$G$106</definedName>
    <definedName name="OSRRefD21_18_0x" localSheetId="56">'331'!$D$143:$G$143</definedName>
    <definedName name="OSRRefD21_18_0x" localSheetId="72">'491'!$D$91:$G$91</definedName>
    <definedName name="OSRRefD21_18_0x" localSheetId="39">'Div 2'!$D$88:$G$88</definedName>
    <definedName name="OSRRefD21_18_0x" localSheetId="47">'Div 3'!$D$177:$G$177</definedName>
    <definedName name="OSRRefD21_18_0x" localSheetId="70">'Div 4'!$D$94:$G$94</definedName>
    <definedName name="OSRRefD21_18_0x" localSheetId="2">Summary!$D$202:$G$202</definedName>
    <definedName name="OSRRefD21_18_10x" localSheetId="71">'310 &amp; 491'!$D$105:$G$105</definedName>
    <definedName name="OSRRefD21_18_10x" localSheetId="72">'491'!$D$101:$G$101</definedName>
    <definedName name="OSRRefD21_18_1x" localSheetId="48">'300'!$D$177:$G$177</definedName>
    <definedName name="OSRRefD21_18_1x" localSheetId="49">'300 &amp; 317'!$D$199:$G$199</definedName>
    <definedName name="OSRRefD21_18_1x" localSheetId="71">'310 &amp; 491'!$D$96:$G$96</definedName>
    <definedName name="OSRRefD21_18_1x" localSheetId="58">'326'!$D$107:$G$107</definedName>
    <definedName name="OSRRefD21_18_1x" localSheetId="56">'331'!$D$144:$G$144</definedName>
    <definedName name="OSRRefD21_18_1x" localSheetId="72">'491'!$D$92:$G$92</definedName>
    <definedName name="OSRRefD21_18_1x" localSheetId="47">'Div 3'!$D$178:$G$178</definedName>
    <definedName name="OSRRefD21_18_1x" localSheetId="70">'Div 4'!$D$95:$G$95</definedName>
    <definedName name="OSRRefD21_18_1x" localSheetId="2">Summary!$D$203:$G$203</definedName>
    <definedName name="OSRRefD21_18_2x" localSheetId="48">'300'!$D$178:$G$178</definedName>
    <definedName name="OSRRefD21_18_2x" localSheetId="49">'300 &amp; 317'!$D$200:$G$200</definedName>
    <definedName name="OSRRefD21_18_2x" localSheetId="71">'310 &amp; 491'!$D$97:$G$97</definedName>
    <definedName name="OSRRefD21_18_2x" localSheetId="72">'491'!$D$93:$G$93</definedName>
    <definedName name="OSRRefD21_18_2x" localSheetId="47">'Div 3'!$D$179:$G$179</definedName>
    <definedName name="OSRRefD21_18_2x" localSheetId="2">Summary!$D$204:$G$204</definedName>
    <definedName name="OSRRefD21_18_3x" localSheetId="48">'300'!$D$179:$G$179</definedName>
    <definedName name="OSRRefD21_18_3x" localSheetId="49">'300 &amp; 317'!$D$201:$G$201</definedName>
    <definedName name="OSRRefD21_18_3x" localSheetId="71">'310 &amp; 491'!$D$98:$G$98</definedName>
    <definedName name="OSRRefD21_18_3x" localSheetId="72">'491'!$D$94:$G$94</definedName>
    <definedName name="OSRRefD21_18_3x" localSheetId="47">'Div 3'!$D$180:$G$180</definedName>
    <definedName name="OSRRefD21_18_3x" localSheetId="2">Summary!$D$205:$G$205</definedName>
    <definedName name="OSRRefD21_18_4x" localSheetId="71">'310 &amp; 491'!$D$99:$G$99</definedName>
    <definedName name="OSRRefD21_18_4x" localSheetId="72">'491'!$D$95:$G$95</definedName>
    <definedName name="OSRRefD21_18_5x" localSheetId="71">'310 &amp; 491'!$D$100:$G$100</definedName>
    <definedName name="OSRRefD21_18_5x" localSheetId="72">'491'!$D$96:$G$96</definedName>
    <definedName name="OSRRefD21_18_6x" localSheetId="71">'310 &amp; 491'!$D$101:$G$101</definedName>
    <definedName name="OSRRefD21_18_6x" localSheetId="72">'491'!$D$97:$G$97</definedName>
    <definedName name="OSRRefD21_18_7x" localSheetId="71">'310 &amp; 491'!$D$102:$G$102</definedName>
    <definedName name="OSRRefD21_18_7x" localSheetId="72">'491'!$D$98:$G$98</definedName>
    <definedName name="OSRRefD21_18_8x" localSheetId="71">'310 &amp; 491'!$D$103:$G$103</definedName>
    <definedName name="OSRRefD21_18_8x" localSheetId="72">'491'!$D$99:$G$99</definedName>
    <definedName name="OSRRefD21_18_9x" localSheetId="71">'310 &amp; 491'!$D$104:$G$104</definedName>
    <definedName name="OSRRefD21_18_9x" localSheetId="72">'491'!$D$100:$G$100</definedName>
    <definedName name="OSRRefD21_18x_0" localSheetId="48">'300'!$D$176:$D$179</definedName>
    <definedName name="OSRRefD21_18x_0" localSheetId="49">'300 &amp; 317'!$D$198:$D$201</definedName>
    <definedName name="OSRRefD21_18x_0" localSheetId="50">'301'!$D$85</definedName>
    <definedName name="OSRRefD21_18x_0" localSheetId="63">'310'!$D$89</definedName>
    <definedName name="OSRRefD21_18x_0" localSheetId="71">'310 &amp; 491'!$D$95:$D$105</definedName>
    <definedName name="OSRRefD21_18x_0" localSheetId="58">'326'!$D$106:$D$107</definedName>
    <definedName name="OSRRefD21_18x_0" localSheetId="56">'331'!$D$143:$D$144</definedName>
    <definedName name="OSRRefD21_18x_0" localSheetId="72">'491'!$D$91:$D$101</definedName>
    <definedName name="OSRRefD21_18x_0" localSheetId="39">'Div 2'!$D$88</definedName>
    <definedName name="OSRRefD21_18x_0" localSheetId="47">'Div 3'!$D$177:$D$180</definedName>
    <definedName name="OSRRefD21_18x_0" localSheetId="70">'Div 4'!$D$94:$D$95</definedName>
    <definedName name="OSRRefD21_18x_0" localSheetId="2">Summary!$D$202:$D$205</definedName>
    <definedName name="OSRRefD21_18x_1" localSheetId="48">'300'!$E$176:$E$179</definedName>
    <definedName name="OSRRefD21_18x_1" localSheetId="49">'300 &amp; 317'!$E$198:$E$201</definedName>
    <definedName name="OSRRefD21_18x_1" localSheetId="50">'301'!$E$85</definedName>
    <definedName name="OSRRefD21_18x_1" localSheetId="63">'310'!$E$89</definedName>
    <definedName name="OSRRefD21_18x_1" localSheetId="71">'310 &amp; 491'!$E$95:$E$105</definedName>
    <definedName name="OSRRefD21_18x_1" localSheetId="58">'326'!$E$106:$E$107</definedName>
    <definedName name="OSRRefD21_18x_1" localSheetId="56">'331'!$E$143:$E$144</definedName>
    <definedName name="OSRRefD21_18x_1" localSheetId="72">'491'!$E$91:$E$101</definedName>
    <definedName name="OSRRefD21_18x_1" localSheetId="39">'Div 2'!$E$88</definedName>
    <definedName name="OSRRefD21_18x_1" localSheetId="47">'Div 3'!$E$177:$E$180</definedName>
    <definedName name="OSRRefD21_18x_1" localSheetId="70">'Div 4'!$E$94:$E$95</definedName>
    <definedName name="OSRRefD21_18x_1" localSheetId="2">Summary!$E$202:$E$205</definedName>
    <definedName name="OSRRefD21_18x_2" localSheetId="48">'300'!$F$176:$F$179</definedName>
    <definedName name="OSRRefD21_18x_2" localSheetId="49">'300 &amp; 317'!$F$198:$F$201</definedName>
    <definedName name="OSRRefD21_18x_2" localSheetId="50">'301'!$F$85</definedName>
    <definedName name="OSRRefD21_18x_2" localSheetId="63">'310'!$F$89</definedName>
    <definedName name="OSRRefD21_18x_2" localSheetId="71">'310 &amp; 491'!$F$95:$F$105</definedName>
    <definedName name="OSRRefD21_18x_2" localSheetId="58">'326'!$F$106:$F$107</definedName>
    <definedName name="OSRRefD21_18x_2" localSheetId="56">'331'!$F$143:$F$144</definedName>
    <definedName name="OSRRefD21_18x_2" localSheetId="72">'491'!$F$91:$F$101</definedName>
    <definedName name="OSRRefD21_18x_2" localSheetId="39">'Div 2'!$F$88</definedName>
    <definedName name="OSRRefD21_18x_2" localSheetId="47">'Div 3'!$F$177:$F$180</definedName>
    <definedName name="OSRRefD21_18x_2" localSheetId="70">'Div 4'!$F$94:$F$95</definedName>
    <definedName name="OSRRefD21_18x_2" localSheetId="2">Summary!$F$202:$F$205</definedName>
    <definedName name="OSRRefD21_18x_3" localSheetId="48">'300'!$G$176:$G$179</definedName>
    <definedName name="OSRRefD21_18x_3" localSheetId="49">'300 &amp; 317'!$G$198:$G$201</definedName>
    <definedName name="OSRRefD21_18x_3" localSheetId="50">'301'!$G$85</definedName>
    <definedName name="OSRRefD21_18x_3" localSheetId="63">'310'!$G$89</definedName>
    <definedName name="OSRRefD21_18x_3" localSheetId="71">'310 &amp; 491'!$G$95:$G$105</definedName>
    <definedName name="OSRRefD21_18x_3" localSheetId="58">'326'!$G$106:$G$107</definedName>
    <definedName name="OSRRefD21_18x_3" localSheetId="56">'331'!$G$143:$G$144</definedName>
    <definedName name="OSRRefD21_18x_3" localSheetId="72">'491'!$G$91:$G$101</definedName>
    <definedName name="OSRRefD21_18x_3" localSheetId="39">'Div 2'!$G$88</definedName>
    <definedName name="OSRRefD21_18x_3" localSheetId="47">'Div 3'!$G$177:$G$180</definedName>
    <definedName name="OSRRefD21_18x_3" localSheetId="70">'Div 4'!$G$94:$G$95</definedName>
    <definedName name="OSRRefD21_18x_3" localSheetId="2">Summary!$G$202:$G$205</definedName>
    <definedName name="OSRRefD21_19_0x" localSheetId="48">'300'!$D$181:$G$181</definedName>
    <definedName name="OSRRefD21_19_0x" localSheetId="49">'300 &amp; 317'!$D$203:$G$203</definedName>
    <definedName name="OSRRefD21_19_0x" localSheetId="50">'301'!$D$87:$G$87</definedName>
    <definedName name="OSRRefD21_19_0x" localSheetId="63">'310'!$D$91:$G$91</definedName>
    <definedName name="OSRRefD21_19_0x" localSheetId="71">'310 &amp; 491'!$D$107:$G$107</definedName>
    <definedName name="OSRRefD21_19_0x" localSheetId="58">'326'!$D$109:$G$109</definedName>
    <definedName name="OSRRefD21_19_0x" localSheetId="56">'331'!$D$146:$G$146</definedName>
    <definedName name="OSRRefD21_19_0x" localSheetId="72">'491'!$D$103:$G$103</definedName>
    <definedName name="OSRRefD21_19_0x" localSheetId="39">'Div 2'!$D$90:$G$90</definedName>
    <definedName name="OSRRefD21_19_0x" localSheetId="47">'Div 3'!$D$182:$G$182</definedName>
    <definedName name="OSRRefD21_19_0x" localSheetId="70">'Div 4'!$D$97:$G$97</definedName>
    <definedName name="OSRRefD21_19_0x" localSheetId="2">Summary!$D$207:$G$207</definedName>
    <definedName name="OSRRefD21_19_10x" localSheetId="70">'Div 4'!$D$107:$G$107</definedName>
    <definedName name="OSRRefD21_19_1x" localSheetId="48">'300'!$D$182:$G$182</definedName>
    <definedName name="OSRRefD21_19_1x" localSheetId="49">'300 &amp; 317'!$D$204:$G$204</definedName>
    <definedName name="OSRRefD21_19_1x" localSheetId="71">'310 &amp; 491'!$D$108:$G$108</definedName>
    <definedName name="OSRRefD21_19_1x" localSheetId="72">'491'!$D$104:$G$104</definedName>
    <definedName name="OSRRefD21_19_1x" localSheetId="39">'Div 2'!$D$91:$G$91</definedName>
    <definedName name="OSRRefD21_19_1x" localSheetId="47">'Div 3'!$D$183:$G$183</definedName>
    <definedName name="OSRRefD21_19_1x" localSheetId="70">'Div 4'!$D$98:$G$98</definedName>
    <definedName name="OSRRefD21_19_1x" localSheetId="2">Summary!$D$208:$G$208</definedName>
    <definedName name="OSRRefD21_19_2x" localSheetId="47">'Div 3'!$D$184:$G$184</definedName>
    <definedName name="OSRRefD21_19_2x" localSheetId="70">'Div 4'!$D$99:$G$99</definedName>
    <definedName name="OSRRefD21_19_2x" localSheetId="2">Summary!$D$209:$G$209</definedName>
    <definedName name="OSRRefD21_19_3x" localSheetId="47">'Div 3'!$D$185:$G$185</definedName>
    <definedName name="OSRRefD21_19_3x" localSheetId="70">'Div 4'!$D$100:$G$100</definedName>
    <definedName name="OSRRefD21_19_3x" localSheetId="2">Summary!$D$210:$G$210</definedName>
    <definedName name="OSRRefD21_19_4x" localSheetId="70">'Div 4'!$D$101:$G$101</definedName>
    <definedName name="OSRRefD21_19_5x" localSheetId="70">'Div 4'!$D$102:$G$102</definedName>
    <definedName name="OSRRefD21_19_6x" localSheetId="70">'Div 4'!$D$103:$G$103</definedName>
    <definedName name="OSRRefD21_19_7x" localSheetId="70">'Div 4'!$D$104:$G$104</definedName>
    <definedName name="OSRRefD21_19_8x" localSheetId="70">'Div 4'!$D$105:$G$105</definedName>
    <definedName name="OSRRefD21_19_9x" localSheetId="70">'Div 4'!$D$106:$G$106</definedName>
    <definedName name="OSRRefD21_19x_0" localSheetId="48">'300'!$D$181:$D$182</definedName>
    <definedName name="OSRRefD21_19x_0" localSheetId="49">'300 &amp; 317'!$D$203:$D$204</definedName>
    <definedName name="OSRRefD21_19x_0" localSheetId="50">'301'!$D$87</definedName>
    <definedName name="OSRRefD21_19x_0" localSheetId="63">'310'!$D$91</definedName>
    <definedName name="OSRRefD21_19x_0" localSheetId="71">'310 &amp; 491'!$D$107:$D$108</definedName>
    <definedName name="OSRRefD21_19x_0" localSheetId="58">'326'!$D$109</definedName>
    <definedName name="OSRRefD21_19x_0" localSheetId="56">'331'!$D$146</definedName>
    <definedName name="OSRRefD21_19x_0" localSheetId="72">'491'!$D$103:$D$104</definedName>
    <definedName name="OSRRefD21_19x_0" localSheetId="39">'Div 2'!$D$90:$D$91</definedName>
    <definedName name="OSRRefD21_19x_0" localSheetId="47">'Div 3'!$D$182:$D$185</definedName>
    <definedName name="OSRRefD21_19x_0" localSheetId="70">'Div 4'!$D$97:$D$107</definedName>
    <definedName name="OSRRefD21_19x_0" localSheetId="2">Summary!$D$207:$D$210</definedName>
    <definedName name="OSRRefD21_19x_1" localSheetId="48">'300'!$E$181:$E$182</definedName>
    <definedName name="OSRRefD21_19x_1" localSheetId="49">'300 &amp; 317'!$E$203:$E$204</definedName>
    <definedName name="OSRRefD21_19x_1" localSheetId="50">'301'!$E$87</definedName>
    <definedName name="OSRRefD21_19x_1" localSheetId="63">'310'!$E$91</definedName>
    <definedName name="OSRRefD21_19x_1" localSheetId="71">'310 &amp; 491'!$E$107:$E$108</definedName>
    <definedName name="OSRRefD21_19x_1" localSheetId="58">'326'!$E$109</definedName>
    <definedName name="OSRRefD21_19x_1" localSheetId="56">'331'!$E$146</definedName>
    <definedName name="OSRRefD21_19x_1" localSheetId="72">'491'!$E$103:$E$104</definedName>
    <definedName name="OSRRefD21_19x_1" localSheetId="39">'Div 2'!$E$90:$E$91</definedName>
    <definedName name="OSRRefD21_19x_1" localSheetId="47">'Div 3'!$E$182:$E$185</definedName>
    <definedName name="OSRRefD21_19x_1" localSheetId="70">'Div 4'!$E$97:$E$107</definedName>
    <definedName name="OSRRefD21_19x_1" localSheetId="2">Summary!$E$207:$E$210</definedName>
    <definedName name="OSRRefD21_19x_2" localSheetId="48">'300'!$F$181:$F$182</definedName>
    <definedName name="OSRRefD21_19x_2" localSheetId="49">'300 &amp; 317'!$F$203:$F$204</definedName>
    <definedName name="OSRRefD21_19x_2" localSheetId="50">'301'!$F$87</definedName>
    <definedName name="OSRRefD21_19x_2" localSheetId="63">'310'!$F$91</definedName>
    <definedName name="OSRRefD21_19x_2" localSheetId="71">'310 &amp; 491'!$F$107:$F$108</definedName>
    <definedName name="OSRRefD21_19x_2" localSheetId="58">'326'!$F$109</definedName>
    <definedName name="OSRRefD21_19x_2" localSheetId="56">'331'!$F$146</definedName>
    <definedName name="OSRRefD21_19x_2" localSheetId="72">'491'!$F$103:$F$104</definedName>
    <definedName name="OSRRefD21_19x_2" localSheetId="39">'Div 2'!$F$90:$F$91</definedName>
    <definedName name="OSRRefD21_19x_2" localSheetId="47">'Div 3'!$F$182:$F$185</definedName>
    <definedName name="OSRRefD21_19x_2" localSheetId="70">'Div 4'!$F$97:$F$107</definedName>
    <definedName name="OSRRefD21_19x_2" localSheetId="2">Summary!$F$207:$F$210</definedName>
    <definedName name="OSRRefD21_19x_3" localSheetId="48">'300'!$G$181:$G$182</definedName>
    <definedName name="OSRRefD21_19x_3" localSheetId="49">'300 &amp; 317'!$G$203:$G$204</definedName>
    <definedName name="OSRRefD21_19x_3" localSheetId="50">'301'!$G$87</definedName>
    <definedName name="OSRRefD21_19x_3" localSheetId="63">'310'!$G$91</definedName>
    <definedName name="OSRRefD21_19x_3" localSheetId="71">'310 &amp; 491'!$G$107:$G$108</definedName>
    <definedName name="OSRRefD21_19x_3" localSheetId="58">'326'!$G$109</definedName>
    <definedName name="OSRRefD21_19x_3" localSheetId="56">'331'!$G$146</definedName>
    <definedName name="OSRRefD21_19x_3" localSheetId="72">'491'!$G$103:$G$104</definedName>
    <definedName name="OSRRefD21_19x_3" localSheetId="39">'Div 2'!$G$90:$G$91</definedName>
    <definedName name="OSRRefD21_19x_3" localSheetId="47">'Div 3'!$G$182:$G$185</definedName>
    <definedName name="OSRRefD21_19x_3" localSheetId="70">'Div 4'!$G$97:$G$107</definedName>
    <definedName name="OSRRefD21_19x_3" localSheetId="2">Summary!$G$207:$G$210</definedName>
    <definedName name="OSRRefD21_1x_0" localSheetId="40">'200'!$D$21</definedName>
    <definedName name="OSRRefD21_1x_0" localSheetId="41">'201'!$D$29:$D$38</definedName>
    <definedName name="OSRRefD21_1x_0" localSheetId="42">'202'!$D$29:$D$38</definedName>
    <definedName name="OSRRefD21_1x_0" localSheetId="43">'203'!$D$30:$D$39</definedName>
    <definedName name="OSRRefD21_1x_0" localSheetId="44">'204'!$D$30:$D$39</definedName>
    <definedName name="OSRRefD21_1x_0" localSheetId="45">'205'!$D$29:$D$38</definedName>
    <definedName name="OSRRefD21_1x_0" localSheetId="46">'206'!$D$29:$D$38</definedName>
    <definedName name="OSRRefD21_1x_0" localSheetId="48">'300'!$D$122:$D$131</definedName>
    <definedName name="OSRRefD21_1x_0" localSheetId="49">'300 &amp; 317'!$D$144:$D$153</definedName>
    <definedName name="OSRRefD21_1x_0" localSheetId="50">'301'!$D$29:$D$38</definedName>
    <definedName name="OSRRefD21_1x_0" localSheetId="52">'307'!$D$47:$D$56</definedName>
    <definedName name="OSRRefD21_1x_0" localSheetId="53">'308'!$D$64:$D$73</definedName>
    <definedName name="OSRRefD21_1x_0" localSheetId="64">'309'!$D$30:$D$39</definedName>
    <definedName name="OSRRefD21_1x_0" localSheetId="63">'310'!$D$36:$D$45</definedName>
    <definedName name="OSRRefD21_1x_0" localSheetId="71">'310 &amp; 491'!$D$41:$D$50</definedName>
    <definedName name="OSRRefD21_1x_0" localSheetId="54">'311'!$D$63:$D$72</definedName>
    <definedName name="OSRRefD21_1x_0" localSheetId="65">'313'!$D$30:$D$39</definedName>
    <definedName name="OSRRefD21_1x_0" localSheetId="57">'315'!$D$86:$D$95</definedName>
    <definedName name="OSRRefD21_1x_0" localSheetId="60">'316'!$D$39:$D$48</definedName>
    <definedName name="OSRRefD21_1x_0" localSheetId="62">'317'!$D$59:$D$68</definedName>
    <definedName name="OSRRefD21_1x_0" localSheetId="66">'321'!$D$32:$D$41</definedName>
    <definedName name="OSRRefD21_1x_0" localSheetId="67">'322'!$D$31:$D$40</definedName>
    <definedName name="OSRRefD21_1x_0" localSheetId="55">'324'!$D$35:$D$44</definedName>
    <definedName name="OSRRefD21_1x_0" localSheetId="68">'325'!$D$30:$D$39</definedName>
    <definedName name="OSRRefD21_1x_0" localSheetId="58">'326'!$D$53:$D$62</definedName>
    <definedName name="OSRRefD21_1x_0" localSheetId="51">'330'!$D$47:$D$56</definedName>
    <definedName name="OSRRefD21_1x_0" localSheetId="56">'331'!$D$86:$D$95</definedName>
    <definedName name="OSRRefD21_1x_0" localSheetId="59">'332'!$D$39:$D$48</definedName>
    <definedName name="OSRRefD21_1x_0" localSheetId="73">'405'!$D$31:$D$40</definedName>
    <definedName name="OSRRefD21_1x_0" localSheetId="74">'406'!$D$21</definedName>
    <definedName name="OSRRefD21_1x_0" localSheetId="75">'411'!$D$29:$D$38</definedName>
    <definedName name="OSRRefD21_1x_0" localSheetId="76">'412'!$D$30:$D$39</definedName>
    <definedName name="OSRRefD21_1x_0" localSheetId="77">'413'!$D$32:$D$41</definedName>
    <definedName name="OSRRefD21_1x_0" localSheetId="78">'414'!$D$33:$D$42</definedName>
    <definedName name="OSRRefD21_1x_0" localSheetId="79">'415'!$D$36:$D$45</definedName>
    <definedName name="OSRRefD21_1x_0" localSheetId="80">'418'!$D$31:$D$40</definedName>
    <definedName name="OSRRefD21_1x_0" localSheetId="82">'423'!$D$28:$D$37</definedName>
    <definedName name="OSRRefD21_1x_0" localSheetId="83">'424'!$D$21</definedName>
    <definedName name="OSRRefD21_1x_0" localSheetId="84">'425'!$D$25</definedName>
    <definedName name="OSRRefD21_1x_0" localSheetId="87">'430'!$D$29:$D$38</definedName>
    <definedName name="OSRRefD21_1x_0" localSheetId="88">'433'!$D$37:$D$46</definedName>
    <definedName name="OSRRefD21_1x_0" localSheetId="90">'444'!$D$37:$D$46</definedName>
    <definedName name="OSRRefD21_1x_0" localSheetId="91">'450'!$D$33:$D$42</definedName>
    <definedName name="OSRRefD21_1x_0" localSheetId="72">'491'!$D$38:$D$47</definedName>
    <definedName name="OSRRefD21_1x_0" localSheetId="86">'492'!$D$37:$D$46</definedName>
    <definedName name="OSRRefD21_1x_0" localSheetId="93">'501'!$D$32:$D$41</definedName>
    <definedName name="OSRRefD21_1x_0" localSheetId="39">'Div 2'!$D$31:$D$40</definedName>
    <definedName name="OSRRefD21_1x_0" localSheetId="47">'Div 3'!$D$126:$D$135</definedName>
    <definedName name="OSRRefD21_1x_0" localSheetId="70">'Div 4'!$D$41:$D$50</definedName>
    <definedName name="OSRRefD21_1x_0" localSheetId="92">'Div 5'!$D$32:$D$41</definedName>
    <definedName name="OSRRefD21_1x_0" localSheetId="61">'Div 6'!$D$59:$D$68</definedName>
    <definedName name="OSRRefD21_1x_0" localSheetId="2">Summary!$D$153:$D$162</definedName>
    <definedName name="OSRRefD21_1x_1" localSheetId="40">'200'!$E$21</definedName>
    <definedName name="OSRRefD21_1x_1" localSheetId="41">'201'!$E$29:$E$38</definedName>
    <definedName name="OSRRefD21_1x_1" localSheetId="42">'202'!$E$29:$E$38</definedName>
    <definedName name="OSRRefD21_1x_1" localSheetId="43">'203'!$E$30:$E$39</definedName>
    <definedName name="OSRRefD21_1x_1" localSheetId="44">'204'!$E$30:$E$39</definedName>
    <definedName name="OSRRefD21_1x_1" localSheetId="45">'205'!$E$29:$E$38</definedName>
    <definedName name="OSRRefD21_1x_1" localSheetId="46">'206'!$E$29:$E$38</definedName>
    <definedName name="OSRRefD21_1x_1" localSheetId="48">'300'!$E$122:$E$131</definedName>
    <definedName name="OSRRefD21_1x_1" localSheetId="49">'300 &amp; 317'!$E$144:$E$153</definedName>
    <definedName name="OSRRefD21_1x_1" localSheetId="50">'301'!$E$29:$E$38</definedName>
    <definedName name="OSRRefD21_1x_1" localSheetId="52">'307'!$E$47:$E$56</definedName>
    <definedName name="OSRRefD21_1x_1" localSheetId="53">'308'!$E$64:$E$73</definedName>
    <definedName name="OSRRefD21_1x_1" localSheetId="64">'309'!$E$30:$E$39</definedName>
    <definedName name="OSRRefD21_1x_1" localSheetId="63">'310'!$E$36:$E$45</definedName>
    <definedName name="OSRRefD21_1x_1" localSheetId="71">'310 &amp; 491'!$E$41:$E$50</definedName>
    <definedName name="OSRRefD21_1x_1" localSheetId="54">'311'!$E$63:$E$72</definedName>
    <definedName name="OSRRefD21_1x_1" localSheetId="65">'313'!$E$30:$E$39</definedName>
    <definedName name="OSRRefD21_1x_1" localSheetId="57">'315'!$E$86:$E$95</definedName>
    <definedName name="OSRRefD21_1x_1" localSheetId="60">'316'!$E$39:$E$48</definedName>
    <definedName name="OSRRefD21_1x_1" localSheetId="62">'317'!$E$59:$E$68</definedName>
    <definedName name="OSRRefD21_1x_1" localSheetId="66">'321'!$E$32:$E$41</definedName>
    <definedName name="OSRRefD21_1x_1" localSheetId="67">'322'!$E$31:$E$40</definedName>
    <definedName name="OSRRefD21_1x_1" localSheetId="55">'324'!$E$35:$E$44</definedName>
    <definedName name="OSRRefD21_1x_1" localSheetId="68">'325'!$E$30:$E$39</definedName>
    <definedName name="OSRRefD21_1x_1" localSheetId="58">'326'!$E$53:$E$62</definedName>
    <definedName name="OSRRefD21_1x_1" localSheetId="51">'330'!$E$47:$E$56</definedName>
    <definedName name="OSRRefD21_1x_1" localSheetId="56">'331'!$E$86:$E$95</definedName>
    <definedName name="OSRRefD21_1x_1" localSheetId="59">'332'!$E$39:$E$48</definedName>
    <definedName name="OSRRefD21_1x_1" localSheetId="73">'405'!$E$31:$E$40</definedName>
    <definedName name="OSRRefD21_1x_1" localSheetId="74">'406'!$E$21</definedName>
    <definedName name="OSRRefD21_1x_1" localSheetId="75">'411'!$E$29:$E$38</definedName>
    <definedName name="OSRRefD21_1x_1" localSheetId="76">'412'!$E$30:$E$39</definedName>
    <definedName name="OSRRefD21_1x_1" localSheetId="77">'413'!$E$32:$E$41</definedName>
    <definedName name="OSRRefD21_1x_1" localSheetId="78">'414'!$E$33:$E$42</definedName>
    <definedName name="OSRRefD21_1x_1" localSheetId="79">'415'!$E$36:$E$45</definedName>
    <definedName name="OSRRefD21_1x_1" localSheetId="80">'418'!$E$31:$E$40</definedName>
    <definedName name="OSRRefD21_1x_1" localSheetId="82">'423'!$E$28:$E$37</definedName>
    <definedName name="OSRRefD21_1x_1" localSheetId="83">'424'!$E$21</definedName>
    <definedName name="OSRRefD21_1x_1" localSheetId="84">'425'!$E$25</definedName>
    <definedName name="OSRRefD21_1x_1" localSheetId="87">'430'!$E$29:$E$38</definedName>
    <definedName name="OSRRefD21_1x_1" localSheetId="88">'433'!$E$37:$E$46</definedName>
    <definedName name="OSRRefD21_1x_1" localSheetId="90">'444'!$E$37:$E$46</definedName>
    <definedName name="OSRRefD21_1x_1" localSheetId="91">'450'!$E$33:$E$42</definedName>
    <definedName name="OSRRefD21_1x_1" localSheetId="72">'491'!$E$38:$E$47</definedName>
    <definedName name="OSRRefD21_1x_1" localSheetId="86">'492'!$E$37:$E$46</definedName>
    <definedName name="OSRRefD21_1x_1" localSheetId="93">'501'!$E$32:$E$41</definedName>
    <definedName name="OSRRefD21_1x_1" localSheetId="39">'Div 2'!$E$31:$E$40</definedName>
    <definedName name="OSRRefD21_1x_1" localSheetId="47">'Div 3'!$E$126:$E$135</definedName>
    <definedName name="OSRRefD21_1x_1" localSheetId="70">'Div 4'!$E$41:$E$50</definedName>
    <definedName name="OSRRefD21_1x_1" localSheetId="92">'Div 5'!$E$32:$E$41</definedName>
    <definedName name="OSRRefD21_1x_1" localSheetId="61">'Div 6'!$E$59:$E$68</definedName>
    <definedName name="OSRRefD21_1x_1" localSheetId="2">Summary!$E$153:$E$162</definedName>
    <definedName name="OSRRefD21_1x_2" localSheetId="40">'200'!$F$21</definedName>
    <definedName name="OSRRefD21_1x_2" localSheetId="41">'201'!$F$29:$F$38</definedName>
    <definedName name="OSRRefD21_1x_2" localSheetId="42">'202'!$F$29:$F$38</definedName>
    <definedName name="OSRRefD21_1x_2" localSheetId="43">'203'!$F$30:$F$39</definedName>
    <definedName name="OSRRefD21_1x_2" localSheetId="44">'204'!$F$30:$F$39</definedName>
    <definedName name="OSRRefD21_1x_2" localSheetId="45">'205'!$F$29:$F$38</definedName>
    <definedName name="OSRRefD21_1x_2" localSheetId="46">'206'!$F$29:$F$38</definedName>
    <definedName name="OSRRefD21_1x_2" localSheetId="48">'300'!$F$122:$F$131</definedName>
    <definedName name="OSRRefD21_1x_2" localSheetId="49">'300 &amp; 317'!$F$144:$F$153</definedName>
    <definedName name="OSRRefD21_1x_2" localSheetId="50">'301'!$F$29:$F$38</definedName>
    <definedName name="OSRRefD21_1x_2" localSheetId="52">'307'!$F$47:$F$56</definedName>
    <definedName name="OSRRefD21_1x_2" localSheetId="53">'308'!$F$64:$F$73</definedName>
    <definedName name="OSRRefD21_1x_2" localSheetId="64">'309'!$F$30:$F$39</definedName>
    <definedName name="OSRRefD21_1x_2" localSheetId="63">'310'!$F$36:$F$45</definedName>
    <definedName name="OSRRefD21_1x_2" localSheetId="71">'310 &amp; 491'!$F$41:$F$50</definedName>
    <definedName name="OSRRefD21_1x_2" localSheetId="54">'311'!$F$63:$F$72</definedName>
    <definedName name="OSRRefD21_1x_2" localSheetId="65">'313'!$F$30:$F$39</definedName>
    <definedName name="OSRRefD21_1x_2" localSheetId="57">'315'!$F$86:$F$95</definedName>
    <definedName name="OSRRefD21_1x_2" localSheetId="60">'316'!$F$39:$F$48</definedName>
    <definedName name="OSRRefD21_1x_2" localSheetId="62">'317'!$F$59:$F$68</definedName>
    <definedName name="OSRRefD21_1x_2" localSheetId="66">'321'!$F$32:$F$41</definedName>
    <definedName name="OSRRefD21_1x_2" localSheetId="67">'322'!$F$31:$F$40</definedName>
    <definedName name="OSRRefD21_1x_2" localSheetId="55">'324'!$F$35:$F$44</definedName>
    <definedName name="OSRRefD21_1x_2" localSheetId="68">'325'!$F$30:$F$39</definedName>
    <definedName name="OSRRefD21_1x_2" localSheetId="58">'326'!$F$53:$F$62</definedName>
    <definedName name="OSRRefD21_1x_2" localSheetId="51">'330'!$F$47:$F$56</definedName>
    <definedName name="OSRRefD21_1x_2" localSheetId="56">'331'!$F$86:$F$95</definedName>
    <definedName name="OSRRefD21_1x_2" localSheetId="59">'332'!$F$39:$F$48</definedName>
    <definedName name="OSRRefD21_1x_2" localSheetId="73">'405'!$F$31:$F$40</definedName>
    <definedName name="OSRRefD21_1x_2" localSheetId="74">'406'!$F$21</definedName>
    <definedName name="OSRRefD21_1x_2" localSheetId="75">'411'!$F$29:$F$38</definedName>
    <definedName name="OSRRefD21_1x_2" localSheetId="76">'412'!$F$30:$F$39</definedName>
    <definedName name="OSRRefD21_1x_2" localSheetId="77">'413'!$F$32:$F$41</definedName>
    <definedName name="OSRRefD21_1x_2" localSheetId="78">'414'!$F$33:$F$42</definedName>
    <definedName name="OSRRefD21_1x_2" localSheetId="79">'415'!$F$36:$F$45</definedName>
    <definedName name="OSRRefD21_1x_2" localSheetId="80">'418'!$F$31:$F$40</definedName>
    <definedName name="OSRRefD21_1x_2" localSheetId="82">'423'!$F$28:$F$37</definedName>
    <definedName name="OSRRefD21_1x_2" localSheetId="83">'424'!$F$21</definedName>
    <definedName name="OSRRefD21_1x_2" localSheetId="84">'425'!$F$25</definedName>
    <definedName name="OSRRefD21_1x_2" localSheetId="87">'430'!$F$29:$F$38</definedName>
    <definedName name="OSRRefD21_1x_2" localSheetId="88">'433'!$F$37:$F$46</definedName>
    <definedName name="OSRRefD21_1x_2" localSheetId="90">'444'!$F$37:$F$46</definedName>
    <definedName name="OSRRefD21_1x_2" localSheetId="91">'450'!$F$33:$F$42</definedName>
    <definedName name="OSRRefD21_1x_2" localSheetId="72">'491'!$F$38:$F$47</definedName>
    <definedName name="OSRRefD21_1x_2" localSheetId="86">'492'!$F$37:$F$46</definedName>
    <definedName name="OSRRefD21_1x_2" localSheetId="93">'501'!$F$32:$F$41</definedName>
    <definedName name="OSRRefD21_1x_2" localSheetId="39">'Div 2'!$F$31:$F$40</definedName>
    <definedName name="OSRRefD21_1x_2" localSheetId="47">'Div 3'!$F$126:$F$135</definedName>
    <definedName name="OSRRefD21_1x_2" localSheetId="70">'Div 4'!$F$41:$F$50</definedName>
    <definedName name="OSRRefD21_1x_2" localSheetId="92">'Div 5'!$F$32:$F$41</definedName>
    <definedName name="OSRRefD21_1x_2" localSheetId="61">'Div 6'!$F$59:$F$68</definedName>
    <definedName name="OSRRefD21_1x_2" localSheetId="2">Summary!$F$153:$F$162</definedName>
    <definedName name="OSRRefD21_1x_3" localSheetId="40">'200'!$G$21</definedName>
    <definedName name="OSRRefD21_1x_3" localSheetId="41">'201'!$G$29:$G$38</definedName>
    <definedName name="OSRRefD21_1x_3" localSheetId="42">'202'!$G$29:$G$38</definedName>
    <definedName name="OSRRefD21_1x_3" localSheetId="43">'203'!$G$30:$G$39</definedName>
    <definedName name="OSRRefD21_1x_3" localSheetId="44">'204'!$G$30:$G$39</definedName>
    <definedName name="OSRRefD21_1x_3" localSheetId="45">'205'!$G$29:$G$38</definedName>
    <definedName name="OSRRefD21_1x_3" localSheetId="46">'206'!$G$29:$G$38</definedName>
    <definedName name="OSRRefD21_1x_3" localSheetId="48">'300'!$G$122:$G$131</definedName>
    <definedName name="OSRRefD21_1x_3" localSheetId="49">'300 &amp; 317'!$G$144:$G$153</definedName>
    <definedName name="OSRRefD21_1x_3" localSheetId="50">'301'!$G$29:$G$38</definedName>
    <definedName name="OSRRefD21_1x_3" localSheetId="52">'307'!$G$47:$G$56</definedName>
    <definedName name="OSRRefD21_1x_3" localSheetId="53">'308'!$G$64:$G$73</definedName>
    <definedName name="OSRRefD21_1x_3" localSheetId="64">'309'!$G$30:$G$39</definedName>
    <definedName name="OSRRefD21_1x_3" localSheetId="63">'310'!$G$36:$G$45</definedName>
    <definedName name="OSRRefD21_1x_3" localSheetId="71">'310 &amp; 491'!$G$41:$G$50</definedName>
    <definedName name="OSRRefD21_1x_3" localSheetId="54">'311'!$G$63:$G$72</definedName>
    <definedName name="OSRRefD21_1x_3" localSheetId="65">'313'!$G$30:$G$39</definedName>
    <definedName name="OSRRefD21_1x_3" localSheetId="57">'315'!$G$86:$G$95</definedName>
    <definedName name="OSRRefD21_1x_3" localSheetId="60">'316'!$G$39:$G$48</definedName>
    <definedName name="OSRRefD21_1x_3" localSheetId="62">'317'!$G$59:$G$68</definedName>
    <definedName name="OSRRefD21_1x_3" localSheetId="66">'321'!$G$32:$G$41</definedName>
    <definedName name="OSRRefD21_1x_3" localSheetId="67">'322'!$G$31:$G$40</definedName>
    <definedName name="OSRRefD21_1x_3" localSheetId="55">'324'!$G$35:$G$44</definedName>
    <definedName name="OSRRefD21_1x_3" localSheetId="68">'325'!$G$30:$G$39</definedName>
    <definedName name="OSRRefD21_1x_3" localSheetId="58">'326'!$G$53:$G$62</definedName>
    <definedName name="OSRRefD21_1x_3" localSheetId="51">'330'!$G$47:$G$56</definedName>
    <definedName name="OSRRefD21_1x_3" localSheetId="56">'331'!$G$86:$G$95</definedName>
    <definedName name="OSRRefD21_1x_3" localSheetId="59">'332'!$G$39:$G$48</definedName>
    <definedName name="OSRRefD21_1x_3" localSheetId="73">'405'!$G$31:$G$40</definedName>
    <definedName name="OSRRefD21_1x_3" localSheetId="74">'406'!$G$21</definedName>
    <definedName name="OSRRefD21_1x_3" localSheetId="75">'411'!$G$29:$G$38</definedName>
    <definedName name="OSRRefD21_1x_3" localSheetId="76">'412'!$G$30:$G$39</definedName>
    <definedName name="OSRRefD21_1x_3" localSheetId="77">'413'!$G$32:$G$41</definedName>
    <definedName name="OSRRefD21_1x_3" localSheetId="78">'414'!$G$33:$G$42</definedName>
    <definedName name="OSRRefD21_1x_3" localSheetId="79">'415'!$G$36:$G$45</definedName>
    <definedName name="OSRRefD21_1x_3" localSheetId="80">'418'!$G$31:$G$40</definedName>
    <definedName name="OSRRefD21_1x_3" localSheetId="82">'423'!$G$28:$G$37</definedName>
    <definedName name="OSRRefD21_1x_3" localSheetId="83">'424'!$G$21</definedName>
    <definedName name="OSRRefD21_1x_3" localSheetId="84">'425'!$G$25</definedName>
    <definedName name="OSRRefD21_1x_3" localSheetId="87">'430'!$G$29:$G$38</definedName>
    <definedName name="OSRRefD21_1x_3" localSheetId="88">'433'!$G$37:$G$46</definedName>
    <definedName name="OSRRefD21_1x_3" localSheetId="90">'444'!$G$37:$G$46</definedName>
    <definedName name="OSRRefD21_1x_3" localSheetId="91">'450'!$G$33:$G$42</definedName>
    <definedName name="OSRRefD21_1x_3" localSheetId="72">'491'!$G$38:$G$47</definedName>
    <definedName name="OSRRefD21_1x_3" localSheetId="86">'492'!$G$37:$G$46</definedName>
    <definedName name="OSRRefD21_1x_3" localSheetId="93">'501'!$G$32:$G$41</definedName>
    <definedName name="OSRRefD21_1x_3" localSheetId="39">'Div 2'!$G$31:$G$40</definedName>
    <definedName name="OSRRefD21_1x_3" localSheetId="47">'Div 3'!$G$126:$G$135</definedName>
    <definedName name="OSRRefD21_1x_3" localSheetId="70">'Div 4'!$G$41:$G$50</definedName>
    <definedName name="OSRRefD21_1x_3" localSheetId="92">'Div 5'!$G$32:$G$41</definedName>
    <definedName name="OSRRefD21_1x_3" localSheetId="61">'Div 6'!$G$59:$G$68</definedName>
    <definedName name="OSRRefD21_1x_3" localSheetId="2">Summary!$G$153:$G$162</definedName>
    <definedName name="OSRRefD21_2_0x" localSheetId="40">'200'!$D$23:$G$23</definedName>
    <definedName name="OSRRefD21_2_0x" localSheetId="41">'201'!$D$40:$G$40</definedName>
    <definedName name="OSRRefD21_2_0x" localSheetId="42">'202'!$D$40:$G$40</definedName>
    <definedName name="OSRRefD21_2_0x" localSheetId="43">'203'!$D$41:$G$41</definedName>
    <definedName name="OSRRefD21_2_0x" localSheetId="44">'204'!$D$41:$G$41</definedName>
    <definedName name="OSRRefD21_2_0x" localSheetId="45">'205'!$D$40:$G$40</definedName>
    <definedName name="OSRRefD21_2_0x" localSheetId="46">'206'!$D$40:$G$40</definedName>
    <definedName name="OSRRefD21_2_0x" localSheetId="48">'300'!$D$133:$G$133</definedName>
    <definedName name="OSRRefD21_2_0x" localSheetId="49">'300 &amp; 317'!$D$155:$G$155</definedName>
    <definedName name="OSRRefD21_2_0x" localSheetId="50">'301'!$D$40:$G$40</definedName>
    <definedName name="OSRRefD21_2_0x" localSheetId="52">'307'!$D$58:$G$58</definedName>
    <definedName name="OSRRefD21_2_0x" localSheetId="53">'308'!$D$75:$G$75</definedName>
    <definedName name="OSRRefD21_2_0x" localSheetId="64">'309'!$D$41:$G$41</definedName>
    <definedName name="OSRRefD21_2_0x" localSheetId="63">'310'!$D$47:$G$47</definedName>
    <definedName name="OSRRefD21_2_0x" localSheetId="71">'310 &amp; 491'!$D$52:$G$52</definedName>
    <definedName name="OSRRefD21_2_0x" localSheetId="54">'311'!$D$74:$G$74</definedName>
    <definedName name="OSRRefD21_2_0x" localSheetId="65">'313'!$D$41:$G$41</definedName>
    <definedName name="OSRRefD21_2_0x" localSheetId="57">'315'!$D$97:$G$97</definedName>
    <definedName name="OSRRefD21_2_0x" localSheetId="60">'316'!$D$50:$G$50</definedName>
    <definedName name="OSRRefD21_2_0x" localSheetId="62">'317'!$D$70:$G$70</definedName>
    <definedName name="OSRRefD21_2_0x" localSheetId="66">'321'!$D$43:$G$43</definedName>
    <definedName name="OSRRefD21_2_0x" localSheetId="67">'322'!$D$42:$G$42</definedName>
    <definedName name="OSRRefD21_2_0x" localSheetId="68">'325'!$D$41:$G$41</definedName>
    <definedName name="OSRRefD21_2_0x" localSheetId="58">'326'!$D$64:$G$64</definedName>
    <definedName name="OSRRefD21_2_0x" localSheetId="51">'330'!$D$58:$G$58</definedName>
    <definedName name="OSRRefD21_2_0x" localSheetId="56">'331'!$D$97:$G$97</definedName>
    <definedName name="OSRRefD21_2_0x" localSheetId="59">'332'!$D$50:$G$50</definedName>
    <definedName name="OSRRefD21_2_0x" localSheetId="73">'405'!$D$42:$G$42</definedName>
    <definedName name="OSRRefD21_2_0x" localSheetId="74">'406'!$D$23:$G$23</definedName>
    <definedName name="OSRRefD21_2_0x" localSheetId="75">'411'!$D$40:$G$40</definedName>
    <definedName name="OSRRefD21_2_0x" localSheetId="76">'412'!$D$41:$G$41</definedName>
    <definedName name="OSRRefD21_2_0x" localSheetId="77">'413'!$D$43:$G$43</definedName>
    <definedName name="OSRRefD21_2_0x" localSheetId="78">'414'!$D$44:$G$44</definedName>
    <definedName name="OSRRefD21_2_0x" localSheetId="79">'415'!$D$47:$G$47</definedName>
    <definedName name="OSRRefD21_2_0x" localSheetId="80">'418'!$D$42:$G$42</definedName>
    <definedName name="OSRRefD21_2_0x" localSheetId="82">'423'!$D$39:$G$39</definedName>
    <definedName name="OSRRefD21_2_0x" localSheetId="83">'424'!$D$23:$G$23</definedName>
    <definedName name="OSRRefD21_2_0x" localSheetId="84">'425'!$D$27:$G$27</definedName>
    <definedName name="OSRRefD21_2_0x" localSheetId="87">'430'!$D$40:$G$40</definedName>
    <definedName name="OSRRefD21_2_0x" localSheetId="88">'433'!$D$48:$G$48</definedName>
    <definedName name="OSRRefD21_2_0x" localSheetId="90">'444'!$D$48:$G$48</definedName>
    <definedName name="OSRRefD21_2_0x" localSheetId="91">'450'!$D$44:$G$44</definedName>
    <definedName name="OSRRefD21_2_0x" localSheetId="72">'491'!$D$49:$G$49</definedName>
    <definedName name="OSRRefD21_2_0x" localSheetId="86">'492'!$D$48:$G$48</definedName>
    <definedName name="OSRRefD21_2_0x" localSheetId="93">'501'!$D$43:$G$43</definedName>
    <definedName name="OSRRefD21_2_0x" localSheetId="39">'Div 2'!$D$42:$G$42</definedName>
    <definedName name="OSRRefD21_2_0x" localSheetId="47">'Div 3'!$D$137:$G$137</definedName>
    <definedName name="OSRRefD21_2_0x" localSheetId="70">'Div 4'!$D$52:$G$52</definedName>
    <definedName name="OSRRefD21_2_0x" localSheetId="92">'Div 5'!$D$43:$G$43</definedName>
    <definedName name="OSRRefD21_2_0x" localSheetId="61">'Div 6'!$D$70:$G$70</definedName>
    <definedName name="OSRRefD21_2_0x" localSheetId="2">Summary!$D$164:$G$164</definedName>
    <definedName name="OSRRefD21_2_1x" localSheetId="50">'301'!$D$41:$G$41</definedName>
    <definedName name="OSRRefD21_20_0x" localSheetId="48">'300'!$D$184:$G$184</definedName>
    <definedName name="OSRRefD21_20_0x" localSheetId="49">'300 &amp; 317'!$D$206:$G$206</definedName>
    <definedName name="OSRRefD21_20_0x" localSheetId="50">'301'!$D$89:$G$89</definedName>
    <definedName name="OSRRefD21_20_0x" localSheetId="71">'310 &amp; 491'!$D$110:$G$110</definedName>
    <definedName name="OSRRefD21_20_0x" localSheetId="56">'331'!$D$148:$G$148</definedName>
    <definedName name="OSRRefD21_20_0x" localSheetId="72">'491'!$D$106:$G$106</definedName>
    <definedName name="OSRRefD21_20_0x" localSheetId="47">'Div 3'!$D$187:$G$187</definedName>
    <definedName name="OSRRefD21_20_0x" localSheetId="70">'Div 4'!$D$109:$G$109</definedName>
    <definedName name="OSRRefD21_20_0x" localSheetId="2">Summary!$D$212:$G$212</definedName>
    <definedName name="OSRRefD21_20_1x" localSheetId="48">'300'!$D$185:$G$185</definedName>
    <definedName name="OSRRefD21_20_1x" localSheetId="49">'300 &amp; 317'!$D$207:$G$207</definedName>
    <definedName name="OSRRefD21_20_1x" localSheetId="56">'331'!$D$149:$G$149</definedName>
    <definedName name="OSRRefD21_20_1x" localSheetId="47">'Div 3'!$D$188:$G$188</definedName>
    <definedName name="OSRRefD21_20_1x" localSheetId="70">'Div 4'!$D$110:$G$110</definedName>
    <definedName name="OSRRefD21_20_1x" localSheetId="2">Summary!$D$213:$G$213</definedName>
    <definedName name="OSRRefD21_20_2x" localSheetId="48">'300'!$D$186:$G$186</definedName>
    <definedName name="OSRRefD21_20_2x" localSheetId="49">'300 &amp; 317'!$D$208:$G$208</definedName>
    <definedName name="OSRRefD21_20_2x" localSheetId="2">Summary!$D$214:$G$214</definedName>
    <definedName name="OSRRefD21_20_3x" localSheetId="48">'300'!$D$187:$G$187</definedName>
    <definedName name="OSRRefD21_20_3x" localSheetId="49">'300 &amp; 317'!$D$209:$G$209</definedName>
    <definedName name="OSRRefD21_20_3x" localSheetId="2">Summary!$D$215:$G$215</definedName>
    <definedName name="OSRRefD21_20_4x" localSheetId="48">'300'!$D$188:$G$188</definedName>
    <definedName name="OSRRefD21_20_4x" localSheetId="49">'300 &amp; 317'!$D$210:$G$210</definedName>
    <definedName name="OSRRefD21_20_4x" localSheetId="2">Summary!$D$216:$G$216</definedName>
    <definedName name="OSRRefD21_20_5x" localSheetId="48">'300'!$D$189:$G$189</definedName>
    <definedName name="OSRRefD21_20_5x" localSheetId="49">'300 &amp; 317'!$D$211:$G$211</definedName>
    <definedName name="OSRRefD21_20_6x" localSheetId="48">'300'!$D$190:$G$190</definedName>
    <definedName name="OSRRefD21_20_6x" localSheetId="49">'300 &amp; 317'!$D$212:$G$212</definedName>
    <definedName name="OSRRefD21_20_7x" localSheetId="48">'300'!$D$191:$G$191</definedName>
    <definedName name="OSRRefD21_20_7x" localSheetId="49">'300 &amp; 317'!$D$213:$G$213</definedName>
    <definedName name="OSRRefD21_20_8x" localSheetId="48">'300'!$D$192:$G$192</definedName>
    <definedName name="OSRRefD21_20_8x" localSheetId="49">'300 &amp; 317'!$D$214:$G$214</definedName>
    <definedName name="OSRRefD21_20x_0" localSheetId="48">'300'!$D$184:$D$192</definedName>
    <definedName name="OSRRefD21_20x_0" localSheetId="49">'300 &amp; 317'!$D$206:$D$214</definedName>
    <definedName name="OSRRefD21_20x_0" localSheetId="50">'301'!$D$89</definedName>
    <definedName name="OSRRefD21_20x_0" localSheetId="71">'310 &amp; 491'!$D$110</definedName>
    <definedName name="OSRRefD21_20x_0" localSheetId="56">'331'!$D$148:$D$149</definedName>
    <definedName name="OSRRefD21_20x_0" localSheetId="72">'491'!$D$106</definedName>
    <definedName name="OSRRefD21_20x_0" localSheetId="47">'Div 3'!$D$187:$D$188</definedName>
    <definedName name="OSRRefD21_20x_0" localSheetId="70">'Div 4'!$D$109:$D$110</definedName>
    <definedName name="OSRRefD21_20x_0" localSheetId="2">Summary!$D$212:$D$216</definedName>
    <definedName name="OSRRefD21_20x_1" localSheetId="48">'300'!$E$184:$E$192</definedName>
    <definedName name="OSRRefD21_20x_1" localSheetId="49">'300 &amp; 317'!$E$206:$E$214</definedName>
    <definedName name="OSRRefD21_20x_1" localSheetId="50">'301'!$E$89</definedName>
    <definedName name="OSRRefD21_20x_1" localSheetId="71">'310 &amp; 491'!$E$110</definedName>
    <definedName name="OSRRefD21_20x_1" localSheetId="56">'331'!$E$148:$E$149</definedName>
    <definedName name="OSRRefD21_20x_1" localSheetId="72">'491'!$E$106</definedName>
    <definedName name="OSRRefD21_20x_1" localSheetId="47">'Div 3'!$E$187:$E$188</definedName>
    <definedName name="OSRRefD21_20x_1" localSheetId="70">'Div 4'!$E$109:$E$110</definedName>
    <definedName name="OSRRefD21_20x_1" localSheetId="2">Summary!$E$212:$E$216</definedName>
    <definedName name="OSRRefD21_20x_2" localSheetId="48">'300'!$F$184:$F$192</definedName>
    <definedName name="OSRRefD21_20x_2" localSheetId="49">'300 &amp; 317'!$F$206:$F$214</definedName>
    <definedName name="OSRRefD21_20x_2" localSheetId="50">'301'!$F$89</definedName>
    <definedName name="OSRRefD21_20x_2" localSheetId="71">'310 &amp; 491'!$F$110</definedName>
    <definedName name="OSRRefD21_20x_2" localSheetId="56">'331'!$F$148:$F$149</definedName>
    <definedName name="OSRRefD21_20x_2" localSheetId="72">'491'!$F$106</definedName>
    <definedName name="OSRRefD21_20x_2" localSheetId="47">'Div 3'!$F$187:$F$188</definedName>
    <definedName name="OSRRefD21_20x_2" localSheetId="70">'Div 4'!$F$109:$F$110</definedName>
    <definedName name="OSRRefD21_20x_2" localSheetId="2">Summary!$F$212:$F$216</definedName>
    <definedName name="OSRRefD21_20x_3" localSheetId="48">'300'!$G$184:$G$192</definedName>
    <definedName name="OSRRefD21_20x_3" localSheetId="49">'300 &amp; 317'!$G$206:$G$214</definedName>
    <definedName name="OSRRefD21_20x_3" localSheetId="50">'301'!$G$89</definedName>
    <definedName name="OSRRefD21_20x_3" localSheetId="71">'310 &amp; 491'!$G$110</definedName>
    <definedName name="OSRRefD21_20x_3" localSheetId="56">'331'!$G$148:$G$149</definedName>
    <definedName name="OSRRefD21_20x_3" localSheetId="72">'491'!$G$106</definedName>
    <definedName name="OSRRefD21_20x_3" localSheetId="47">'Div 3'!$G$187:$G$188</definedName>
    <definedName name="OSRRefD21_20x_3" localSheetId="70">'Div 4'!$G$109:$G$110</definedName>
    <definedName name="OSRRefD21_20x_3" localSheetId="2">Summary!$G$212:$G$216</definedName>
    <definedName name="OSRRefD21_21_0x" localSheetId="48">'300'!$D$194:$G$194</definedName>
    <definedName name="OSRRefD21_21_0x" localSheetId="49">'300 &amp; 317'!$D$216:$G$216</definedName>
    <definedName name="OSRRefD21_21_0x" localSheetId="71">'310 &amp; 491'!$D$112:$G$112</definedName>
    <definedName name="OSRRefD21_21_0x" localSheetId="56">'331'!$D$151:$G$151</definedName>
    <definedName name="OSRRefD21_21_0x" localSheetId="72">'491'!$D$108:$G$108</definedName>
    <definedName name="OSRRefD21_21_0x" localSheetId="47">'Div 3'!$D$190:$G$190</definedName>
    <definedName name="OSRRefD21_21_0x" localSheetId="70">'Div 4'!$D$112:$G$112</definedName>
    <definedName name="OSRRefD21_21_0x" localSheetId="2">Summary!$D$218:$G$218</definedName>
    <definedName name="OSRRefD21_21_1x" localSheetId="48">'300'!$D$195:$G$195</definedName>
    <definedName name="OSRRefD21_21_1x" localSheetId="49">'300 &amp; 317'!$D$217:$G$217</definedName>
    <definedName name="OSRRefD21_21_1x" localSheetId="47">'Div 3'!$D$191:$G$191</definedName>
    <definedName name="OSRRefD21_21_1x" localSheetId="2">Summary!$D$219:$G$219</definedName>
    <definedName name="OSRRefD21_21_2x" localSheetId="47">'Div 3'!$D$192:$G$192</definedName>
    <definedName name="OSRRefD21_21_3x" localSheetId="47">'Div 3'!$D$193:$G$193</definedName>
    <definedName name="OSRRefD21_21_4x" localSheetId="47">'Div 3'!$D$194:$G$194</definedName>
    <definedName name="OSRRefD21_21_5x" localSheetId="47">'Div 3'!$D$195:$G$195</definedName>
    <definedName name="OSRRefD21_21_6x" localSheetId="47">'Div 3'!$D$196:$G$196</definedName>
    <definedName name="OSRRefD21_21_7x" localSheetId="47">'Div 3'!$D$197:$G$197</definedName>
    <definedName name="OSRRefD21_21_8x" localSheetId="47">'Div 3'!$D$198:$G$198</definedName>
    <definedName name="OSRRefD21_21x_0" localSheetId="48">'300'!$D$194:$D$195</definedName>
    <definedName name="OSRRefD21_21x_0" localSheetId="49">'300 &amp; 317'!$D$216:$D$217</definedName>
    <definedName name="OSRRefD21_21x_0" localSheetId="71">'310 &amp; 491'!$D$112</definedName>
    <definedName name="OSRRefD21_21x_0" localSheetId="56">'331'!$D$151</definedName>
    <definedName name="OSRRefD21_21x_0" localSheetId="72">'491'!$D$108</definedName>
    <definedName name="OSRRefD21_21x_0" localSheetId="47">'Div 3'!$D$190:$D$198</definedName>
    <definedName name="OSRRefD21_21x_0" localSheetId="70">'Div 4'!$D$112</definedName>
    <definedName name="OSRRefD21_21x_0" localSheetId="2">Summary!$D$218:$D$219</definedName>
    <definedName name="OSRRefD21_21x_1" localSheetId="48">'300'!$E$194:$E$195</definedName>
    <definedName name="OSRRefD21_21x_1" localSheetId="49">'300 &amp; 317'!$E$216:$E$217</definedName>
    <definedName name="OSRRefD21_21x_1" localSheetId="71">'310 &amp; 491'!$E$112</definedName>
    <definedName name="OSRRefD21_21x_1" localSheetId="56">'331'!$E$151</definedName>
    <definedName name="OSRRefD21_21x_1" localSheetId="72">'491'!$E$108</definedName>
    <definedName name="OSRRefD21_21x_1" localSheetId="47">'Div 3'!$E$190:$E$198</definedName>
    <definedName name="OSRRefD21_21x_1" localSheetId="70">'Div 4'!$E$112</definedName>
    <definedName name="OSRRefD21_21x_1" localSheetId="2">Summary!$E$218:$E$219</definedName>
    <definedName name="OSRRefD21_21x_2" localSheetId="48">'300'!$F$194:$F$195</definedName>
    <definedName name="OSRRefD21_21x_2" localSheetId="49">'300 &amp; 317'!$F$216:$F$217</definedName>
    <definedName name="OSRRefD21_21x_2" localSheetId="71">'310 &amp; 491'!$F$112</definedName>
    <definedName name="OSRRefD21_21x_2" localSheetId="56">'331'!$F$151</definedName>
    <definedName name="OSRRefD21_21x_2" localSheetId="72">'491'!$F$108</definedName>
    <definedName name="OSRRefD21_21x_2" localSheetId="47">'Div 3'!$F$190:$F$198</definedName>
    <definedName name="OSRRefD21_21x_2" localSheetId="70">'Div 4'!$F$112</definedName>
    <definedName name="OSRRefD21_21x_2" localSheetId="2">Summary!$F$218:$F$219</definedName>
    <definedName name="OSRRefD21_21x_3" localSheetId="48">'300'!$G$194:$G$195</definedName>
    <definedName name="OSRRefD21_21x_3" localSheetId="49">'300 &amp; 317'!$G$216:$G$217</definedName>
    <definedName name="OSRRefD21_21x_3" localSheetId="71">'310 &amp; 491'!$G$112</definedName>
    <definedName name="OSRRefD21_21x_3" localSheetId="56">'331'!$G$151</definedName>
    <definedName name="OSRRefD21_21x_3" localSheetId="72">'491'!$G$108</definedName>
    <definedName name="OSRRefD21_21x_3" localSheetId="47">'Div 3'!$G$190:$G$198</definedName>
    <definedName name="OSRRefD21_21x_3" localSheetId="70">'Div 4'!$G$112</definedName>
    <definedName name="OSRRefD21_21x_3" localSheetId="2">Summary!$G$218:$G$219</definedName>
    <definedName name="OSRRefD21_22_0x" localSheetId="48">'300'!$D$197:$G$197</definedName>
    <definedName name="OSRRefD21_22_0x" localSheetId="49">'300 &amp; 317'!$D$219:$G$219</definedName>
    <definedName name="OSRRefD21_22_0x" localSheetId="71">'310 &amp; 491'!$D$114:$G$114</definedName>
    <definedName name="OSRRefD21_22_0x" localSheetId="72">'491'!$D$110:$G$110</definedName>
    <definedName name="OSRRefD21_22_0x" localSheetId="47">'Div 3'!$D$200:$G$200</definedName>
    <definedName name="OSRRefD21_22_0x" localSheetId="70">'Div 4'!$D$114:$G$114</definedName>
    <definedName name="OSRRefD21_22_0x" localSheetId="2">Summary!$D$221:$G$221</definedName>
    <definedName name="OSRRefD21_22_10x" localSheetId="2">Summary!$D$231:$G$231</definedName>
    <definedName name="OSRRefD21_22_1x" localSheetId="47">'Div 3'!$D$201:$G$201</definedName>
    <definedName name="OSRRefD21_22_1x" localSheetId="70">'Div 4'!$D$115:$G$115</definedName>
    <definedName name="OSRRefD21_22_1x" localSheetId="2">Summary!$D$222:$G$222</definedName>
    <definedName name="OSRRefD21_22_2x" localSheetId="2">Summary!$D$223:$G$223</definedName>
    <definedName name="OSRRefD21_22_3x" localSheetId="2">Summary!$D$224:$G$224</definedName>
    <definedName name="OSRRefD21_22_4x" localSheetId="2">Summary!$D$225:$G$225</definedName>
    <definedName name="OSRRefD21_22_5x" localSheetId="2">Summary!$D$226:$G$226</definedName>
    <definedName name="OSRRefD21_22_6x" localSheetId="2">Summary!$D$227:$G$227</definedName>
    <definedName name="OSRRefD21_22_7x" localSheetId="2">Summary!$D$228:$G$228</definedName>
    <definedName name="OSRRefD21_22_8x" localSheetId="2">Summary!$D$229:$G$229</definedName>
    <definedName name="OSRRefD21_22_9x" localSheetId="2">Summary!$D$230:$G$230</definedName>
    <definedName name="OSRRefD21_22x_0" localSheetId="48">'300'!$D$197</definedName>
    <definedName name="OSRRefD21_22x_0" localSheetId="49">'300 &amp; 317'!$D$219</definedName>
    <definedName name="OSRRefD21_22x_0" localSheetId="71">'310 &amp; 491'!$D$114</definedName>
    <definedName name="OSRRefD21_22x_0" localSheetId="72">'491'!$D$110</definedName>
    <definedName name="OSRRefD21_22x_0" localSheetId="47">'Div 3'!$D$200:$D$201</definedName>
    <definedName name="OSRRefD21_22x_0" localSheetId="70">'Div 4'!$D$114:$D$115</definedName>
    <definedName name="OSRRefD21_22x_0" localSheetId="2">Summary!$D$221:$D$231</definedName>
    <definedName name="OSRRefD21_22x_1" localSheetId="48">'300'!$E$197</definedName>
    <definedName name="OSRRefD21_22x_1" localSheetId="49">'300 &amp; 317'!$E$219</definedName>
    <definedName name="OSRRefD21_22x_1" localSheetId="71">'310 &amp; 491'!$E$114</definedName>
    <definedName name="OSRRefD21_22x_1" localSheetId="72">'491'!$E$110</definedName>
    <definedName name="OSRRefD21_22x_1" localSheetId="47">'Div 3'!$E$200:$E$201</definedName>
    <definedName name="OSRRefD21_22x_1" localSheetId="70">'Div 4'!$E$114:$E$115</definedName>
    <definedName name="OSRRefD21_22x_1" localSheetId="2">Summary!$E$221:$E$231</definedName>
    <definedName name="OSRRefD21_22x_2" localSheetId="48">'300'!$F$197</definedName>
    <definedName name="OSRRefD21_22x_2" localSheetId="49">'300 &amp; 317'!$F$219</definedName>
    <definedName name="OSRRefD21_22x_2" localSheetId="71">'310 &amp; 491'!$F$114</definedName>
    <definedName name="OSRRefD21_22x_2" localSheetId="72">'491'!$F$110</definedName>
    <definedName name="OSRRefD21_22x_2" localSheetId="47">'Div 3'!$F$200:$F$201</definedName>
    <definedName name="OSRRefD21_22x_2" localSheetId="70">'Div 4'!$F$114:$F$115</definedName>
    <definedName name="OSRRefD21_22x_2" localSheetId="2">Summary!$F$221:$F$231</definedName>
    <definedName name="OSRRefD21_22x_3" localSheetId="48">'300'!$G$197</definedName>
    <definedName name="OSRRefD21_22x_3" localSheetId="49">'300 &amp; 317'!$G$219</definedName>
    <definedName name="OSRRefD21_22x_3" localSheetId="71">'310 &amp; 491'!$G$114</definedName>
    <definedName name="OSRRefD21_22x_3" localSheetId="72">'491'!$G$110</definedName>
    <definedName name="OSRRefD21_22x_3" localSheetId="47">'Div 3'!$G$200:$G$201</definedName>
    <definedName name="OSRRefD21_22x_3" localSheetId="70">'Div 4'!$G$114:$G$115</definedName>
    <definedName name="OSRRefD21_22x_3" localSheetId="2">Summary!$G$221:$G$231</definedName>
    <definedName name="OSRRefD21_23_0x" localSheetId="48">'300'!$D$199:$G$199</definedName>
    <definedName name="OSRRefD21_23_0x" localSheetId="49">'300 &amp; 317'!$D$221:$G$221</definedName>
    <definedName name="OSRRefD21_23_0x" localSheetId="47">'Div 3'!$D$203:$G$203</definedName>
    <definedName name="OSRRefD21_23_0x" localSheetId="70">'Div 4'!$D$117:$G$117</definedName>
    <definedName name="OSRRefD21_23_0x" localSheetId="2">Summary!$D$233:$G$233</definedName>
    <definedName name="OSRRefD21_23_1x" localSheetId="48">'300'!$D$200:$G$200</definedName>
    <definedName name="OSRRefD21_23_1x" localSheetId="49">'300 &amp; 317'!$D$222:$G$222</definedName>
    <definedName name="OSRRefD21_23_1x" localSheetId="2">Summary!$D$234:$G$234</definedName>
    <definedName name="OSRRefD21_23_2x" localSheetId="48">'300'!$D$201:$G$201</definedName>
    <definedName name="OSRRefD21_23_2x" localSheetId="49">'300 &amp; 317'!$D$223:$G$223</definedName>
    <definedName name="OSRRefD21_23x_0" localSheetId="48">'300'!$D$199:$D$201</definedName>
    <definedName name="OSRRefD21_23x_0" localSheetId="49">'300 &amp; 317'!$D$221:$D$223</definedName>
    <definedName name="OSRRefD21_23x_0" localSheetId="47">'Div 3'!$D$203</definedName>
    <definedName name="OSRRefD21_23x_0" localSheetId="70">'Div 4'!$D$117</definedName>
    <definedName name="OSRRefD21_23x_0" localSheetId="2">Summary!$D$233:$D$234</definedName>
    <definedName name="OSRRefD21_23x_1" localSheetId="48">'300'!$E$199:$E$201</definedName>
    <definedName name="OSRRefD21_23x_1" localSheetId="49">'300 &amp; 317'!$E$221:$E$223</definedName>
    <definedName name="OSRRefD21_23x_1" localSheetId="47">'Div 3'!$E$203</definedName>
    <definedName name="OSRRefD21_23x_1" localSheetId="70">'Div 4'!$E$117</definedName>
    <definedName name="OSRRefD21_23x_1" localSheetId="2">Summary!$E$233:$E$234</definedName>
    <definedName name="OSRRefD21_23x_2" localSheetId="48">'300'!$F$199:$F$201</definedName>
    <definedName name="OSRRefD21_23x_2" localSheetId="49">'300 &amp; 317'!$F$221:$F$223</definedName>
    <definedName name="OSRRefD21_23x_2" localSheetId="47">'Div 3'!$F$203</definedName>
    <definedName name="OSRRefD21_23x_2" localSheetId="70">'Div 4'!$F$117</definedName>
    <definedName name="OSRRefD21_23x_2" localSheetId="2">Summary!$F$233:$F$234</definedName>
    <definedName name="OSRRefD21_23x_3" localSheetId="48">'300'!$G$199:$G$201</definedName>
    <definedName name="OSRRefD21_23x_3" localSheetId="49">'300 &amp; 317'!$G$221:$G$223</definedName>
    <definedName name="OSRRefD21_23x_3" localSheetId="47">'Div 3'!$G$203</definedName>
    <definedName name="OSRRefD21_23x_3" localSheetId="70">'Div 4'!$G$117</definedName>
    <definedName name="OSRRefD21_23x_3" localSheetId="2">Summary!$G$233:$G$234</definedName>
    <definedName name="OSRRefD21_24_0x" localSheetId="48">'300'!$D$203:$G$203</definedName>
    <definedName name="OSRRefD21_24_0x" localSheetId="49">'300 &amp; 317'!$D$225:$G$225</definedName>
    <definedName name="OSRRefD21_24_0x" localSheetId="47">'Div 3'!$D$205:$G$205</definedName>
    <definedName name="OSRRefD21_24_0x" localSheetId="2">Summary!$D$236:$G$236</definedName>
    <definedName name="OSRRefD21_24_1x" localSheetId="47">'Div 3'!$D$206:$G$206</definedName>
    <definedName name="OSRRefD21_24_2x" localSheetId="47">'Div 3'!$D$207:$G$207</definedName>
    <definedName name="OSRRefD21_24x_0" localSheetId="48">'300'!$D$203</definedName>
    <definedName name="OSRRefD21_24x_0" localSheetId="49">'300 &amp; 317'!$D$225</definedName>
    <definedName name="OSRRefD21_24x_0" localSheetId="47">'Div 3'!$D$205:$D$207</definedName>
    <definedName name="OSRRefD21_24x_0" localSheetId="2">Summary!$D$236</definedName>
    <definedName name="OSRRefD21_24x_1" localSheetId="48">'300'!$E$203</definedName>
    <definedName name="OSRRefD21_24x_1" localSheetId="49">'300 &amp; 317'!$E$225</definedName>
    <definedName name="OSRRefD21_24x_1" localSheetId="47">'Div 3'!$E$205:$E$207</definedName>
    <definedName name="OSRRefD21_24x_1" localSheetId="2">Summary!$E$236</definedName>
    <definedName name="OSRRefD21_24x_2" localSheetId="48">'300'!$F$203</definedName>
    <definedName name="OSRRefD21_24x_2" localSheetId="49">'300 &amp; 317'!$F$225</definedName>
    <definedName name="OSRRefD21_24x_2" localSheetId="47">'Div 3'!$F$205:$F$207</definedName>
    <definedName name="OSRRefD21_24x_2" localSheetId="2">Summary!$F$236</definedName>
    <definedName name="OSRRefD21_24x_3" localSheetId="48">'300'!$G$203</definedName>
    <definedName name="OSRRefD21_24x_3" localSheetId="49">'300 &amp; 317'!$G$225</definedName>
    <definedName name="OSRRefD21_24x_3" localSheetId="47">'Div 3'!$G$205:$G$207</definedName>
    <definedName name="OSRRefD21_24x_3" localSheetId="2">Summary!$G$236</definedName>
    <definedName name="OSRRefD21_25_0x" localSheetId="47">'Div 3'!$D$209:$G$209</definedName>
    <definedName name="OSRRefD21_25_0x" localSheetId="2">Summary!$D$238:$G$238</definedName>
    <definedName name="OSRRefD21_25_1x" localSheetId="2">Summary!$D$239:$G$239</definedName>
    <definedName name="OSRRefD21_25_2x" localSheetId="2">Summary!$D$240:$G$240</definedName>
    <definedName name="OSRRefD21_25x_0" localSheetId="47">'Div 3'!$D$209</definedName>
    <definedName name="OSRRefD21_25x_0" localSheetId="2">Summary!$D$238:$D$240</definedName>
    <definedName name="OSRRefD21_25x_1" localSheetId="47">'Div 3'!$E$209</definedName>
    <definedName name="OSRRefD21_25x_1" localSheetId="2">Summary!$E$238:$E$240</definedName>
    <definedName name="OSRRefD21_25x_2" localSheetId="47">'Div 3'!$F$209</definedName>
    <definedName name="OSRRefD21_25x_2" localSheetId="2">Summary!$F$238:$F$240</definedName>
    <definedName name="OSRRefD21_25x_3" localSheetId="47">'Div 3'!$G$209</definedName>
    <definedName name="OSRRefD21_25x_3" localSheetId="2">Summary!$G$238:$G$240</definedName>
    <definedName name="OSRRefD21_26_0x" localSheetId="2">Summary!$D$242:$G$242</definedName>
    <definedName name="OSRRefD21_26x_0" localSheetId="2">Summary!$D$242</definedName>
    <definedName name="OSRRefD21_26x_1" localSheetId="2">Summary!$E$242</definedName>
    <definedName name="OSRRefD21_26x_2" localSheetId="2">Summary!$F$242</definedName>
    <definedName name="OSRRefD21_26x_3" localSheetId="2">Summary!$G$242</definedName>
    <definedName name="OSRRefD21_2x_0" localSheetId="40">'200'!$D$23</definedName>
    <definedName name="OSRRefD21_2x_0" localSheetId="41">'201'!$D$40</definedName>
    <definedName name="OSRRefD21_2x_0" localSheetId="42">'202'!$D$40</definedName>
    <definedName name="OSRRefD21_2x_0" localSheetId="43">'203'!$D$41</definedName>
    <definedName name="OSRRefD21_2x_0" localSheetId="44">'204'!$D$41</definedName>
    <definedName name="OSRRefD21_2x_0" localSheetId="45">'205'!$D$40</definedName>
    <definedName name="OSRRefD21_2x_0" localSheetId="46">'206'!$D$40</definedName>
    <definedName name="OSRRefD21_2x_0" localSheetId="48">'300'!$D$133</definedName>
    <definedName name="OSRRefD21_2x_0" localSheetId="49">'300 &amp; 317'!$D$155</definedName>
    <definedName name="OSRRefD21_2x_0" localSheetId="50">'301'!$D$40:$D$41</definedName>
    <definedName name="OSRRefD21_2x_0" localSheetId="52">'307'!$D$58</definedName>
    <definedName name="OSRRefD21_2x_0" localSheetId="53">'308'!$D$75</definedName>
    <definedName name="OSRRefD21_2x_0" localSheetId="64">'309'!$D$41</definedName>
    <definedName name="OSRRefD21_2x_0" localSheetId="63">'310'!$D$47</definedName>
    <definedName name="OSRRefD21_2x_0" localSheetId="71">'310 &amp; 491'!$D$52</definedName>
    <definedName name="OSRRefD21_2x_0" localSheetId="54">'311'!$D$74</definedName>
    <definedName name="OSRRefD21_2x_0" localSheetId="65">'313'!$D$41</definedName>
    <definedName name="OSRRefD21_2x_0" localSheetId="57">'315'!$D$97</definedName>
    <definedName name="OSRRefD21_2x_0" localSheetId="60">'316'!$D$50</definedName>
    <definedName name="OSRRefD21_2x_0" localSheetId="62">'317'!$D$70</definedName>
    <definedName name="OSRRefD21_2x_0" localSheetId="66">'321'!$D$43</definedName>
    <definedName name="OSRRefD21_2x_0" localSheetId="67">'322'!$D$42</definedName>
    <definedName name="OSRRefD21_2x_0" localSheetId="68">'325'!$D$41</definedName>
    <definedName name="OSRRefD21_2x_0" localSheetId="58">'326'!$D$64</definedName>
    <definedName name="OSRRefD21_2x_0" localSheetId="51">'330'!$D$58</definedName>
    <definedName name="OSRRefD21_2x_0" localSheetId="56">'331'!$D$97</definedName>
    <definedName name="OSRRefD21_2x_0" localSheetId="59">'332'!$D$50</definedName>
    <definedName name="OSRRefD21_2x_0" localSheetId="73">'405'!$D$42</definedName>
    <definedName name="OSRRefD21_2x_0" localSheetId="74">'406'!$D$23</definedName>
    <definedName name="OSRRefD21_2x_0" localSheetId="75">'411'!$D$40</definedName>
    <definedName name="OSRRefD21_2x_0" localSheetId="76">'412'!$D$41</definedName>
    <definedName name="OSRRefD21_2x_0" localSheetId="77">'413'!$D$43</definedName>
    <definedName name="OSRRefD21_2x_0" localSheetId="78">'414'!$D$44</definedName>
    <definedName name="OSRRefD21_2x_0" localSheetId="79">'415'!$D$47</definedName>
    <definedName name="OSRRefD21_2x_0" localSheetId="80">'418'!$D$42</definedName>
    <definedName name="OSRRefD21_2x_0" localSheetId="82">'423'!$D$39</definedName>
    <definedName name="OSRRefD21_2x_0" localSheetId="83">'424'!$D$23</definedName>
    <definedName name="OSRRefD21_2x_0" localSheetId="84">'425'!$D$27</definedName>
    <definedName name="OSRRefD21_2x_0" localSheetId="87">'430'!$D$40</definedName>
    <definedName name="OSRRefD21_2x_0" localSheetId="88">'433'!$D$48</definedName>
    <definedName name="OSRRefD21_2x_0" localSheetId="90">'444'!$D$48</definedName>
    <definedName name="OSRRefD21_2x_0" localSheetId="91">'450'!$D$44</definedName>
    <definedName name="OSRRefD21_2x_0" localSheetId="72">'491'!$D$49</definedName>
    <definedName name="OSRRefD21_2x_0" localSheetId="86">'492'!$D$48</definedName>
    <definedName name="OSRRefD21_2x_0" localSheetId="93">'501'!$D$43</definedName>
    <definedName name="OSRRefD21_2x_0" localSheetId="39">'Div 2'!$D$42</definedName>
    <definedName name="OSRRefD21_2x_0" localSheetId="47">'Div 3'!$D$137</definedName>
    <definedName name="OSRRefD21_2x_0" localSheetId="70">'Div 4'!$D$52</definedName>
    <definedName name="OSRRefD21_2x_0" localSheetId="92">'Div 5'!$D$43</definedName>
    <definedName name="OSRRefD21_2x_0" localSheetId="61">'Div 6'!$D$70</definedName>
    <definedName name="OSRRefD21_2x_0" localSheetId="2">Summary!$D$164</definedName>
    <definedName name="OSRRefD21_2x_1" localSheetId="40">'200'!$E$23</definedName>
    <definedName name="OSRRefD21_2x_1" localSheetId="41">'201'!$E$40</definedName>
    <definedName name="OSRRefD21_2x_1" localSheetId="42">'202'!$E$40</definedName>
    <definedName name="OSRRefD21_2x_1" localSheetId="43">'203'!$E$41</definedName>
    <definedName name="OSRRefD21_2x_1" localSheetId="44">'204'!$E$41</definedName>
    <definedName name="OSRRefD21_2x_1" localSheetId="45">'205'!$E$40</definedName>
    <definedName name="OSRRefD21_2x_1" localSheetId="46">'206'!$E$40</definedName>
    <definedName name="OSRRefD21_2x_1" localSheetId="48">'300'!$E$133</definedName>
    <definedName name="OSRRefD21_2x_1" localSheetId="49">'300 &amp; 317'!$E$155</definedName>
    <definedName name="OSRRefD21_2x_1" localSheetId="50">'301'!$E$40:$E$41</definedName>
    <definedName name="OSRRefD21_2x_1" localSheetId="52">'307'!$E$58</definedName>
    <definedName name="OSRRefD21_2x_1" localSheetId="53">'308'!$E$75</definedName>
    <definedName name="OSRRefD21_2x_1" localSheetId="64">'309'!$E$41</definedName>
    <definedName name="OSRRefD21_2x_1" localSheetId="63">'310'!$E$47</definedName>
    <definedName name="OSRRefD21_2x_1" localSheetId="71">'310 &amp; 491'!$E$52</definedName>
    <definedName name="OSRRefD21_2x_1" localSheetId="54">'311'!$E$74</definedName>
    <definedName name="OSRRefD21_2x_1" localSheetId="65">'313'!$E$41</definedName>
    <definedName name="OSRRefD21_2x_1" localSheetId="57">'315'!$E$97</definedName>
    <definedName name="OSRRefD21_2x_1" localSheetId="60">'316'!$E$50</definedName>
    <definedName name="OSRRefD21_2x_1" localSheetId="62">'317'!$E$70</definedName>
    <definedName name="OSRRefD21_2x_1" localSheetId="66">'321'!$E$43</definedName>
    <definedName name="OSRRefD21_2x_1" localSheetId="67">'322'!$E$42</definedName>
    <definedName name="OSRRefD21_2x_1" localSheetId="68">'325'!$E$41</definedName>
    <definedName name="OSRRefD21_2x_1" localSheetId="58">'326'!$E$64</definedName>
    <definedName name="OSRRefD21_2x_1" localSheetId="51">'330'!$E$58</definedName>
    <definedName name="OSRRefD21_2x_1" localSheetId="56">'331'!$E$97</definedName>
    <definedName name="OSRRefD21_2x_1" localSheetId="59">'332'!$E$50</definedName>
    <definedName name="OSRRefD21_2x_1" localSheetId="73">'405'!$E$42</definedName>
    <definedName name="OSRRefD21_2x_1" localSheetId="74">'406'!$E$23</definedName>
    <definedName name="OSRRefD21_2x_1" localSheetId="75">'411'!$E$40</definedName>
    <definedName name="OSRRefD21_2x_1" localSheetId="76">'412'!$E$41</definedName>
    <definedName name="OSRRefD21_2x_1" localSheetId="77">'413'!$E$43</definedName>
    <definedName name="OSRRefD21_2x_1" localSheetId="78">'414'!$E$44</definedName>
    <definedName name="OSRRefD21_2x_1" localSheetId="79">'415'!$E$47</definedName>
    <definedName name="OSRRefD21_2x_1" localSheetId="80">'418'!$E$42</definedName>
    <definedName name="OSRRefD21_2x_1" localSheetId="82">'423'!$E$39</definedName>
    <definedName name="OSRRefD21_2x_1" localSheetId="83">'424'!$E$23</definedName>
    <definedName name="OSRRefD21_2x_1" localSheetId="84">'425'!$E$27</definedName>
    <definedName name="OSRRefD21_2x_1" localSheetId="87">'430'!$E$40</definedName>
    <definedName name="OSRRefD21_2x_1" localSheetId="88">'433'!$E$48</definedName>
    <definedName name="OSRRefD21_2x_1" localSheetId="90">'444'!$E$48</definedName>
    <definedName name="OSRRefD21_2x_1" localSheetId="91">'450'!$E$44</definedName>
    <definedName name="OSRRefD21_2x_1" localSheetId="72">'491'!$E$49</definedName>
    <definedName name="OSRRefD21_2x_1" localSheetId="86">'492'!$E$48</definedName>
    <definedName name="OSRRefD21_2x_1" localSheetId="93">'501'!$E$43</definedName>
    <definedName name="OSRRefD21_2x_1" localSheetId="39">'Div 2'!$E$42</definedName>
    <definedName name="OSRRefD21_2x_1" localSheetId="47">'Div 3'!$E$137</definedName>
    <definedName name="OSRRefD21_2x_1" localSheetId="70">'Div 4'!$E$52</definedName>
    <definedName name="OSRRefD21_2x_1" localSheetId="92">'Div 5'!$E$43</definedName>
    <definedName name="OSRRefD21_2x_1" localSheetId="61">'Div 6'!$E$70</definedName>
    <definedName name="OSRRefD21_2x_1" localSheetId="2">Summary!$E$164</definedName>
    <definedName name="OSRRefD21_2x_2" localSheetId="40">'200'!$F$23</definedName>
    <definedName name="OSRRefD21_2x_2" localSheetId="41">'201'!$F$40</definedName>
    <definedName name="OSRRefD21_2x_2" localSheetId="42">'202'!$F$40</definedName>
    <definedName name="OSRRefD21_2x_2" localSheetId="43">'203'!$F$41</definedName>
    <definedName name="OSRRefD21_2x_2" localSheetId="44">'204'!$F$41</definedName>
    <definedName name="OSRRefD21_2x_2" localSheetId="45">'205'!$F$40</definedName>
    <definedName name="OSRRefD21_2x_2" localSheetId="46">'206'!$F$40</definedName>
    <definedName name="OSRRefD21_2x_2" localSheetId="48">'300'!$F$133</definedName>
    <definedName name="OSRRefD21_2x_2" localSheetId="49">'300 &amp; 317'!$F$155</definedName>
    <definedName name="OSRRefD21_2x_2" localSheetId="50">'301'!$F$40:$F$41</definedName>
    <definedName name="OSRRefD21_2x_2" localSheetId="52">'307'!$F$58</definedName>
    <definedName name="OSRRefD21_2x_2" localSheetId="53">'308'!$F$75</definedName>
    <definedName name="OSRRefD21_2x_2" localSheetId="64">'309'!$F$41</definedName>
    <definedName name="OSRRefD21_2x_2" localSheetId="63">'310'!$F$47</definedName>
    <definedName name="OSRRefD21_2x_2" localSheetId="71">'310 &amp; 491'!$F$52</definedName>
    <definedName name="OSRRefD21_2x_2" localSheetId="54">'311'!$F$74</definedName>
    <definedName name="OSRRefD21_2x_2" localSheetId="65">'313'!$F$41</definedName>
    <definedName name="OSRRefD21_2x_2" localSheetId="57">'315'!$F$97</definedName>
    <definedName name="OSRRefD21_2x_2" localSheetId="60">'316'!$F$50</definedName>
    <definedName name="OSRRefD21_2x_2" localSheetId="62">'317'!$F$70</definedName>
    <definedName name="OSRRefD21_2x_2" localSheetId="66">'321'!$F$43</definedName>
    <definedName name="OSRRefD21_2x_2" localSheetId="67">'322'!$F$42</definedName>
    <definedName name="OSRRefD21_2x_2" localSheetId="68">'325'!$F$41</definedName>
    <definedName name="OSRRefD21_2x_2" localSheetId="58">'326'!$F$64</definedName>
    <definedName name="OSRRefD21_2x_2" localSheetId="51">'330'!$F$58</definedName>
    <definedName name="OSRRefD21_2x_2" localSheetId="56">'331'!$F$97</definedName>
    <definedName name="OSRRefD21_2x_2" localSheetId="59">'332'!$F$50</definedName>
    <definedName name="OSRRefD21_2x_2" localSheetId="73">'405'!$F$42</definedName>
    <definedName name="OSRRefD21_2x_2" localSheetId="74">'406'!$F$23</definedName>
    <definedName name="OSRRefD21_2x_2" localSheetId="75">'411'!$F$40</definedName>
    <definedName name="OSRRefD21_2x_2" localSheetId="76">'412'!$F$41</definedName>
    <definedName name="OSRRefD21_2x_2" localSheetId="77">'413'!$F$43</definedName>
    <definedName name="OSRRefD21_2x_2" localSheetId="78">'414'!$F$44</definedName>
    <definedName name="OSRRefD21_2x_2" localSheetId="79">'415'!$F$47</definedName>
    <definedName name="OSRRefD21_2x_2" localSheetId="80">'418'!$F$42</definedName>
    <definedName name="OSRRefD21_2x_2" localSheetId="82">'423'!$F$39</definedName>
    <definedName name="OSRRefD21_2x_2" localSheetId="83">'424'!$F$23</definedName>
    <definedName name="OSRRefD21_2x_2" localSheetId="84">'425'!$F$27</definedName>
    <definedName name="OSRRefD21_2x_2" localSheetId="87">'430'!$F$40</definedName>
    <definedName name="OSRRefD21_2x_2" localSheetId="88">'433'!$F$48</definedName>
    <definedName name="OSRRefD21_2x_2" localSheetId="90">'444'!$F$48</definedName>
    <definedName name="OSRRefD21_2x_2" localSheetId="91">'450'!$F$44</definedName>
    <definedName name="OSRRefD21_2x_2" localSheetId="72">'491'!$F$49</definedName>
    <definedName name="OSRRefD21_2x_2" localSheetId="86">'492'!$F$48</definedName>
    <definedName name="OSRRefD21_2x_2" localSheetId="93">'501'!$F$43</definedName>
    <definedName name="OSRRefD21_2x_2" localSheetId="39">'Div 2'!$F$42</definedName>
    <definedName name="OSRRefD21_2x_2" localSheetId="47">'Div 3'!$F$137</definedName>
    <definedName name="OSRRefD21_2x_2" localSheetId="70">'Div 4'!$F$52</definedName>
    <definedName name="OSRRefD21_2x_2" localSheetId="92">'Div 5'!$F$43</definedName>
    <definedName name="OSRRefD21_2x_2" localSheetId="61">'Div 6'!$F$70</definedName>
    <definedName name="OSRRefD21_2x_2" localSheetId="2">Summary!$F$164</definedName>
    <definedName name="OSRRefD21_2x_3" localSheetId="40">'200'!$G$23</definedName>
    <definedName name="OSRRefD21_2x_3" localSheetId="41">'201'!$G$40</definedName>
    <definedName name="OSRRefD21_2x_3" localSheetId="42">'202'!$G$40</definedName>
    <definedName name="OSRRefD21_2x_3" localSheetId="43">'203'!$G$41</definedName>
    <definedName name="OSRRefD21_2x_3" localSheetId="44">'204'!$G$41</definedName>
    <definedName name="OSRRefD21_2x_3" localSheetId="45">'205'!$G$40</definedName>
    <definedName name="OSRRefD21_2x_3" localSheetId="46">'206'!$G$40</definedName>
    <definedName name="OSRRefD21_2x_3" localSheetId="48">'300'!$G$133</definedName>
    <definedName name="OSRRefD21_2x_3" localSheetId="49">'300 &amp; 317'!$G$155</definedName>
    <definedName name="OSRRefD21_2x_3" localSheetId="50">'301'!$G$40:$G$41</definedName>
    <definedName name="OSRRefD21_2x_3" localSheetId="52">'307'!$G$58</definedName>
    <definedName name="OSRRefD21_2x_3" localSheetId="53">'308'!$G$75</definedName>
    <definedName name="OSRRefD21_2x_3" localSheetId="64">'309'!$G$41</definedName>
    <definedName name="OSRRefD21_2x_3" localSheetId="63">'310'!$G$47</definedName>
    <definedName name="OSRRefD21_2x_3" localSheetId="71">'310 &amp; 491'!$G$52</definedName>
    <definedName name="OSRRefD21_2x_3" localSheetId="54">'311'!$G$74</definedName>
    <definedName name="OSRRefD21_2x_3" localSheetId="65">'313'!$G$41</definedName>
    <definedName name="OSRRefD21_2x_3" localSheetId="57">'315'!$G$97</definedName>
    <definedName name="OSRRefD21_2x_3" localSheetId="60">'316'!$G$50</definedName>
    <definedName name="OSRRefD21_2x_3" localSheetId="62">'317'!$G$70</definedName>
    <definedName name="OSRRefD21_2x_3" localSheetId="66">'321'!$G$43</definedName>
    <definedName name="OSRRefD21_2x_3" localSheetId="67">'322'!$G$42</definedName>
    <definedName name="OSRRefD21_2x_3" localSheetId="68">'325'!$G$41</definedName>
    <definedName name="OSRRefD21_2x_3" localSheetId="58">'326'!$G$64</definedName>
    <definedName name="OSRRefD21_2x_3" localSheetId="51">'330'!$G$58</definedName>
    <definedName name="OSRRefD21_2x_3" localSheetId="56">'331'!$G$97</definedName>
    <definedName name="OSRRefD21_2x_3" localSheetId="59">'332'!$G$50</definedName>
    <definedName name="OSRRefD21_2x_3" localSheetId="73">'405'!$G$42</definedName>
    <definedName name="OSRRefD21_2x_3" localSheetId="74">'406'!$G$23</definedName>
    <definedName name="OSRRefD21_2x_3" localSheetId="75">'411'!$G$40</definedName>
    <definedName name="OSRRefD21_2x_3" localSheetId="76">'412'!$G$41</definedName>
    <definedName name="OSRRefD21_2x_3" localSheetId="77">'413'!$G$43</definedName>
    <definedName name="OSRRefD21_2x_3" localSheetId="78">'414'!$G$44</definedName>
    <definedName name="OSRRefD21_2x_3" localSheetId="79">'415'!$G$47</definedName>
    <definedName name="OSRRefD21_2x_3" localSheetId="80">'418'!$G$42</definedName>
    <definedName name="OSRRefD21_2x_3" localSheetId="82">'423'!$G$39</definedName>
    <definedName name="OSRRefD21_2x_3" localSheetId="83">'424'!$G$23</definedName>
    <definedName name="OSRRefD21_2x_3" localSheetId="84">'425'!$G$27</definedName>
    <definedName name="OSRRefD21_2x_3" localSheetId="87">'430'!$G$40</definedName>
    <definedName name="OSRRefD21_2x_3" localSheetId="88">'433'!$G$48</definedName>
    <definedName name="OSRRefD21_2x_3" localSheetId="90">'444'!$G$48</definedName>
    <definedName name="OSRRefD21_2x_3" localSheetId="91">'450'!$G$44</definedName>
    <definedName name="OSRRefD21_2x_3" localSheetId="72">'491'!$G$49</definedName>
    <definedName name="OSRRefD21_2x_3" localSheetId="86">'492'!$G$48</definedName>
    <definedName name="OSRRefD21_2x_3" localSheetId="93">'501'!$G$43</definedName>
    <definedName name="OSRRefD21_2x_3" localSheetId="39">'Div 2'!$G$42</definedName>
    <definedName name="OSRRefD21_2x_3" localSheetId="47">'Div 3'!$G$137</definedName>
    <definedName name="OSRRefD21_2x_3" localSheetId="70">'Div 4'!$G$52</definedName>
    <definedName name="OSRRefD21_2x_3" localSheetId="92">'Div 5'!$G$43</definedName>
    <definedName name="OSRRefD21_2x_3" localSheetId="61">'Div 6'!$G$70</definedName>
    <definedName name="OSRRefD21_2x_3" localSheetId="2">Summary!$G$164</definedName>
    <definedName name="OSRRefD21_3_0x" localSheetId="40">'200'!$D$25:$G$25</definedName>
    <definedName name="OSRRefD21_3_0x" localSheetId="41">'201'!$D$42:$G$42</definedName>
    <definedName name="OSRRefD21_3_0x" localSheetId="42">'202'!$D$42:$G$42</definedName>
    <definedName name="OSRRefD21_3_0x" localSheetId="43">'203'!$D$43:$G$43</definedName>
    <definedName name="OSRRefD21_3_0x" localSheetId="44">'204'!$D$43:$G$43</definedName>
    <definedName name="OSRRefD21_3_0x" localSheetId="45">'205'!$D$42:$G$42</definedName>
    <definedName name="OSRRefD21_3_0x" localSheetId="46">'206'!$D$42:$G$42</definedName>
    <definedName name="OSRRefD21_3_0x" localSheetId="48">'300'!$D$135:$G$135</definedName>
    <definedName name="OSRRefD21_3_0x" localSheetId="49">'300 &amp; 317'!$D$157:$G$157</definedName>
    <definedName name="OSRRefD21_3_0x" localSheetId="50">'301'!$D$43:$G$43</definedName>
    <definedName name="OSRRefD21_3_0x" localSheetId="52">'307'!$D$60:$G$60</definedName>
    <definedName name="OSRRefD21_3_0x" localSheetId="53">'308'!$D$77:$G$77</definedName>
    <definedName name="OSRRefD21_3_0x" localSheetId="64">'309'!$D$43:$G$43</definedName>
    <definedName name="OSRRefD21_3_0x" localSheetId="63">'310'!$D$49:$G$49</definedName>
    <definedName name="OSRRefD21_3_0x" localSheetId="71">'310 &amp; 491'!$D$54:$G$54</definedName>
    <definedName name="OSRRefD21_3_0x" localSheetId="54">'311'!$D$76:$G$76</definedName>
    <definedName name="OSRRefD21_3_0x" localSheetId="65">'313'!$D$43:$G$43</definedName>
    <definedName name="OSRRefD21_3_0x" localSheetId="57">'315'!$D$99:$G$99</definedName>
    <definedName name="OSRRefD21_3_0x" localSheetId="60">'316'!$D$52:$G$52</definedName>
    <definedName name="OSRRefD21_3_0x" localSheetId="62">'317'!$D$72:$G$72</definedName>
    <definedName name="OSRRefD21_3_0x" localSheetId="66">'321'!$D$45:$G$45</definedName>
    <definedName name="OSRRefD21_3_0x" localSheetId="67">'322'!$D$44:$G$44</definedName>
    <definedName name="OSRRefD21_3_0x" localSheetId="68">'325'!$D$43:$G$43</definedName>
    <definedName name="OSRRefD21_3_0x" localSheetId="58">'326'!$D$66:$G$66</definedName>
    <definedName name="OSRRefD21_3_0x" localSheetId="51">'330'!$D$60:$G$60</definedName>
    <definedName name="OSRRefD21_3_0x" localSheetId="56">'331'!$D$99:$G$99</definedName>
    <definedName name="OSRRefD21_3_0x" localSheetId="59">'332'!$D$52:$G$52</definedName>
    <definedName name="OSRRefD21_3_0x" localSheetId="73">'405'!$D$44:$G$44</definedName>
    <definedName name="OSRRefD21_3_0x" localSheetId="74">'406'!$D$25:$G$25</definedName>
    <definedName name="OSRRefD21_3_0x" localSheetId="75">'411'!$D$42:$G$42</definedName>
    <definedName name="OSRRefD21_3_0x" localSheetId="76">'412'!$D$43:$G$43</definedName>
    <definedName name="OSRRefD21_3_0x" localSheetId="77">'413'!$D$45:$G$45</definedName>
    <definedName name="OSRRefD21_3_0x" localSheetId="78">'414'!$D$46:$G$46</definedName>
    <definedName name="OSRRefD21_3_0x" localSheetId="79">'415'!$D$49:$G$49</definedName>
    <definedName name="OSRRefD21_3_0x" localSheetId="80">'418'!$D$44:$G$44</definedName>
    <definedName name="OSRRefD21_3_0x" localSheetId="82">'423'!$D$41:$G$41</definedName>
    <definedName name="OSRRefD21_3_0x" localSheetId="83">'424'!$D$25:$G$25</definedName>
    <definedName name="OSRRefD21_3_0x" localSheetId="84">'425'!$D$29:$G$29</definedName>
    <definedName name="OSRRefD21_3_0x" localSheetId="87">'430'!$D$42:$G$42</definedName>
    <definedName name="OSRRefD21_3_0x" localSheetId="88">'433'!$D$50:$G$50</definedName>
    <definedName name="OSRRefD21_3_0x" localSheetId="90">'444'!$D$50:$G$50</definedName>
    <definedName name="OSRRefD21_3_0x" localSheetId="91">'450'!$D$46:$G$46</definedName>
    <definedName name="OSRRefD21_3_0x" localSheetId="72">'491'!$D$51:$G$51</definedName>
    <definedName name="OSRRefD21_3_0x" localSheetId="86">'492'!$D$50:$G$50</definedName>
    <definedName name="OSRRefD21_3_0x" localSheetId="93">'501'!$D$45:$G$45</definedName>
    <definedName name="OSRRefD21_3_0x" localSheetId="39">'Div 2'!$D$44:$G$44</definedName>
    <definedName name="OSRRefD21_3_0x" localSheetId="47">'Div 3'!$D$139:$G$139</definedName>
    <definedName name="OSRRefD21_3_0x" localSheetId="70">'Div 4'!$D$54:$G$54</definedName>
    <definedName name="OSRRefD21_3_0x" localSheetId="92">'Div 5'!$D$45:$G$45</definedName>
    <definedName name="OSRRefD21_3_0x" localSheetId="61">'Div 6'!$D$72:$G$72</definedName>
    <definedName name="OSRRefD21_3_0x" localSheetId="2">Summary!$D$166:$G$166</definedName>
    <definedName name="OSRRefD21_3_1x" localSheetId="48">'300'!$D$136:$G$136</definedName>
    <definedName name="OSRRefD21_3_1x" localSheetId="49">'300 &amp; 317'!$D$158:$G$158</definedName>
    <definedName name="OSRRefD21_3_1x" localSheetId="82">'423'!$D$42:$G$42</definedName>
    <definedName name="OSRRefD21_3_1x" localSheetId="47">'Div 3'!$D$140:$G$140</definedName>
    <definedName name="OSRRefD21_3_1x" localSheetId="2">Summary!$D$167:$G$167</definedName>
    <definedName name="OSRRefD21_3x_0" localSheetId="40">'200'!$D$25</definedName>
    <definedName name="OSRRefD21_3x_0" localSheetId="41">'201'!$D$42</definedName>
    <definedName name="OSRRefD21_3x_0" localSheetId="42">'202'!$D$42</definedName>
    <definedName name="OSRRefD21_3x_0" localSheetId="43">'203'!$D$43</definedName>
    <definedName name="OSRRefD21_3x_0" localSheetId="44">'204'!$D$43</definedName>
    <definedName name="OSRRefD21_3x_0" localSheetId="45">'205'!$D$42</definedName>
    <definedName name="OSRRefD21_3x_0" localSheetId="46">'206'!$D$42</definedName>
    <definedName name="OSRRefD21_3x_0" localSheetId="48">'300'!$D$135:$D$136</definedName>
    <definedName name="OSRRefD21_3x_0" localSheetId="49">'300 &amp; 317'!$D$157:$D$158</definedName>
    <definedName name="OSRRefD21_3x_0" localSheetId="50">'301'!$D$43</definedName>
    <definedName name="OSRRefD21_3x_0" localSheetId="52">'307'!$D$60</definedName>
    <definedName name="OSRRefD21_3x_0" localSheetId="53">'308'!$D$77</definedName>
    <definedName name="OSRRefD21_3x_0" localSheetId="64">'309'!$D$43</definedName>
    <definedName name="OSRRefD21_3x_0" localSheetId="63">'310'!$D$49</definedName>
    <definedName name="OSRRefD21_3x_0" localSheetId="71">'310 &amp; 491'!$D$54</definedName>
    <definedName name="OSRRefD21_3x_0" localSheetId="54">'311'!$D$76</definedName>
    <definedName name="OSRRefD21_3x_0" localSheetId="65">'313'!$D$43</definedName>
    <definedName name="OSRRefD21_3x_0" localSheetId="57">'315'!$D$99</definedName>
    <definedName name="OSRRefD21_3x_0" localSheetId="60">'316'!$D$52</definedName>
    <definedName name="OSRRefD21_3x_0" localSheetId="62">'317'!$D$72</definedName>
    <definedName name="OSRRefD21_3x_0" localSheetId="66">'321'!$D$45</definedName>
    <definedName name="OSRRefD21_3x_0" localSheetId="67">'322'!$D$44</definedName>
    <definedName name="OSRRefD21_3x_0" localSheetId="68">'325'!$D$43</definedName>
    <definedName name="OSRRefD21_3x_0" localSheetId="58">'326'!$D$66</definedName>
    <definedName name="OSRRefD21_3x_0" localSheetId="51">'330'!$D$60</definedName>
    <definedName name="OSRRefD21_3x_0" localSheetId="56">'331'!$D$99</definedName>
    <definedName name="OSRRefD21_3x_0" localSheetId="59">'332'!$D$52</definedName>
    <definedName name="OSRRefD21_3x_0" localSheetId="73">'405'!$D$44</definedName>
    <definedName name="OSRRefD21_3x_0" localSheetId="74">'406'!$D$25</definedName>
    <definedName name="OSRRefD21_3x_0" localSheetId="75">'411'!$D$42</definedName>
    <definedName name="OSRRefD21_3x_0" localSheetId="76">'412'!$D$43</definedName>
    <definedName name="OSRRefD21_3x_0" localSheetId="77">'413'!$D$45</definedName>
    <definedName name="OSRRefD21_3x_0" localSheetId="78">'414'!$D$46</definedName>
    <definedName name="OSRRefD21_3x_0" localSheetId="79">'415'!$D$49</definedName>
    <definedName name="OSRRefD21_3x_0" localSheetId="80">'418'!$D$44</definedName>
    <definedName name="OSRRefD21_3x_0" localSheetId="82">'423'!$D$41:$D$42</definedName>
    <definedName name="OSRRefD21_3x_0" localSheetId="83">'424'!$D$25</definedName>
    <definedName name="OSRRefD21_3x_0" localSheetId="84">'425'!$D$29</definedName>
    <definedName name="OSRRefD21_3x_0" localSheetId="87">'430'!$D$42</definedName>
    <definedName name="OSRRefD21_3x_0" localSheetId="88">'433'!$D$50</definedName>
    <definedName name="OSRRefD21_3x_0" localSheetId="90">'444'!$D$50</definedName>
    <definedName name="OSRRefD21_3x_0" localSheetId="91">'450'!$D$46</definedName>
    <definedName name="OSRRefD21_3x_0" localSheetId="72">'491'!$D$51</definedName>
    <definedName name="OSRRefD21_3x_0" localSheetId="86">'492'!$D$50</definedName>
    <definedName name="OSRRefD21_3x_0" localSheetId="93">'501'!$D$45</definedName>
    <definedName name="OSRRefD21_3x_0" localSheetId="39">'Div 2'!$D$44</definedName>
    <definedName name="OSRRefD21_3x_0" localSheetId="47">'Div 3'!$D$139:$D$140</definedName>
    <definedName name="OSRRefD21_3x_0" localSheetId="70">'Div 4'!$D$54</definedName>
    <definedName name="OSRRefD21_3x_0" localSheetId="92">'Div 5'!$D$45</definedName>
    <definedName name="OSRRefD21_3x_0" localSheetId="61">'Div 6'!$D$72</definedName>
    <definedName name="OSRRefD21_3x_0" localSheetId="2">Summary!$D$166:$D$167</definedName>
    <definedName name="OSRRefD21_3x_1" localSheetId="40">'200'!$E$25</definedName>
    <definedName name="OSRRefD21_3x_1" localSheetId="41">'201'!$E$42</definedName>
    <definedName name="OSRRefD21_3x_1" localSheetId="42">'202'!$E$42</definedName>
    <definedName name="OSRRefD21_3x_1" localSheetId="43">'203'!$E$43</definedName>
    <definedName name="OSRRefD21_3x_1" localSheetId="44">'204'!$E$43</definedName>
    <definedName name="OSRRefD21_3x_1" localSheetId="45">'205'!$E$42</definedName>
    <definedName name="OSRRefD21_3x_1" localSheetId="46">'206'!$E$42</definedName>
    <definedName name="OSRRefD21_3x_1" localSheetId="48">'300'!$E$135:$E$136</definedName>
    <definedName name="OSRRefD21_3x_1" localSheetId="49">'300 &amp; 317'!$E$157:$E$158</definedName>
    <definedName name="OSRRefD21_3x_1" localSheetId="50">'301'!$E$43</definedName>
    <definedName name="OSRRefD21_3x_1" localSheetId="52">'307'!$E$60</definedName>
    <definedName name="OSRRefD21_3x_1" localSheetId="53">'308'!$E$77</definedName>
    <definedName name="OSRRefD21_3x_1" localSheetId="64">'309'!$E$43</definedName>
    <definedName name="OSRRefD21_3x_1" localSheetId="63">'310'!$E$49</definedName>
    <definedName name="OSRRefD21_3x_1" localSheetId="71">'310 &amp; 491'!$E$54</definedName>
    <definedName name="OSRRefD21_3x_1" localSheetId="54">'311'!$E$76</definedName>
    <definedName name="OSRRefD21_3x_1" localSheetId="65">'313'!$E$43</definedName>
    <definedName name="OSRRefD21_3x_1" localSheetId="57">'315'!$E$99</definedName>
    <definedName name="OSRRefD21_3x_1" localSheetId="60">'316'!$E$52</definedName>
    <definedName name="OSRRefD21_3x_1" localSheetId="62">'317'!$E$72</definedName>
    <definedName name="OSRRefD21_3x_1" localSheetId="66">'321'!$E$45</definedName>
    <definedName name="OSRRefD21_3x_1" localSheetId="67">'322'!$E$44</definedName>
    <definedName name="OSRRefD21_3x_1" localSheetId="68">'325'!$E$43</definedName>
    <definedName name="OSRRefD21_3x_1" localSheetId="58">'326'!$E$66</definedName>
    <definedName name="OSRRefD21_3x_1" localSheetId="51">'330'!$E$60</definedName>
    <definedName name="OSRRefD21_3x_1" localSheetId="56">'331'!$E$99</definedName>
    <definedName name="OSRRefD21_3x_1" localSheetId="59">'332'!$E$52</definedName>
    <definedName name="OSRRefD21_3x_1" localSheetId="73">'405'!$E$44</definedName>
    <definedName name="OSRRefD21_3x_1" localSheetId="74">'406'!$E$25</definedName>
    <definedName name="OSRRefD21_3x_1" localSheetId="75">'411'!$E$42</definedName>
    <definedName name="OSRRefD21_3x_1" localSheetId="76">'412'!$E$43</definedName>
    <definedName name="OSRRefD21_3x_1" localSheetId="77">'413'!$E$45</definedName>
    <definedName name="OSRRefD21_3x_1" localSheetId="78">'414'!$E$46</definedName>
    <definedName name="OSRRefD21_3x_1" localSheetId="79">'415'!$E$49</definedName>
    <definedName name="OSRRefD21_3x_1" localSheetId="80">'418'!$E$44</definedName>
    <definedName name="OSRRefD21_3x_1" localSheetId="82">'423'!$E$41:$E$42</definedName>
    <definedName name="OSRRefD21_3x_1" localSheetId="83">'424'!$E$25</definedName>
    <definedName name="OSRRefD21_3x_1" localSheetId="84">'425'!$E$29</definedName>
    <definedName name="OSRRefD21_3x_1" localSheetId="87">'430'!$E$42</definedName>
    <definedName name="OSRRefD21_3x_1" localSheetId="88">'433'!$E$50</definedName>
    <definedName name="OSRRefD21_3x_1" localSheetId="90">'444'!$E$50</definedName>
    <definedName name="OSRRefD21_3x_1" localSheetId="91">'450'!$E$46</definedName>
    <definedName name="OSRRefD21_3x_1" localSheetId="72">'491'!$E$51</definedName>
    <definedName name="OSRRefD21_3x_1" localSheetId="86">'492'!$E$50</definedName>
    <definedName name="OSRRefD21_3x_1" localSheetId="93">'501'!$E$45</definedName>
    <definedName name="OSRRefD21_3x_1" localSheetId="39">'Div 2'!$E$44</definedName>
    <definedName name="OSRRefD21_3x_1" localSheetId="47">'Div 3'!$E$139:$E$140</definedName>
    <definedName name="OSRRefD21_3x_1" localSheetId="70">'Div 4'!$E$54</definedName>
    <definedName name="OSRRefD21_3x_1" localSheetId="92">'Div 5'!$E$45</definedName>
    <definedName name="OSRRefD21_3x_1" localSheetId="61">'Div 6'!$E$72</definedName>
    <definedName name="OSRRefD21_3x_1" localSheetId="2">Summary!$E$166:$E$167</definedName>
    <definedName name="OSRRefD21_3x_2" localSheetId="40">'200'!$F$25</definedName>
    <definedName name="OSRRefD21_3x_2" localSheetId="41">'201'!$F$42</definedName>
    <definedName name="OSRRefD21_3x_2" localSheetId="42">'202'!$F$42</definedName>
    <definedName name="OSRRefD21_3x_2" localSheetId="43">'203'!$F$43</definedName>
    <definedName name="OSRRefD21_3x_2" localSheetId="44">'204'!$F$43</definedName>
    <definedName name="OSRRefD21_3x_2" localSheetId="45">'205'!$F$42</definedName>
    <definedName name="OSRRefD21_3x_2" localSheetId="46">'206'!$F$42</definedName>
    <definedName name="OSRRefD21_3x_2" localSheetId="48">'300'!$F$135:$F$136</definedName>
    <definedName name="OSRRefD21_3x_2" localSheetId="49">'300 &amp; 317'!$F$157:$F$158</definedName>
    <definedName name="OSRRefD21_3x_2" localSheetId="50">'301'!$F$43</definedName>
    <definedName name="OSRRefD21_3x_2" localSheetId="52">'307'!$F$60</definedName>
    <definedName name="OSRRefD21_3x_2" localSheetId="53">'308'!$F$77</definedName>
    <definedName name="OSRRefD21_3x_2" localSheetId="64">'309'!$F$43</definedName>
    <definedName name="OSRRefD21_3x_2" localSheetId="63">'310'!$F$49</definedName>
    <definedName name="OSRRefD21_3x_2" localSheetId="71">'310 &amp; 491'!$F$54</definedName>
    <definedName name="OSRRefD21_3x_2" localSheetId="54">'311'!$F$76</definedName>
    <definedName name="OSRRefD21_3x_2" localSheetId="65">'313'!$F$43</definedName>
    <definedName name="OSRRefD21_3x_2" localSheetId="57">'315'!$F$99</definedName>
    <definedName name="OSRRefD21_3x_2" localSheetId="60">'316'!$F$52</definedName>
    <definedName name="OSRRefD21_3x_2" localSheetId="62">'317'!$F$72</definedName>
    <definedName name="OSRRefD21_3x_2" localSheetId="66">'321'!$F$45</definedName>
    <definedName name="OSRRefD21_3x_2" localSheetId="67">'322'!$F$44</definedName>
    <definedName name="OSRRefD21_3x_2" localSheetId="68">'325'!$F$43</definedName>
    <definedName name="OSRRefD21_3x_2" localSheetId="58">'326'!$F$66</definedName>
    <definedName name="OSRRefD21_3x_2" localSheetId="51">'330'!$F$60</definedName>
    <definedName name="OSRRefD21_3x_2" localSheetId="56">'331'!$F$99</definedName>
    <definedName name="OSRRefD21_3x_2" localSheetId="59">'332'!$F$52</definedName>
    <definedName name="OSRRefD21_3x_2" localSheetId="73">'405'!$F$44</definedName>
    <definedName name="OSRRefD21_3x_2" localSheetId="74">'406'!$F$25</definedName>
    <definedName name="OSRRefD21_3x_2" localSheetId="75">'411'!$F$42</definedName>
    <definedName name="OSRRefD21_3x_2" localSheetId="76">'412'!$F$43</definedName>
    <definedName name="OSRRefD21_3x_2" localSheetId="77">'413'!$F$45</definedName>
    <definedName name="OSRRefD21_3x_2" localSheetId="78">'414'!$F$46</definedName>
    <definedName name="OSRRefD21_3x_2" localSheetId="79">'415'!$F$49</definedName>
    <definedName name="OSRRefD21_3x_2" localSheetId="80">'418'!$F$44</definedName>
    <definedName name="OSRRefD21_3x_2" localSheetId="82">'423'!$F$41:$F$42</definedName>
    <definedName name="OSRRefD21_3x_2" localSheetId="83">'424'!$F$25</definedName>
    <definedName name="OSRRefD21_3x_2" localSheetId="84">'425'!$F$29</definedName>
    <definedName name="OSRRefD21_3x_2" localSheetId="87">'430'!$F$42</definedName>
    <definedName name="OSRRefD21_3x_2" localSheetId="88">'433'!$F$50</definedName>
    <definedName name="OSRRefD21_3x_2" localSheetId="90">'444'!$F$50</definedName>
    <definedName name="OSRRefD21_3x_2" localSheetId="91">'450'!$F$46</definedName>
    <definedName name="OSRRefD21_3x_2" localSheetId="72">'491'!$F$51</definedName>
    <definedName name="OSRRefD21_3x_2" localSheetId="86">'492'!$F$50</definedName>
    <definedName name="OSRRefD21_3x_2" localSheetId="93">'501'!$F$45</definedName>
    <definedName name="OSRRefD21_3x_2" localSheetId="39">'Div 2'!$F$44</definedName>
    <definedName name="OSRRefD21_3x_2" localSheetId="47">'Div 3'!$F$139:$F$140</definedName>
    <definedName name="OSRRefD21_3x_2" localSheetId="70">'Div 4'!$F$54</definedName>
    <definedName name="OSRRefD21_3x_2" localSheetId="92">'Div 5'!$F$45</definedName>
    <definedName name="OSRRefD21_3x_2" localSheetId="61">'Div 6'!$F$72</definedName>
    <definedName name="OSRRefD21_3x_2" localSheetId="2">Summary!$F$166:$F$167</definedName>
    <definedName name="OSRRefD21_3x_3" localSheetId="40">'200'!$G$25</definedName>
    <definedName name="OSRRefD21_3x_3" localSheetId="41">'201'!$G$42</definedName>
    <definedName name="OSRRefD21_3x_3" localSheetId="42">'202'!$G$42</definedName>
    <definedName name="OSRRefD21_3x_3" localSheetId="43">'203'!$G$43</definedName>
    <definedName name="OSRRefD21_3x_3" localSheetId="44">'204'!$G$43</definedName>
    <definedName name="OSRRefD21_3x_3" localSheetId="45">'205'!$G$42</definedName>
    <definedName name="OSRRefD21_3x_3" localSheetId="46">'206'!$G$42</definedName>
    <definedName name="OSRRefD21_3x_3" localSheetId="48">'300'!$G$135:$G$136</definedName>
    <definedName name="OSRRefD21_3x_3" localSheetId="49">'300 &amp; 317'!$G$157:$G$158</definedName>
    <definedName name="OSRRefD21_3x_3" localSheetId="50">'301'!$G$43</definedName>
    <definedName name="OSRRefD21_3x_3" localSheetId="52">'307'!$G$60</definedName>
    <definedName name="OSRRefD21_3x_3" localSheetId="53">'308'!$G$77</definedName>
    <definedName name="OSRRefD21_3x_3" localSheetId="64">'309'!$G$43</definedName>
    <definedName name="OSRRefD21_3x_3" localSheetId="63">'310'!$G$49</definedName>
    <definedName name="OSRRefD21_3x_3" localSheetId="71">'310 &amp; 491'!$G$54</definedName>
    <definedName name="OSRRefD21_3x_3" localSheetId="54">'311'!$G$76</definedName>
    <definedName name="OSRRefD21_3x_3" localSheetId="65">'313'!$G$43</definedName>
    <definedName name="OSRRefD21_3x_3" localSheetId="57">'315'!$G$99</definedName>
    <definedName name="OSRRefD21_3x_3" localSheetId="60">'316'!$G$52</definedName>
    <definedName name="OSRRefD21_3x_3" localSheetId="62">'317'!$G$72</definedName>
    <definedName name="OSRRefD21_3x_3" localSheetId="66">'321'!$G$45</definedName>
    <definedName name="OSRRefD21_3x_3" localSheetId="67">'322'!$G$44</definedName>
    <definedName name="OSRRefD21_3x_3" localSheetId="68">'325'!$G$43</definedName>
    <definedName name="OSRRefD21_3x_3" localSheetId="58">'326'!$G$66</definedName>
    <definedName name="OSRRefD21_3x_3" localSheetId="51">'330'!$G$60</definedName>
    <definedName name="OSRRefD21_3x_3" localSheetId="56">'331'!$G$99</definedName>
    <definedName name="OSRRefD21_3x_3" localSheetId="59">'332'!$G$52</definedName>
    <definedName name="OSRRefD21_3x_3" localSheetId="73">'405'!$G$44</definedName>
    <definedName name="OSRRefD21_3x_3" localSheetId="74">'406'!$G$25</definedName>
    <definedName name="OSRRefD21_3x_3" localSheetId="75">'411'!$G$42</definedName>
    <definedName name="OSRRefD21_3x_3" localSheetId="76">'412'!$G$43</definedName>
    <definedName name="OSRRefD21_3x_3" localSheetId="77">'413'!$G$45</definedName>
    <definedName name="OSRRefD21_3x_3" localSheetId="78">'414'!$G$46</definedName>
    <definedName name="OSRRefD21_3x_3" localSheetId="79">'415'!$G$49</definedName>
    <definedName name="OSRRefD21_3x_3" localSheetId="80">'418'!$G$44</definedName>
    <definedName name="OSRRefD21_3x_3" localSheetId="82">'423'!$G$41:$G$42</definedName>
    <definedName name="OSRRefD21_3x_3" localSheetId="83">'424'!$G$25</definedName>
    <definedName name="OSRRefD21_3x_3" localSheetId="84">'425'!$G$29</definedName>
    <definedName name="OSRRefD21_3x_3" localSheetId="87">'430'!$G$42</definedName>
    <definedName name="OSRRefD21_3x_3" localSheetId="88">'433'!$G$50</definedName>
    <definedName name="OSRRefD21_3x_3" localSheetId="90">'444'!$G$50</definedName>
    <definedName name="OSRRefD21_3x_3" localSheetId="91">'450'!$G$46</definedName>
    <definedName name="OSRRefD21_3x_3" localSheetId="72">'491'!$G$51</definedName>
    <definedName name="OSRRefD21_3x_3" localSheetId="86">'492'!$G$50</definedName>
    <definedName name="OSRRefD21_3x_3" localSheetId="93">'501'!$G$45</definedName>
    <definedName name="OSRRefD21_3x_3" localSheetId="39">'Div 2'!$G$44</definedName>
    <definedName name="OSRRefD21_3x_3" localSheetId="47">'Div 3'!$G$139:$G$140</definedName>
    <definedName name="OSRRefD21_3x_3" localSheetId="70">'Div 4'!$G$54</definedName>
    <definedName name="OSRRefD21_3x_3" localSheetId="92">'Div 5'!$G$45</definedName>
    <definedName name="OSRRefD21_3x_3" localSheetId="61">'Div 6'!$G$72</definedName>
    <definedName name="OSRRefD21_3x_3" localSheetId="2">Summary!$G$166:$G$167</definedName>
    <definedName name="OSRRefD21_4_0x" localSheetId="40">'200'!$D$27:$G$27</definedName>
    <definedName name="OSRRefD21_4_0x" localSheetId="41">'201'!$D$44:$G$44</definedName>
    <definedName name="OSRRefD21_4_0x" localSheetId="42">'202'!$D$44:$G$44</definedName>
    <definedName name="OSRRefD21_4_0x" localSheetId="43">'203'!$D$45:$G$45</definedName>
    <definedName name="OSRRefD21_4_0x" localSheetId="44">'204'!$D$45:$G$45</definedName>
    <definedName name="OSRRefD21_4_0x" localSheetId="45">'205'!$D$44:$G$44</definedName>
    <definedName name="OSRRefD21_4_0x" localSheetId="46">'206'!$D$44:$G$44</definedName>
    <definedName name="OSRRefD21_4_0x" localSheetId="48">'300'!$D$138:$G$138</definedName>
    <definedName name="OSRRefD21_4_0x" localSheetId="49">'300 &amp; 317'!$D$160:$G$160</definedName>
    <definedName name="OSRRefD21_4_0x" localSheetId="50">'301'!$D$45:$G$45</definedName>
    <definedName name="OSRRefD21_4_0x" localSheetId="52">'307'!$D$62:$G$62</definedName>
    <definedName name="OSRRefD21_4_0x" localSheetId="53">'308'!$D$79:$G$79</definedName>
    <definedName name="OSRRefD21_4_0x" localSheetId="64">'309'!$D$45:$G$45</definedName>
    <definedName name="OSRRefD21_4_0x" localSheetId="63">'310'!$D$51:$G$51</definedName>
    <definedName name="OSRRefD21_4_0x" localSheetId="71">'310 &amp; 491'!$D$56:$G$56</definedName>
    <definedName name="OSRRefD21_4_0x" localSheetId="54">'311'!$D$78:$G$78</definedName>
    <definedName name="OSRRefD21_4_0x" localSheetId="65">'313'!$D$45:$G$45</definedName>
    <definedName name="OSRRefD21_4_0x" localSheetId="57">'315'!$D$101:$G$101</definedName>
    <definedName name="OSRRefD21_4_0x" localSheetId="60">'316'!$D$54:$G$54</definedName>
    <definedName name="OSRRefD21_4_0x" localSheetId="62">'317'!$D$74:$G$74</definedName>
    <definedName name="OSRRefD21_4_0x" localSheetId="66">'321'!$D$47:$G$47</definedName>
    <definedName name="OSRRefD21_4_0x" localSheetId="67">'322'!$D$46:$G$46</definedName>
    <definedName name="OSRRefD21_4_0x" localSheetId="68">'325'!$D$45:$G$45</definedName>
    <definedName name="OSRRefD21_4_0x" localSheetId="58">'326'!$D$68:$G$68</definedName>
    <definedName name="OSRRefD21_4_0x" localSheetId="51">'330'!$D$62:$G$62</definedName>
    <definedName name="OSRRefD21_4_0x" localSheetId="56">'331'!$D$101:$G$101</definedName>
    <definedName name="OSRRefD21_4_0x" localSheetId="59">'332'!$D$54:$G$54</definedName>
    <definedName name="OSRRefD21_4_0x" localSheetId="73">'405'!$D$46:$G$46</definedName>
    <definedName name="OSRRefD21_4_0x" localSheetId="74">'406'!$D$27:$G$27</definedName>
    <definedName name="OSRRefD21_4_0x" localSheetId="75">'411'!$D$44:$G$44</definedName>
    <definedName name="OSRRefD21_4_0x" localSheetId="76">'412'!$D$45:$G$45</definedName>
    <definedName name="OSRRefD21_4_0x" localSheetId="77">'413'!$D$47:$G$47</definedName>
    <definedName name="OSRRefD21_4_0x" localSheetId="78">'414'!$D$48:$G$48</definedName>
    <definedName name="OSRRefD21_4_0x" localSheetId="79">'415'!$D$51:$G$51</definedName>
    <definedName name="OSRRefD21_4_0x" localSheetId="80">'418'!$D$46:$G$46</definedName>
    <definedName name="OSRRefD21_4_0x" localSheetId="82">'423'!$D$44:$G$44</definedName>
    <definedName name="OSRRefD21_4_0x" localSheetId="84">'425'!$D$31:$G$31</definedName>
    <definedName name="OSRRefD21_4_0x" localSheetId="87">'430'!$D$44:$G$44</definedName>
    <definedName name="OSRRefD21_4_0x" localSheetId="88">'433'!$D$52:$G$52</definedName>
    <definedName name="OSRRefD21_4_0x" localSheetId="90">'444'!$D$52:$G$52</definedName>
    <definedName name="OSRRefD21_4_0x" localSheetId="91">'450'!$D$48:$G$48</definedName>
    <definedName name="OSRRefD21_4_0x" localSheetId="72">'491'!$D$53:$G$53</definedName>
    <definedName name="OSRRefD21_4_0x" localSheetId="86">'492'!$D$52:$G$52</definedName>
    <definedName name="OSRRefD21_4_0x" localSheetId="93">'501'!$D$47:$G$47</definedName>
    <definedName name="OSRRefD21_4_0x" localSheetId="39">'Div 2'!$D$46:$G$46</definedName>
    <definedName name="OSRRefD21_4_0x" localSheetId="47">'Div 3'!$D$142:$G$142</definedName>
    <definedName name="OSRRefD21_4_0x" localSheetId="70">'Div 4'!$D$56:$G$56</definedName>
    <definedName name="OSRRefD21_4_0x" localSheetId="92">'Div 5'!$D$47:$G$47</definedName>
    <definedName name="OSRRefD21_4_0x" localSheetId="61">'Div 6'!$D$74:$G$74</definedName>
    <definedName name="OSRRefD21_4_0x" localSheetId="2">Summary!$D$169:$G$169</definedName>
    <definedName name="OSRRefD21_4_1x" localSheetId="40">'200'!$D$28:$G$28</definedName>
    <definedName name="OSRRefD21_4_1x" localSheetId="41">'201'!$D$45:$G$45</definedName>
    <definedName name="OSRRefD21_4_1x" localSheetId="42">'202'!$D$45:$G$45</definedName>
    <definedName name="OSRRefD21_4_1x" localSheetId="44">'204'!$D$46:$G$46</definedName>
    <definedName name="OSRRefD21_4_1x" localSheetId="45">'205'!$D$45:$G$45</definedName>
    <definedName name="OSRRefD21_4_1x" localSheetId="50">'301'!$D$46:$G$46</definedName>
    <definedName name="OSRRefD21_4_1x" localSheetId="73">'405'!$D$47:$G$47</definedName>
    <definedName name="OSRRefD21_4_1x" localSheetId="75">'411'!$D$45:$G$45</definedName>
    <definedName name="OSRRefD21_4_1x" localSheetId="76">'412'!$D$46:$G$46</definedName>
    <definedName name="OSRRefD21_4_1x" localSheetId="80">'418'!$D$47:$G$47</definedName>
    <definedName name="OSRRefD21_4_1x" localSheetId="87">'430'!$D$45:$G$45</definedName>
    <definedName name="OSRRefD21_4_2x" localSheetId="44">'204'!$D$47:$G$47</definedName>
    <definedName name="OSRRefD21_4_2x" localSheetId="45">'205'!$D$46:$G$46</definedName>
    <definedName name="OSRRefD21_4_2x" localSheetId="87">'430'!$D$46:$G$46</definedName>
    <definedName name="OSRRefD21_4x_0" localSheetId="40">'200'!$D$27:$D$28</definedName>
    <definedName name="OSRRefD21_4x_0" localSheetId="41">'201'!$D$44:$D$45</definedName>
    <definedName name="OSRRefD21_4x_0" localSheetId="42">'202'!$D$44:$D$45</definedName>
    <definedName name="OSRRefD21_4x_0" localSheetId="43">'203'!$D$45</definedName>
    <definedName name="OSRRefD21_4x_0" localSheetId="44">'204'!$D$45:$D$47</definedName>
    <definedName name="OSRRefD21_4x_0" localSheetId="45">'205'!$D$44:$D$46</definedName>
    <definedName name="OSRRefD21_4x_0" localSheetId="46">'206'!$D$44</definedName>
    <definedName name="OSRRefD21_4x_0" localSheetId="48">'300'!$D$138</definedName>
    <definedName name="OSRRefD21_4x_0" localSheetId="49">'300 &amp; 317'!$D$160</definedName>
    <definedName name="OSRRefD21_4x_0" localSheetId="50">'301'!$D$45:$D$46</definedName>
    <definedName name="OSRRefD21_4x_0" localSheetId="52">'307'!$D$62</definedName>
    <definedName name="OSRRefD21_4x_0" localSheetId="53">'308'!$D$79</definedName>
    <definedName name="OSRRefD21_4x_0" localSheetId="64">'309'!$D$45</definedName>
    <definedName name="OSRRefD21_4x_0" localSheetId="63">'310'!$D$51</definedName>
    <definedName name="OSRRefD21_4x_0" localSheetId="71">'310 &amp; 491'!$D$56</definedName>
    <definedName name="OSRRefD21_4x_0" localSheetId="54">'311'!$D$78</definedName>
    <definedName name="OSRRefD21_4x_0" localSheetId="65">'313'!$D$45</definedName>
    <definedName name="OSRRefD21_4x_0" localSheetId="57">'315'!$D$101</definedName>
    <definedName name="OSRRefD21_4x_0" localSheetId="60">'316'!$D$54</definedName>
    <definedName name="OSRRefD21_4x_0" localSheetId="62">'317'!$D$74</definedName>
    <definedName name="OSRRefD21_4x_0" localSheetId="66">'321'!$D$47</definedName>
    <definedName name="OSRRefD21_4x_0" localSheetId="67">'322'!$D$46</definedName>
    <definedName name="OSRRefD21_4x_0" localSheetId="68">'325'!$D$45</definedName>
    <definedName name="OSRRefD21_4x_0" localSheetId="58">'326'!$D$68</definedName>
    <definedName name="OSRRefD21_4x_0" localSheetId="51">'330'!$D$62</definedName>
    <definedName name="OSRRefD21_4x_0" localSheetId="56">'331'!$D$101</definedName>
    <definedName name="OSRRefD21_4x_0" localSheetId="59">'332'!$D$54</definedName>
    <definedName name="OSRRefD21_4x_0" localSheetId="73">'405'!$D$46:$D$47</definedName>
    <definedName name="OSRRefD21_4x_0" localSheetId="74">'406'!$D$27</definedName>
    <definedName name="OSRRefD21_4x_0" localSheetId="75">'411'!$D$44:$D$45</definedName>
    <definedName name="OSRRefD21_4x_0" localSheetId="76">'412'!$D$45:$D$46</definedName>
    <definedName name="OSRRefD21_4x_0" localSheetId="77">'413'!$D$47</definedName>
    <definedName name="OSRRefD21_4x_0" localSheetId="78">'414'!$D$48</definedName>
    <definedName name="OSRRefD21_4x_0" localSheetId="79">'415'!$D$51</definedName>
    <definedName name="OSRRefD21_4x_0" localSheetId="80">'418'!$D$46:$D$47</definedName>
    <definedName name="OSRRefD21_4x_0" localSheetId="82">'423'!$D$44</definedName>
    <definedName name="OSRRefD21_4x_0" localSheetId="84">'425'!$D$31</definedName>
    <definedName name="OSRRefD21_4x_0" localSheetId="87">'430'!$D$44:$D$46</definedName>
    <definedName name="OSRRefD21_4x_0" localSheetId="88">'433'!$D$52</definedName>
    <definedName name="OSRRefD21_4x_0" localSheetId="90">'444'!$D$52</definedName>
    <definedName name="OSRRefD21_4x_0" localSheetId="91">'450'!$D$48</definedName>
    <definedName name="OSRRefD21_4x_0" localSheetId="72">'491'!$D$53</definedName>
    <definedName name="OSRRefD21_4x_0" localSheetId="86">'492'!$D$52</definedName>
    <definedName name="OSRRefD21_4x_0" localSheetId="93">'501'!$D$47</definedName>
    <definedName name="OSRRefD21_4x_0" localSheetId="39">'Div 2'!$D$46</definedName>
    <definedName name="OSRRefD21_4x_0" localSheetId="47">'Div 3'!$D$142</definedName>
    <definedName name="OSRRefD21_4x_0" localSheetId="70">'Div 4'!$D$56</definedName>
    <definedName name="OSRRefD21_4x_0" localSheetId="92">'Div 5'!$D$47</definedName>
    <definedName name="OSRRefD21_4x_0" localSheetId="61">'Div 6'!$D$74</definedName>
    <definedName name="OSRRefD21_4x_0" localSheetId="2">Summary!$D$169</definedName>
    <definedName name="OSRRefD21_4x_1" localSheetId="40">'200'!$E$27:$E$28</definedName>
    <definedName name="OSRRefD21_4x_1" localSheetId="41">'201'!$E$44:$E$45</definedName>
    <definedName name="OSRRefD21_4x_1" localSheetId="42">'202'!$E$44:$E$45</definedName>
    <definedName name="OSRRefD21_4x_1" localSheetId="43">'203'!$E$45</definedName>
    <definedName name="OSRRefD21_4x_1" localSheetId="44">'204'!$E$45:$E$47</definedName>
    <definedName name="OSRRefD21_4x_1" localSheetId="45">'205'!$E$44:$E$46</definedName>
    <definedName name="OSRRefD21_4x_1" localSheetId="46">'206'!$E$44</definedName>
    <definedName name="OSRRefD21_4x_1" localSheetId="48">'300'!$E$138</definedName>
    <definedName name="OSRRefD21_4x_1" localSheetId="49">'300 &amp; 317'!$E$160</definedName>
    <definedName name="OSRRefD21_4x_1" localSheetId="50">'301'!$E$45:$E$46</definedName>
    <definedName name="OSRRefD21_4x_1" localSheetId="52">'307'!$E$62</definedName>
    <definedName name="OSRRefD21_4x_1" localSheetId="53">'308'!$E$79</definedName>
    <definedName name="OSRRefD21_4x_1" localSheetId="64">'309'!$E$45</definedName>
    <definedName name="OSRRefD21_4x_1" localSheetId="63">'310'!$E$51</definedName>
    <definedName name="OSRRefD21_4x_1" localSheetId="71">'310 &amp; 491'!$E$56</definedName>
    <definedName name="OSRRefD21_4x_1" localSheetId="54">'311'!$E$78</definedName>
    <definedName name="OSRRefD21_4x_1" localSheetId="65">'313'!$E$45</definedName>
    <definedName name="OSRRefD21_4x_1" localSheetId="57">'315'!$E$101</definedName>
    <definedName name="OSRRefD21_4x_1" localSheetId="60">'316'!$E$54</definedName>
    <definedName name="OSRRefD21_4x_1" localSheetId="62">'317'!$E$74</definedName>
    <definedName name="OSRRefD21_4x_1" localSheetId="66">'321'!$E$47</definedName>
    <definedName name="OSRRefD21_4x_1" localSheetId="67">'322'!$E$46</definedName>
    <definedName name="OSRRefD21_4x_1" localSheetId="68">'325'!$E$45</definedName>
    <definedName name="OSRRefD21_4x_1" localSheetId="58">'326'!$E$68</definedName>
    <definedName name="OSRRefD21_4x_1" localSheetId="51">'330'!$E$62</definedName>
    <definedName name="OSRRefD21_4x_1" localSheetId="56">'331'!$E$101</definedName>
    <definedName name="OSRRefD21_4x_1" localSheetId="59">'332'!$E$54</definedName>
    <definedName name="OSRRefD21_4x_1" localSheetId="73">'405'!$E$46:$E$47</definedName>
    <definedName name="OSRRefD21_4x_1" localSheetId="74">'406'!$E$27</definedName>
    <definedName name="OSRRefD21_4x_1" localSheetId="75">'411'!$E$44:$E$45</definedName>
    <definedName name="OSRRefD21_4x_1" localSheetId="76">'412'!$E$45:$E$46</definedName>
    <definedName name="OSRRefD21_4x_1" localSheetId="77">'413'!$E$47</definedName>
    <definedName name="OSRRefD21_4x_1" localSheetId="78">'414'!$E$48</definedName>
    <definedName name="OSRRefD21_4x_1" localSheetId="79">'415'!$E$51</definedName>
    <definedName name="OSRRefD21_4x_1" localSheetId="80">'418'!$E$46:$E$47</definedName>
    <definedName name="OSRRefD21_4x_1" localSheetId="82">'423'!$E$44</definedName>
    <definedName name="OSRRefD21_4x_1" localSheetId="84">'425'!$E$31</definedName>
    <definedName name="OSRRefD21_4x_1" localSheetId="87">'430'!$E$44:$E$46</definedName>
    <definedName name="OSRRefD21_4x_1" localSheetId="88">'433'!$E$52</definedName>
    <definedName name="OSRRefD21_4x_1" localSheetId="90">'444'!$E$52</definedName>
    <definedName name="OSRRefD21_4x_1" localSheetId="91">'450'!$E$48</definedName>
    <definedName name="OSRRefD21_4x_1" localSheetId="72">'491'!$E$53</definedName>
    <definedName name="OSRRefD21_4x_1" localSheetId="86">'492'!$E$52</definedName>
    <definedName name="OSRRefD21_4x_1" localSheetId="93">'501'!$E$47</definedName>
    <definedName name="OSRRefD21_4x_1" localSheetId="39">'Div 2'!$E$46</definedName>
    <definedName name="OSRRefD21_4x_1" localSheetId="47">'Div 3'!$E$142</definedName>
    <definedName name="OSRRefD21_4x_1" localSheetId="70">'Div 4'!$E$56</definedName>
    <definedName name="OSRRefD21_4x_1" localSheetId="92">'Div 5'!$E$47</definedName>
    <definedName name="OSRRefD21_4x_1" localSheetId="61">'Div 6'!$E$74</definedName>
    <definedName name="OSRRefD21_4x_1" localSheetId="2">Summary!$E$169</definedName>
    <definedName name="OSRRefD21_4x_2" localSheetId="40">'200'!$F$27:$F$28</definedName>
    <definedName name="OSRRefD21_4x_2" localSheetId="41">'201'!$F$44:$F$45</definedName>
    <definedName name="OSRRefD21_4x_2" localSheetId="42">'202'!$F$44:$F$45</definedName>
    <definedName name="OSRRefD21_4x_2" localSheetId="43">'203'!$F$45</definedName>
    <definedName name="OSRRefD21_4x_2" localSheetId="44">'204'!$F$45:$F$47</definedName>
    <definedName name="OSRRefD21_4x_2" localSheetId="45">'205'!$F$44:$F$46</definedName>
    <definedName name="OSRRefD21_4x_2" localSheetId="46">'206'!$F$44</definedName>
    <definedName name="OSRRefD21_4x_2" localSheetId="48">'300'!$F$138</definedName>
    <definedName name="OSRRefD21_4x_2" localSheetId="49">'300 &amp; 317'!$F$160</definedName>
    <definedName name="OSRRefD21_4x_2" localSheetId="50">'301'!$F$45:$F$46</definedName>
    <definedName name="OSRRefD21_4x_2" localSheetId="52">'307'!$F$62</definedName>
    <definedName name="OSRRefD21_4x_2" localSheetId="53">'308'!$F$79</definedName>
    <definedName name="OSRRefD21_4x_2" localSheetId="64">'309'!$F$45</definedName>
    <definedName name="OSRRefD21_4x_2" localSheetId="63">'310'!$F$51</definedName>
    <definedName name="OSRRefD21_4x_2" localSheetId="71">'310 &amp; 491'!$F$56</definedName>
    <definedName name="OSRRefD21_4x_2" localSheetId="54">'311'!$F$78</definedName>
    <definedName name="OSRRefD21_4x_2" localSheetId="65">'313'!$F$45</definedName>
    <definedName name="OSRRefD21_4x_2" localSheetId="57">'315'!$F$101</definedName>
    <definedName name="OSRRefD21_4x_2" localSheetId="60">'316'!$F$54</definedName>
    <definedName name="OSRRefD21_4x_2" localSheetId="62">'317'!$F$74</definedName>
    <definedName name="OSRRefD21_4x_2" localSheetId="66">'321'!$F$47</definedName>
    <definedName name="OSRRefD21_4x_2" localSheetId="67">'322'!$F$46</definedName>
    <definedName name="OSRRefD21_4x_2" localSheetId="68">'325'!$F$45</definedName>
    <definedName name="OSRRefD21_4x_2" localSheetId="58">'326'!$F$68</definedName>
    <definedName name="OSRRefD21_4x_2" localSheetId="51">'330'!$F$62</definedName>
    <definedName name="OSRRefD21_4x_2" localSheetId="56">'331'!$F$101</definedName>
    <definedName name="OSRRefD21_4x_2" localSheetId="59">'332'!$F$54</definedName>
    <definedName name="OSRRefD21_4x_2" localSheetId="73">'405'!$F$46:$F$47</definedName>
    <definedName name="OSRRefD21_4x_2" localSheetId="74">'406'!$F$27</definedName>
    <definedName name="OSRRefD21_4x_2" localSheetId="75">'411'!$F$44:$F$45</definedName>
    <definedName name="OSRRefD21_4x_2" localSheetId="76">'412'!$F$45:$F$46</definedName>
    <definedName name="OSRRefD21_4x_2" localSheetId="77">'413'!$F$47</definedName>
    <definedName name="OSRRefD21_4x_2" localSheetId="78">'414'!$F$48</definedName>
    <definedName name="OSRRefD21_4x_2" localSheetId="79">'415'!$F$51</definedName>
    <definedName name="OSRRefD21_4x_2" localSheetId="80">'418'!$F$46:$F$47</definedName>
    <definedName name="OSRRefD21_4x_2" localSheetId="82">'423'!$F$44</definedName>
    <definedName name="OSRRefD21_4x_2" localSheetId="84">'425'!$F$31</definedName>
    <definedName name="OSRRefD21_4x_2" localSheetId="87">'430'!$F$44:$F$46</definedName>
    <definedName name="OSRRefD21_4x_2" localSheetId="88">'433'!$F$52</definedName>
    <definedName name="OSRRefD21_4x_2" localSheetId="90">'444'!$F$52</definedName>
    <definedName name="OSRRefD21_4x_2" localSheetId="91">'450'!$F$48</definedName>
    <definedName name="OSRRefD21_4x_2" localSheetId="72">'491'!$F$53</definedName>
    <definedName name="OSRRefD21_4x_2" localSheetId="86">'492'!$F$52</definedName>
    <definedName name="OSRRefD21_4x_2" localSheetId="93">'501'!$F$47</definedName>
    <definedName name="OSRRefD21_4x_2" localSheetId="39">'Div 2'!$F$46</definedName>
    <definedName name="OSRRefD21_4x_2" localSheetId="47">'Div 3'!$F$142</definedName>
    <definedName name="OSRRefD21_4x_2" localSheetId="70">'Div 4'!$F$56</definedName>
    <definedName name="OSRRefD21_4x_2" localSheetId="92">'Div 5'!$F$47</definedName>
    <definedName name="OSRRefD21_4x_2" localSheetId="61">'Div 6'!$F$74</definedName>
    <definedName name="OSRRefD21_4x_2" localSheetId="2">Summary!$F$169</definedName>
    <definedName name="OSRRefD21_4x_3" localSheetId="40">'200'!$G$27:$G$28</definedName>
    <definedName name="OSRRefD21_4x_3" localSheetId="41">'201'!$G$44:$G$45</definedName>
    <definedName name="OSRRefD21_4x_3" localSheetId="42">'202'!$G$44:$G$45</definedName>
    <definedName name="OSRRefD21_4x_3" localSheetId="43">'203'!$G$45</definedName>
    <definedName name="OSRRefD21_4x_3" localSheetId="44">'204'!$G$45:$G$47</definedName>
    <definedName name="OSRRefD21_4x_3" localSheetId="45">'205'!$G$44:$G$46</definedName>
    <definedName name="OSRRefD21_4x_3" localSheetId="46">'206'!$G$44</definedName>
    <definedName name="OSRRefD21_4x_3" localSheetId="48">'300'!$G$138</definedName>
    <definedName name="OSRRefD21_4x_3" localSheetId="49">'300 &amp; 317'!$G$160</definedName>
    <definedName name="OSRRefD21_4x_3" localSheetId="50">'301'!$G$45:$G$46</definedName>
    <definedName name="OSRRefD21_4x_3" localSheetId="52">'307'!$G$62</definedName>
    <definedName name="OSRRefD21_4x_3" localSheetId="53">'308'!$G$79</definedName>
    <definedName name="OSRRefD21_4x_3" localSheetId="64">'309'!$G$45</definedName>
    <definedName name="OSRRefD21_4x_3" localSheetId="63">'310'!$G$51</definedName>
    <definedName name="OSRRefD21_4x_3" localSheetId="71">'310 &amp; 491'!$G$56</definedName>
    <definedName name="OSRRefD21_4x_3" localSheetId="54">'311'!$G$78</definedName>
    <definedName name="OSRRefD21_4x_3" localSheetId="65">'313'!$G$45</definedName>
    <definedName name="OSRRefD21_4x_3" localSheetId="57">'315'!$G$101</definedName>
    <definedName name="OSRRefD21_4x_3" localSheetId="60">'316'!$G$54</definedName>
    <definedName name="OSRRefD21_4x_3" localSheetId="62">'317'!$G$74</definedName>
    <definedName name="OSRRefD21_4x_3" localSheetId="66">'321'!$G$47</definedName>
    <definedName name="OSRRefD21_4x_3" localSheetId="67">'322'!$G$46</definedName>
    <definedName name="OSRRefD21_4x_3" localSheetId="68">'325'!$G$45</definedName>
    <definedName name="OSRRefD21_4x_3" localSheetId="58">'326'!$G$68</definedName>
    <definedName name="OSRRefD21_4x_3" localSheetId="51">'330'!$G$62</definedName>
    <definedName name="OSRRefD21_4x_3" localSheetId="56">'331'!$G$101</definedName>
    <definedName name="OSRRefD21_4x_3" localSheetId="59">'332'!$G$54</definedName>
    <definedName name="OSRRefD21_4x_3" localSheetId="73">'405'!$G$46:$G$47</definedName>
    <definedName name="OSRRefD21_4x_3" localSheetId="74">'406'!$G$27</definedName>
    <definedName name="OSRRefD21_4x_3" localSheetId="75">'411'!$G$44:$G$45</definedName>
    <definedName name="OSRRefD21_4x_3" localSheetId="76">'412'!$G$45:$G$46</definedName>
    <definedName name="OSRRefD21_4x_3" localSheetId="77">'413'!$G$47</definedName>
    <definedName name="OSRRefD21_4x_3" localSheetId="78">'414'!$G$48</definedName>
    <definedName name="OSRRefD21_4x_3" localSheetId="79">'415'!$G$51</definedName>
    <definedName name="OSRRefD21_4x_3" localSheetId="80">'418'!$G$46:$G$47</definedName>
    <definedName name="OSRRefD21_4x_3" localSheetId="82">'423'!$G$44</definedName>
    <definedName name="OSRRefD21_4x_3" localSheetId="84">'425'!$G$31</definedName>
    <definedName name="OSRRefD21_4x_3" localSheetId="87">'430'!$G$44:$G$46</definedName>
    <definedName name="OSRRefD21_4x_3" localSheetId="88">'433'!$G$52</definedName>
    <definedName name="OSRRefD21_4x_3" localSheetId="90">'444'!$G$52</definedName>
    <definedName name="OSRRefD21_4x_3" localSheetId="91">'450'!$G$48</definedName>
    <definedName name="OSRRefD21_4x_3" localSheetId="72">'491'!$G$53</definedName>
    <definedName name="OSRRefD21_4x_3" localSheetId="86">'492'!$G$52</definedName>
    <definedName name="OSRRefD21_4x_3" localSheetId="93">'501'!$G$47</definedName>
    <definedName name="OSRRefD21_4x_3" localSheetId="39">'Div 2'!$G$46</definedName>
    <definedName name="OSRRefD21_4x_3" localSheetId="47">'Div 3'!$G$142</definedName>
    <definedName name="OSRRefD21_4x_3" localSheetId="70">'Div 4'!$G$56</definedName>
    <definedName name="OSRRefD21_4x_3" localSheetId="92">'Div 5'!$G$47</definedName>
    <definedName name="OSRRefD21_4x_3" localSheetId="61">'Div 6'!$G$74</definedName>
    <definedName name="OSRRefD21_4x_3" localSheetId="2">Summary!$G$169</definedName>
    <definedName name="OSRRefD21_5_0x" localSheetId="41">'201'!$D$47:$G$47</definedName>
    <definedName name="OSRRefD21_5_0x" localSheetId="42">'202'!$D$47:$G$47</definedName>
    <definedName name="OSRRefD21_5_0x" localSheetId="43">'203'!$D$47:$G$47</definedName>
    <definedName name="OSRRefD21_5_0x" localSheetId="44">'204'!$D$49:$G$49</definedName>
    <definedName name="OSRRefD21_5_0x" localSheetId="45">'205'!$D$48:$G$48</definedName>
    <definedName name="OSRRefD21_5_0x" localSheetId="46">'206'!$D$46:$G$46</definedName>
    <definedName name="OSRRefD21_5_0x" localSheetId="48">'300'!$D$140:$G$140</definedName>
    <definedName name="OSRRefD21_5_0x" localSheetId="49">'300 &amp; 317'!$D$162:$G$162</definedName>
    <definedName name="OSRRefD21_5_0x" localSheetId="50">'301'!$D$48:$G$48</definedName>
    <definedName name="OSRRefD21_5_0x" localSheetId="52">'307'!$D$64:$G$64</definedName>
    <definedName name="OSRRefD21_5_0x" localSheetId="53">'308'!$D$81:$G$81</definedName>
    <definedName name="OSRRefD21_5_0x" localSheetId="64">'309'!$D$47:$G$47</definedName>
    <definedName name="OSRRefD21_5_0x" localSheetId="63">'310'!$D$53:$G$53</definedName>
    <definedName name="OSRRefD21_5_0x" localSheetId="71">'310 &amp; 491'!$D$58:$G$58</definedName>
    <definedName name="OSRRefD21_5_0x" localSheetId="54">'311'!$D$80:$G$80</definedName>
    <definedName name="OSRRefD21_5_0x" localSheetId="65">'313'!$D$47:$G$47</definedName>
    <definedName name="OSRRefD21_5_0x" localSheetId="57">'315'!$D$103:$G$103</definedName>
    <definedName name="OSRRefD21_5_0x" localSheetId="60">'316'!$D$56:$G$56</definedName>
    <definedName name="OSRRefD21_5_0x" localSheetId="62">'317'!$D$76:$G$76</definedName>
    <definedName name="OSRRefD21_5_0x" localSheetId="66">'321'!$D$49:$G$49</definedName>
    <definedName name="OSRRefD21_5_0x" localSheetId="67">'322'!$D$48:$G$48</definedName>
    <definedName name="OSRRefD21_5_0x" localSheetId="68">'325'!$D$47:$G$47</definedName>
    <definedName name="OSRRefD21_5_0x" localSheetId="58">'326'!$D$70:$G$70</definedName>
    <definedName name="OSRRefD21_5_0x" localSheetId="51">'330'!$D$64:$G$64</definedName>
    <definedName name="OSRRefD21_5_0x" localSheetId="56">'331'!$D$103:$G$103</definedName>
    <definedName name="OSRRefD21_5_0x" localSheetId="59">'332'!$D$56:$G$56</definedName>
    <definedName name="OSRRefD21_5_0x" localSheetId="73">'405'!$D$49:$G$49</definedName>
    <definedName name="OSRRefD21_5_0x" localSheetId="75">'411'!$D$47:$G$47</definedName>
    <definedName name="OSRRefD21_5_0x" localSheetId="76">'412'!$D$48:$G$48</definedName>
    <definedName name="OSRRefD21_5_0x" localSheetId="77">'413'!$D$49:$G$49</definedName>
    <definedName name="OSRRefD21_5_0x" localSheetId="78">'414'!$D$50:$G$50</definedName>
    <definedName name="OSRRefD21_5_0x" localSheetId="79">'415'!$D$53:$G$53</definedName>
    <definedName name="OSRRefD21_5_0x" localSheetId="80">'418'!$D$49:$G$49</definedName>
    <definedName name="OSRRefD21_5_0x" localSheetId="82">'423'!$D$46:$G$46</definedName>
    <definedName name="OSRRefD21_5_0x" localSheetId="87">'430'!$D$48:$G$48</definedName>
    <definedName name="OSRRefD21_5_0x" localSheetId="88">'433'!$D$54:$G$54</definedName>
    <definedName name="OSRRefD21_5_0x" localSheetId="90">'444'!$D$54:$G$54</definedName>
    <definedName name="OSRRefD21_5_0x" localSheetId="91">'450'!$D$50:$G$50</definedName>
    <definedName name="OSRRefD21_5_0x" localSheetId="72">'491'!$D$55:$G$55</definedName>
    <definedName name="OSRRefD21_5_0x" localSheetId="86">'492'!$D$54:$G$54</definedName>
    <definedName name="OSRRefD21_5_0x" localSheetId="93">'501'!$D$49:$G$49</definedName>
    <definedName name="OSRRefD21_5_0x" localSheetId="39">'Div 2'!$D$48:$G$48</definedName>
    <definedName name="OSRRefD21_5_0x" localSheetId="47">'Div 3'!$D$144:$G$144</definedName>
    <definedName name="OSRRefD21_5_0x" localSheetId="70">'Div 4'!$D$58:$G$58</definedName>
    <definedName name="OSRRefD21_5_0x" localSheetId="92">'Div 5'!$D$49:$G$49</definedName>
    <definedName name="OSRRefD21_5_0x" localSheetId="61">'Div 6'!$D$76:$G$76</definedName>
    <definedName name="OSRRefD21_5_0x" localSheetId="2">Summary!$D$171:$G$171</definedName>
    <definedName name="OSRRefD21_5_1x" localSheetId="48">'300'!$D$141:$G$141</definedName>
    <definedName name="OSRRefD21_5_1x" localSheetId="49">'300 &amp; 317'!$D$163:$G$163</definedName>
    <definedName name="OSRRefD21_5_1x" localSheetId="52">'307'!$D$65:$G$65</definedName>
    <definedName name="OSRRefD21_5_1x" localSheetId="64">'309'!$D$48:$G$48</definedName>
    <definedName name="OSRRefD21_5_1x" localSheetId="63">'310'!$D$54:$G$54</definedName>
    <definedName name="OSRRefD21_5_1x" localSheetId="71">'310 &amp; 491'!$D$59:$G$59</definedName>
    <definedName name="OSRRefD21_5_1x" localSheetId="68">'325'!$D$48:$G$48</definedName>
    <definedName name="OSRRefD21_5_1x" localSheetId="51">'330'!$D$65:$G$65</definedName>
    <definedName name="OSRRefD21_5_1x" localSheetId="79">'415'!$D$54:$G$54</definedName>
    <definedName name="OSRRefD21_5_1x" localSheetId="87">'430'!$D$49:$G$49</definedName>
    <definedName name="OSRRefD21_5_1x" localSheetId="72">'491'!$D$56:$G$56</definedName>
    <definedName name="OSRRefD21_5_1x" localSheetId="93">'501'!$D$50:$G$50</definedName>
    <definedName name="OSRRefD21_5_1x" localSheetId="47">'Div 3'!$D$145:$G$145</definedName>
    <definedName name="OSRRefD21_5_1x" localSheetId="70">'Div 4'!$D$59:$G$59</definedName>
    <definedName name="OSRRefD21_5_1x" localSheetId="92">'Div 5'!$D$50:$G$50</definedName>
    <definedName name="OSRRefD21_5_1x" localSheetId="2">Summary!$D$172:$G$172</definedName>
    <definedName name="OSRRefD21_5_2x" localSheetId="71">'310 &amp; 491'!$D$60:$G$60</definedName>
    <definedName name="OSRRefD21_5_2x" localSheetId="72">'491'!$D$57:$G$57</definedName>
    <definedName name="OSRRefD21_5_2x" localSheetId="70">'Div 4'!$D$60:$G$60</definedName>
    <definedName name="OSRRefD21_5_2x" localSheetId="2">Summary!$D$173:$G$173</definedName>
    <definedName name="OSRRefD21_5x_0" localSheetId="41">'201'!$D$47</definedName>
    <definedName name="OSRRefD21_5x_0" localSheetId="42">'202'!$D$47</definedName>
    <definedName name="OSRRefD21_5x_0" localSheetId="43">'203'!$D$47</definedName>
    <definedName name="OSRRefD21_5x_0" localSheetId="44">'204'!$D$49</definedName>
    <definedName name="OSRRefD21_5x_0" localSheetId="45">'205'!$D$48</definedName>
    <definedName name="OSRRefD21_5x_0" localSheetId="46">'206'!$D$46</definedName>
    <definedName name="OSRRefD21_5x_0" localSheetId="48">'300'!$D$140:$D$141</definedName>
    <definedName name="OSRRefD21_5x_0" localSheetId="49">'300 &amp; 317'!$D$162:$D$163</definedName>
    <definedName name="OSRRefD21_5x_0" localSheetId="50">'301'!$D$48</definedName>
    <definedName name="OSRRefD21_5x_0" localSheetId="52">'307'!$D$64:$D$65</definedName>
    <definedName name="OSRRefD21_5x_0" localSheetId="53">'308'!$D$81</definedName>
    <definedName name="OSRRefD21_5x_0" localSheetId="64">'309'!$D$47:$D$48</definedName>
    <definedName name="OSRRefD21_5x_0" localSheetId="63">'310'!$D$53:$D$54</definedName>
    <definedName name="OSRRefD21_5x_0" localSheetId="71">'310 &amp; 491'!$D$58:$D$60</definedName>
    <definedName name="OSRRefD21_5x_0" localSheetId="54">'311'!$D$80</definedName>
    <definedName name="OSRRefD21_5x_0" localSheetId="65">'313'!$D$47</definedName>
    <definedName name="OSRRefD21_5x_0" localSheetId="57">'315'!$D$103</definedName>
    <definedName name="OSRRefD21_5x_0" localSheetId="60">'316'!$D$56</definedName>
    <definedName name="OSRRefD21_5x_0" localSheetId="62">'317'!$D$76</definedName>
    <definedName name="OSRRefD21_5x_0" localSheetId="66">'321'!$D$49</definedName>
    <definedName name="OSRRefD21_5x_0" localSheetId="67">'322'!$D$48</definedName>
    <definedName name="OSRRefD21_5x_0" localSheetId="68">'325'!$D$47:$D$48</definedName>
    <definedName name="OSRRefD21_5x_0" localSheetId="58">'326'!$D$70</definedName>
    <definedName name="OSRRefD21_5x_0" localSheetId="51">'330'!$D$64:$D$65</definedName>
    <definedName name="OSRRefD21_5x_0" localSheetId="56">'331'!$D$103</definedName>
    <definedName name="OSRRefD21_5x_0" localSheetId="59">'332'!$D$56</definedName>
    <definedName name="OSRRefD21_5x_0" localSheetId="73">'405'!$D$49</definedName>
    <definedName name="OSRRefD21_5x_0" localSheetId="75">'411'!$D$47</definedName>
    <definedName name="OSRRefD21_5x_0" localSheetId="76">'412'!$D$48</definedName>
    <definedName name="OSRRefD21_5x_0" localSheetId="77">'413'!$D$49</definedName>
    <definedName name="OSRRefD21_5x_0" localSheetId="78">'414'!$D$50</definedName>
    <definedName name="OSRRefD21_5x_0" localSheetId="79">'415'!$D$53:$D$54</definedName>
    <definedName name="OSRRefD21_5x_0" localSheetId="80">'418'!$D$49</definedName>
    <definedName name="OSRRefD21_5x_0" localSheetId="82">'423'!$D$46</definedName>
    <definedName name="OSRRefD21_5x_0" localSheetId="87">'430'!$D$48:$D$49</definedName>
    <definedName name="OSRRefD21_5x_0" localSheetId="88">'433'!$D$54</definedName>
    <definedName name="OSRRefD21_5x_0" localSheetId="90">'444'!$D$54</definedName>
    <definedName name="OSRRefD21_5x_0" localSheetId="91">'450'!$D$50</definedName>
    <definedName name="OSRRefD21_5x_0" localSheetId="72">'491'!$D$55:$D$57</definedName>
    <definedName name="OSRRefD21_5x_0" localSheetId="86">'492'!$D$54</definedName>
    <definedName name="OSRRefD21_5x_0" localSheetId="93">'501'!$D$49:$D$50</definedName>
    <definedName name="OSRRefD21_5x_0" localSheetId="39">'Div 2'!$D$48</definedName>
    <definedName name="OSRRefD21_5x_0" localSheetId="47">'Div 3'!$D$144:$D$145</definedName>
    <definedName name="OSRRefD21_5x_0" localSheetId="70">'Div 4'!$D$58:$D$60</definedName>
    <definedName name="OSRRefD21_5x_0" localSheetId="92">'Div 5'!$D$49:$D$50</definedName>
    <definedName name="OSRRefD21_5x_0" localSheetId="61">'Div 6'!$D$76</definedName>
    <definedName name="OSRRefD21_5x_0" localSheetId="2">Summary!$D$171:$D$173</definedName>
    <definedName name="OSRRefD21_5x_1" localSheetId="41">'201'!$E$47</definedName>
    <definedName name="OSRRefD21_5x_1" localSheetId="42">'202'!$E$47</definedName>
    <definedName name="OSRRefD21_5x_1" localSheetId="43">'203'!$E$47</definedName>
    <definedName name="OSRRefD21_5x_1" localSheetId="44">'204'!$E$49</definedName>
    <definedName name="OSRRefD21_5x_1" localSheetId="45">'205'!$E$48</definedName>
    <definedName name="OSRRefD21_5x_1" localSheetId="46">'206'!$E$46</definedName>
    <definedName name="OSRRefD21_5x_1" localSheetId="48">'300'!$E$140:$E$141</definedName>
    <definedName name="OSRRefD21_5x_1" localSheetId="49">'300 &amp; 317'!$E$162:$E$163</definedName>
    <definedName name="OSRRefD21_5x_1" localSheetId="50">'301'!$E$48</definedName>
    <definedName name="OSRRefD21_5x_1" localSheetId="52">'307'!$E$64:$E$65</definedName>
    <definedName name="OSRRefD21_5x_1" localSheetId="53">'308'!$E$81</definedName>
    <definedName name="OSRRefD21_5x_1" localSheetId="64">'309'!$E$47:$E$48</definedName>
    <definedName name="OSRRefD21_5x_1" localSheetId="63">'310'!$E$53:$E$54</definedName>
    <definedName name="OSRRefD21_5x_1" localSheetId="71">'310 &amp; 491'!$E$58:$E$60</definedName>
    <definedName name="OSRRefD21_5x_1" localSheetId="54">'311'!$E$80</definedName>
    <definedName name="OSRRefD21_5x_1" localSheetId="65">'313'!$E$47</definedName>
    <definedName name="OSRRefD21_5x_1" localSheetId="57">'315'!$E$103</definedName>
    <definedName name="OSRRefD21_5x_1" localSheetId="60">'316'!$E$56</definedName>
    <definedName name="OSRRefD21_5x_1" localSheetId="62">'317'!$E$76</definedName>
    <definedName name="OSRRefD21_5x_1" localSheetId="66">'321'!$E$49</definedName>
    <definedName name="OSRRefD21_5x_1" localSheetId="67">'322'!$E$48</definedName>
    <definedName name="OSRRefD21_5x_1" localSheetId="68">'325'!$E$47:$E$48</definedName>
    <definedName name="OSRRefD21_5x_1" localSheetId="58">'326'!$E$70</definedName>
    <definedName name="OSRRefD21_5x_1" localSheetId="51">'330'!$E$64:$E$65</definedName>
    <definedName name="OSRRefD21_5x_1" localSheetId="56">'331'!$E$103</definedName>
    <definedName name="OSRRefD21_5x_1" localSheetId="59">'332'!$E$56</definedName>
    <definedName name="OSRRefD21_5x_1" localSheetId="73">'405'!$E$49</definedName>
    <definedName name="OSRRefD21_5x_1" localSheetId="75">'411'!$E$47</definedName>
    <definedName name="OSRRefD21_5x_1" localSheetId="76">'412'!$E$48</definedName>
    <definedName name="OSRRefD21_5x_1" localSheetId="77">'413'!$E$49</definedName>
    <definedName name="OSRRefD21_5x_1" localSheetId="78">'414'!$E$50</definedName>
    <definedName name="OSRRefD21_5x_1" localSheetId="79">'415'!$E$53:$E$54</definedName>
    <definedName name="OSRRefD21_5x_1" localSheetId="80">'418'!$E$49</definedName>
    <definedName name="OSRRefD21_5x_1" localSheetId="82">'423'!$E$46</definedName>
    <definedName name="OSRRefD21_5x_1" localSheetId="87">'430'!$E$48:$E$49</definedName>
    <definedName name="OSRRefD21_5x_1" localSheetId="88">'433'!$E$54</definedName>
    <definedName name="OSRRefD21_5x_1" localSheetId="90">'444'!$E$54</definedName>
    <definedName name="OSRRefD21_5x_1" localSheetId="91">'450'!$E$50</definedName>
    <definedName name="OSRRefD21_5x_1" localSheetId="72">'491'!$E$55:$E$57</definedName>
    <definedName name="OSRRefD21_5x_1" localSheetId="86">'492'!$E$54</definedName>
    <definedName name="OSRRefD21_5x_1" localSheetId="93">'501'!$E$49:$E$50</definedName>
    <definedName name="OSRRefD21_5x_1" localSheetId="39">'Div 2'!$E$48</definedName>
    <definedName name="OSRRefD21_5x_1" localSheetId="47">'Div 3'!$E$144:$E$145</definedName>
    <definedName name="OSRRefD21_5x_1" localSheetId="70">'Div 4'!$E$58:$E$60</definedName>
    <definedName name="OSRRefD21_5x_1" localSheetId="92">'Div 5'!$E$49:$E$50</definedName>
    <definedName name="OSRRefD21_5x_1" localSheetId="61">'Div 6'!$E$76</definedName>
    <definedName name="OSRRefD21_5x_1" localSheetId="2">Summary!$E$171:$E$173</definedName>
    <definedName name="OSRRefD21_5x_2" localSheetId="41">'201'!$F$47</definedName>
    <definedName name="OSRRefD21_5x_2" localSheetId="42">'202'!$F$47</definedName>
    <definedName name="OSRRefD21_5x_2" localSheetId="43">'203'!$F$47</definedName>
    <definedName name="OSRRefD21_5x_2" localSheetId="44">'204'!$F$49</definedName>
    <definedName name="OSRRefD21_5x_2" localSheetId="45">'205'!$F$48</definedName>
    <definedName name="OSRRefD21_5x_2" localSheetId="46">'206'!$F$46</definedName>
    <definedName name="OSRRefD21_5x_2" localSheetId="48">'300'!$F$140:$F$141</definedName>
    <definedName name="OSRRefD21_5x_2" localSheetId="49">'300 &amp; 317'!$F$162:$F$163</definedName>
    <definedName name="OSRRefD21_5x_2" localSheetId="50">'301'!$F$48</definedName>
    <definedName name="OSRRefD21_5x_2" localSheetId="52">'307'!$F$64:$F$65</definedName>
    <definedName name="OSRRefD21_5x_2" localSheetId="53">'308'!$F$81</definedName>
    <definedName name="OSRRefD21_5x_2" localSheetId="64">'309'!$F$47:$F$48</definedName>
    <definedName name="OSRRefD21_5x_2" localSheetId="63">'310'!$F$53:$F$54</definedName>
    <definedName name="OSRRefD21_5x_2" localSheetId="71">'310 &amp; 491'!$F$58:$F$60</definedName>
    <definedName name="OSRRefD21_5x_2" localSheetId="54">'311'!$F$80</definedName>
    <definedName name="OSRRefD21_5x_2" localSheetId="65">'313'!$F$47</definedName>
    <definedName name="OSRRefD21_5x_2" localSheetId="57">'315'!$F$103</definedName>
    <definedName name="OSRRefD21_5x_2" localSheetId="60">'316'!$F$56</definedName>
    <definedName name="OSRRefD21_5x_2" localSheetId="62">'317'!$F$76</definedName>
    <definedName name="OSRRefD21_5x_2" localSheetId="66">'321'!$F$49</definedName>
    <definedName name="OSRRefD21_5x_2" localSheetId="67">'322'!$F$48</definedName>
    <definedName name="OSRRefD21_5x_2" localSheetId="68">'325'!$F$47:$F$48</definedName>
    <definedName name="OSRRefD21_5x_2" localSheetId="58">'326'!$F$70</definedName>
    <definedName name="OSRRefD21_5x_2" localSheetId="51">'330'!$F$64:$F$65</definedName>
    <definedName name="OSRRefD21_5x_2" localSheetId="56">'331'!$F$103</definedName>
    <definedName name="OSRRefD21_5x_2" localSheetId="59">'332'!$F$56</definedName>
    <definedName name="OSRRefD21_5x_2" localSheetId="73">'405'!$F$49</definedName>
    <definedName name="OSRRefD21_5x_2" localSheetId="75">'411'!$F$47</definedName>
    <definedName name="OSRRefD21_5x_2" localSheetId="76">'412'!$F$48</definedName>
    <definedName name="OSRRefD21_5x_2" localSheetId="77">'413'!$F$49</definedName>
    <definedName name="OSRRefD21_5x_2" localSheetId="78">'414'!$F$50</definedName>
    <definedName name="OSRRefD21_5x_2" localSheetId="79">'415'!$F$53:$F$54</definedName>
    <definedName name="OSRRefD21_5x_2" localSheetId="80">'418'!$F$49</definedName>
    <definedName name="OSRRefD21_5x_2" localSheetId="82">'423'!$F$46</definedName>
    <definedName name="OSRRefD21_5x_2" localSheetId="87">'430'!$F$48:$F$49</definedName>
    <definedName name="OSRRefD21_5x_2" localSheetId="88">'433'!$F$54</definedName>
    <definedName name="OSRRefD21_5x_2" localSheetId="90">'444'!$F$54</definedName>
    <definedName name="OSRRefD21_5x_2" localSheetId="91">'450'!$F$50</definedName>
    <definedName name="OSRRefD21_5x_2" localSheetId="72">'491'!$F$55:$F$57</definedName>
    <definedName name="OSRRefD21_5x_2" localSheetId="86">'492'!$F$54</definedName>
    <definedName name="OSRRefD21_5x_2" localSheetId="93">'501'!$F$49:$F$50</definedName>
    <definedName name="OSRRefD21_5x_2" localSheetId="39">'Div 2'!$F$48</definedName>
    <definedName name="OSRRefD21_5x_2" localSheetId="47">'Div 3'!$F$144:$F$145</definedName>
    <definedName name="OSRRefD21_5x_2" localSheetId="70">'Div 4'!$F$58:$F$60</definedName>
    <definedName name="OSRRefD21_5x_2" localSheetId="92">'Div 5'!$F$49:$F$50</definedName>
    <definedName name="OSRRefD21_5x_2" localSheetId="61">'Div 6'!$F$76</definedName>
    <definedName name="OSRRefD21_5x_2" localSheetId="2">Summary!$F$171:$F$173</definedName>
    <definedName name="OSRRefD21_5x_3" localSheetId="41">'201'!$G$47</definedName>
    <definedName name="OSRRefD21_5x_3" localSheetId="42">'202'!$G$47</definedName>
    <definedName name="OSRRefD21_5x_3" localSheetId="43">'203'!$G$47</definedName>
    <definedName name="OSRRefD21_5x_3" localSheetId="44">'204'!$G$49</definedName>
    <definedName name="OSRRefD21_5x_3" localSheetId="45">'205'!$G$48</definedName>
    <definedName name="OSRRefD21_5x_3" localSheetId="46">'206'!$G$46</definedName>
    <definedName name="OSRRefD21_5x_3" localSheetId="48">'300'!$G$140:$G$141</definedName>
    <definedName name="OSRRefD21_5x_3" localSheetId="49">'300 &amp; 317'!$G$162:$G$163</definedName>
    <definedName name="OSRRefD21_5x_3" localSheetId="50">'301'!$G$48</definedName>
    <definedName name="OSRRefD21_5x_3" localSheetId="52">'307'!$G$64:$G$65</definedName>
    <definedName name="OSRRefD21_5x_3" localSheetId="53">'308'!$G$81</definedName>
    <definedName name="OSRRefD21_5x_3" localSheetId="64">'309'!$G$47:$G$48</definedName>
    <definedName name="OSRRefD21_5x_3" localSheetId="63">'310'!$G$53:$G$54</definedName>
    <definedName name="OSRRefD21_5x_3" localSheetId="71">'310 &amp; 491'!$G$58:$G$60</definedName>
    <definedName name="OSRRefD21_5x_3" localSheetId="54">'311'!$G$80</definedName>
    <definedName name="OSRRefD21_5x_3" localSheetId="65">'313'!$G$47</definedName>
    <definedName name="OSRRefD21_5x_3" localSheetId="57">'315'!$G$103</definedName>
    <definedName name="OSRRefD21_5x_3" localSheetId="60">'316'!$G$56</definedName>
    <definedName name="OSRRefD21_5x_3" localSheetId="62">'317'!$G$76</definedName>
    <definedName name="OSRRefD21_5x_3" localSheetId="66">'321'!$G$49</definedName>
    <definedName name="OSRRefD21_5x_3" localSheetId="67">'322'!$G$48</definedName>
    <definedName name="OSRRefD21_5x_3" localSheetId="68">'325'!$G$47:$G$48</definedName>
    <definedName name="OSRRefD21_5x_3" localSheetId="58">'326'!$G$70</definedName>
    <definedName name="OSRRefD21_5x_3" localSheetId="51">'330'!$G$64:$G$65</definedName>
    <definedName name="OSRRefD21_5x_3" localSheetId="56">'331'!$G$103</definedName>
    <definedName name="OSRRefD21_5x_3" localSheetId="59">'332'!$G$56</definedName>
    <definedName name="OSRRefD21_5x_3" localSheetId="73">'405'!$G$49</definedName>
    <definedName name="OSRRefD21_5x_3" localSheetId="75">'411'!$G$47</definedName>
    <definedName name="OSRRefD21_5x_3" localSheetId="76">'412'!$G$48</definedName>
    <definedName name="OSRRefD21_5x_3" localSheetId="77">'413'!$G$49</definedName>
    <definedName name="OSRRefD21_5x_3" localSheetId="78">'414'!$G$50</definedName>
    <definedName name="OSRRefD21_5x_3" localSheetId="79">'415'!$G$53:$G$54</definedName>
    <definedName name="OSRRefD21_5x_3" localSheetId="80">'418'!$G$49</definedName>
    <definedName name="OSRRefD21_5x_3" localSheetId="82">'423'!$G$46</definedName>
    <definedName name="OSRRefD21_5x_3" localSheetId="87">'430'!$G$48:$G$49</definedName>
    <definedName name="OSRRefD21_5x_3" localSheetId="88">'433'!$G$54</definedName>
    <definedName name="OSRRefD21_5x_3" localSheetId="90">'444'!$G$54</definedName>
    <definedName name="OSRRefD21_5x_3" localSheetId="91">'450'!$G$50</definedName>
    <definedName name="OSRRefD21_5x_3" localSheetId="72">'491'!$G$55:$G$57</definedName>
    <definedName name="OSRRefD21_5x_3" localSheetId="86">'492'!$G$54</definedName>
    <definedName name="OSRRefD21_5x_3" localSheetId="93">'501'!$G$49:$G$50</definedName>
    <definedName name="OSRRefD21_5x_3" localSheetId="39">'Div 2'!$G$48</definedName>
    <definedName name="OSRRefD21_5x_3" localSheetId="47">'Div 3'!$G$144:$G$145</definedName>
    <definedName name="OSRRefD21_5x_3" localSheetId="70">'Div 4'!$G$58:$G$60</definedName>
    <definedName name="OSRRefD21_5x_3" localSheetId="92">'Div 5'!$G$49:$G$50</definedName>
    <definedName name="OSRRefD21_5x_3" localSheetId="61">'Div 6'!$G$76</definedName>
    <definedName name="OSRRefD21_5x_3" localSheetId="2">Summary!$G$171:$G$173</definedName>
    <definedName name="OSRRefD21_6_0x" localSheetId="41">'201'!$D$49:$G$49</definedName>
    <definedName name="OSRRefD21_6_0x" localSheetId="42">'202'!$D$49:$G$49</definedName>
    <definedName name="OSRRefD21_6_0x" localSheetId="43">'203'!$D$49:$G$49</definedName>
    <definedName name="OSRRefD21_6_0x" localSheetId="44">'204'!$D$51:$G$51</definedName>
    <definedName name="OSRRefD21_6_0x" localSheetId="45">'205'!$D$50:$G$50</definedName>
    <definedName name="OSRRefD21_6_0x" localSheetId="46">'206'!$D$48:$G$48</definedName>
    <definedName name="OSRRefD21_6_0x" localSheetId="48">'300'!$D$143:$G$143</definedName>
    <definedName name="OSRRefD21_6_0x" localSheetId="49">'300 &amp; 317'!$D$165:$G$165</definedName>
    <definedName name="OSRRefD21_6_0x" localSheetId="50">'301'!$D$50:$G$50</definedName>
    <definedName name="OSRRefD21_6_0x" localSheetId="52">'307'!$D$67:$G$67</definedName>
    <definedName name="OSRRefD21_6_0x" localSheetId="53">'308'!$D$83:$G$83</definedName>
    <definedName name="OSRRefD21_6_0x" localSheetId="64">'309'!$D$50:$G$50</definedName>
    <definedName name="OSRRefD21_6_0x" localSheetId="63">'310'!$D$56:$G$56</definedName>
    <definedName name="OSRRefD21_6_0x" localSheetId="71">'310 &amp; 491'!$D$62:$G$62</definedName>
    <definedName name="OSRRefD21_6_0x" localSheetId="54">'311'!$D$82:$G$82</definedName>
    <definedName name="OSRRefD21_6_0x" localSheetId="65">'313'!$D$49:$G$49</definedName>
    <definedName name="OSRRefD21_6_0x" localSheetId="57">'315'!$D$105:$G$105</definedName>
    <definedName name="OSRRefD21_6_0x" localSheetId="60">'316'!$D$58:$G$58</definedName>
    <definedName name="OSRRefD21_6_0x" localSheetId="62">'317'!$D$78:$G$78</definedName>
    <definedName name="OSRRefD21_6_0x" localSheetId="66">'321'!$D$51:$G$51</definedName>
    <definedName name="OSRRefD21_6_0x" localSheetId="67">'322'!$D$50:$G$50</definedName>
    <definedName name="OSRRefD21_6_0x" localSheetId="68">'325'!$D$50:$G$50</definedName>
    <definedName name="OSRRefD21_6_0x" localSheetId="58">'326'!$D$72:$G$72</definedName>
    <definedName name="OSRRefD21_6_0x" localSheetId="51">'330'!$D$67:$G$67</definedName>
    <definedName name="OSRRefD21_6_0x" localSheetId="56">'331'!$D$105:$G$105</definedName>
    <definedName name="OSRRefD21_6_0x" localSheetId="59">'332'!$D$58:$G$58</definedName>
    <definedName name="OSRRefD21_6_0x" localSheetId="73">'405'!$D$51:$G$51</definedName>
    <definedName name="OSRRefD21_6_0x" localSheetId="75">'411'!$D$49:$G$49</definedName>
    <definedName name="OSRRefD21_6_0x" localSheetId="76">'412'!$D$50:$G$50</definedName>
    <definedName name="OSRRefD21_6_0x" localSheetId="77">'413'!$D$51:$G$51</definedName>
    <definedName name="OSRRefD21_6_0x" localSheetId="78">'414'!$D$52:$G$52</definedName>
    <definedName name="OSRRefD21_6_0x" localSheetId="79">'415'!$D$56:$G$56</definedName>
    <definedName name="OSRRefD21_6_0x" localSheetId="80">'418'!$D$51:$G$51</definedName>
    <definedName name="OSRRefD21_6_0x" localSheetId="82">'423'!$D$48:$G$48</definedName>
    <definedName name="OSRRefD21_6_0x" localSheetId="87">'430'!$D$51:$G$51</definedName>
    <definedName name="OSRRefD21_6_0x" localSheetId="88">'433'!$D$56:$G$56</definedName>
    <definedName name="OSRRefD21_6_0x" localSheetId="90">'444'!$D$56:$G$56</definedName>
    <definedName name="OSRRefD21_6_0x" localSheetId="91">'450'!$D$52:$G$52</definedName>
    <definedName name="OSRRefD21_6_0x" localSheetId="72">'491'!$D$59:$G$59</definedName>
    <definedName name="OSRRefD21_6_0x" localSheetId="86">'492'!$D$56:$G$56</definedName>
    <definedName name="OSRRefD21_6_0x" localSheetId="93">'501'!$D$52:$G$52</definedName>
    <definedName name="OSRRefD21_6_0x" localSheetId="39">'Div 2'!$D$50:$G$50</definedName>
    <definedName name="OSRRefD21_6_0x" localSheetId="47">'Div 3'!$D$147:$G$147</definedName>
    <definedName name="OSRRefD21_6_0x" localSheetId="70">'Div 4'!$D$62:$G$62</definedName>
    <definedName name="OSRRefD21_6_0x" localSheetId="92">'Div 5'!$D$52:$G$52</definedName>
    <definedName name="OSRRefD21_6_0x" localSheetId="61">'Div 6'!$D$78:$G$78</definedName>
    <definedName name="OSRRefD21_6_0x" localSheetId="2">Summary!$D$175:$G$175</definedName>
    <definedName name="OSRRefD21_6_1x" localSheetId="48">'300'!$D$144:$G$144</definedName>
    <definedName name="OSRRefD21_6_1x" localSheetId="49">'300 &amp; 317'!$D$166:$G$166</definedName>
    <definedName name="OSRRefD21_6_1x" localSheetId="52">'307'!$D$68:$G$68</definedName>
    <definedName name="OSRRefD21_6_1x" localSheetId="64">'309'!$D$51:$G$51</definedName>
    <definedName name="OSRRefD21_6_1x" localSheetId="60">'316'!$D$59:$G$59</definedName>
    <definedName name="OSRRefD21_6_1x" localSheetId="62">'317'!$D$79:$G$79</definedName>
    <definedName name="OSRRefD21_6_1x" localSheetId="66">'321'!$D$52:$G$52</definedName>
    <definedName name="OSRRefD21_6_1x" localSheetId="67">'322'!$D$51:$G$51</definedName>
    <definedName name="OSRRefD21_6_1x" localSheetId="51">'330'!$D$68:$G$68</definedName>
    <definedName name="OSRRefD21_6_1x" localSheetId="59">'332'!$D$59:$G$59</definedName>
    <definedName name="OSRRefD21_6_1x" localSheetId="39">'Div 2'!$D$51:$G$51</definedName>
    <definedName name="OSRRefD21_6_1x" localSheetId="47">'Div 3'!$D$148:$G$148</definedName>
    <definedName name="OSRRefD21_6_1x" localSheetId="61">'Div 6'!$D$79:$G$79</definedName>
    <definedName name="OSRRefD21_6_1x" localSheetId="2">Summary!$D$176:$G$176</definedName>
    <definedName name="OSRRefD21_6x_0" localSheetId="41">'201'!$D$49</definedName>
    <definedName name="OSRRefD21_6x_0" localSheetId="42">'202'!$D$49</definedName>
    <definedName name="OSRRefD21_6x_0" localSheetId="43">'203'!$D$49</definedName>
    <definedName name="OSRRefD21_6x_0" localSheetId="44">'204'!$D$51</definedName>
    <definedName name="OSRRefD21_6x_0" localSheetId="45">'205'!$D$50</definedName>
    <definedName name="OSRRefD21_6x_0" localSheetId="46">'206'!$D$48</definedName>
    <definedName name="OSRRefD21_6x_0" localSheetId="48">'300'!$D$143:$D$144</definedName>
    <definedName name="OSRRefD21_6x_0" localSheetId="49">'300 &amp; 317'!$D$165:$D$166</definedName>
    <definedName name="OSRRefD21_6x_0" localSheetId="50">'301'!$D$50</definedName>
    <definedName name="OSRRefD21_6x_0" localSheetId="52">'307'!$D$67:$D$68</definedName>
    <definedName name="OSRRefD21_6x_0" localSheetId="53">'308'!$D$83</definedName>
    <definedName name="OSRRefD21_6x_0" localSheetId="64">'309'!$D$50:$D$51</definedName>
    <definedName name="OSRRefD21_6x_0" localSheetId="63">'310'!$D$56</definedName>
    <definedName name="OSRRefD21_6x_0" localSheetId="71">'310 &amp; 491'!$D$62</definedName>
    <definedName name="OSRRefD21_6x_0" localSheetId="54">'311'!$D$82</definedName>
    <definedName name="OSRRefD21_6x_0" localSheetId="65">'313'!$D$49</definedName>
    <definedName name="OSRRefD21_6x_0" localSheetId="57">'315'!$D$105</definedName>
    <definedName name="OSRRefD21_6x_0" localSheetId="60">'316'!$D$58:$D$59</definedName>
    <definedName name="OSRRefD21_6x_0" localSheetId="62">'317'!$D$78:$D$79</definedName>
    <definedName name="OSRRefD21_6x_0" localSheetId="66">'321'!$D$51:$D$52</definedName>
    <definedName name="OSRRefD21_6x_0" localSheetId="67">'322'!$D$50:$D$51</definedName>
    <definedName name="OSRRefD21_6x_0" localSheetId="68">'325'!$D$50</definedName>
    <definedName name="OSRRefD21_6x_0" localSheetId="58">'326'!$D$72</definedName>
    <definedName name="OSRRefD21_6x_0" localSheetId="51">'330'!$D$67:$D$68</definedName>
    <definedName name="OSRRefD21_6x_0" localSheetId="56">'331'!$D$105</definedName>
    <definedName name="OSRRefD21_6x_0" localSheetId="59">'332'!$D$58:$D$59</definedName>
    <definedName name="OSRRefD21_6x_0" localSheetId="73">'405'!$D$51</definedName>
    <definedName name="OSRRefD21_6x_0" localSheetId="75">'411'!$D$49</definedName>
    <definedName name="OSRRefD21_6x_0" localSheetId="76">'412'!$D$50</definedName>
    <definedName name="OSRRefD21_6x_0" localSheetId="77">'413'!$D$51</definedName>
    <definedName name="OSRRefD21_6x_0" localSheetId="78">'414'!$D$52</definedName>
    <definedName name="OSRRefD21_6x_0" localSheetId="79">'415'!$D$56</definedName>
    <definedName name="OSRRefD21_6x_0" localSheetId="80">'418'!$D$51</definedName>
    <definedName name="OSRRefD21_6x_0" localSheetId="82">'423'!$D$48</definedName>
    <definedName name="OSRRefD21_6x_0" localSheetId="87">'430'!$D$51</definedName>
    <definedName name="OSRRefD21_6x_0" localSheetId="88">'433'!$D$56</definedName>
    <definedName name="OSRRefD21_6x_0" localSheetId="90">'444'!$D$56</definedName>
    <definedName name="OSRRefD21_6x_0" localSheetId="91">'450'!$D$52</definedName>
    <definedName name="OSRRefD21_6x_0" localSheetId="72">'491'!$D$59</definedName>
    <definedName name="OSRRefD21_6x_0" localSheetId="86">'492'!$D$56</definedName>
    <definedName name="OSRRefD21_6x_0" localSheetId="93">'501'!$D$52</definedName>
    <definedName name="OSRRefD21_6x_0" localSheetId="39">'Div 2'!$D$50:$D$51</definedName>
    <definedName name="OSRRefD21_6x_0" localSheetId="47">'Div 3'!$D$147:$D$148</definedName>
    <definedName name="OSRRefD21_6x_0" localSheetId="70">'Div 4'!$D$62</definedName>
    <definedName name="OSRRefD21_6x_0" localSheetId="92">'Div 5'!$D$52</definedName>
    <definedName name="OSRRefD21_6x_0" localSheetId="61">'Div 6'!$D$78:$D$79</definedName>
    <definedName name="OSRRefD21_6x_0" localSheetId="2">Summary!$D$175:$D$176</definedName>
    <definedName name="OSRRefD21_6x_1" localSheetId="41">'201'!$E$49</definedName>
    <definedName name="OSRRefD21_6x_1" localSheetId="42">'202'!$E$49</definedName>
    <definedName name="OSRRefD21_6x_1" localSheetId="43">'203'!$E$49</definedName>
    <definedName name="OSRRefD21_6x_1" localSheetId="44">'204'!$E$51</definedName>
    <definedName name="OSRRefD21_6x_1" localSheetId="45">'205'!$E$50</definedName>
    <definedName name="OSRRefD21_6x_1" localSheetId="46">'206'!$E$48</definedName>
    <definedName name="OSRRefD21_6x_1" localSheetId="48">'300'!$E$143:$E$144</definedName>
    <definedName name="OSRRefD21_6x_1" localSheetId="49">'300 &amp; 317'!$E$165:$E$166</definedName>
    <definedName name="OSRRefD21_6x_1" localSheetId="50">'301'!$E$50</definedName>
    <definedName name="OSRRefD21_6x_1" localSheetId="52">'307'!$E$67:$E$68</definedName>
    <definedName name="OSRRefD21_6x_1" localSheetId="53">'308'!$E$83</definedName>
    <definedName name="OSRRefD21_6x_1" localSheetId="64">'309'!$E$50:$E$51</definedName>
    <definedName name="OSRRefD21_6x_1" localSheetId="63">'310'!$E$56</definedName>
    <definedName name="OSRRefD21_6x_1" localSheetId="71">'310 &amp; 491'!$E$62</definedName>
    <definedName name="OSRRefD21_6x_1" localSheetId="54">'311'!$E$82</definedName>
    <definedName name="OSRRefD21_6x_1" localSheetId="65">'313'!$E$49</definedName>
    <definedName name="OSRRefD21_6x_1" localSheetId="57">'315'!$E$105</definedName>
    <definedName name="OSRRefD21_6x_1" localSheetId="60">'316'!$E$58:$E$59</definedName>
    <definedName name="OSRRefD21_6x_1" localSheetId="62">'317'!$E$78:$E$79</definedName>
    <definedName name="OSRRefD21_6x_1" localSheetId="66">'321'!$E$51:$E$52</definedName>
    <definedName name="OSRRefD21_6x_1" localSheetId="67">'322'!$E$50:$E$51</definedName>
    <definedName name="OSRRefD21_6x_1" localSheetId="68">'325'!$E$50</definedName>
    <definedName name="OSRRefD21_6x_1" localSheetId="58">'326'!$E$72</definedName>
    <definedName name="OSRRefD21_6x_1" localSheetId="51">'330'!$E$67:$E$68</definedName>
    <definedName name="OSRRefD21_6x_1" localSheetId="56">'331'!$E$105</definedName>
    <definedName name="OSRRefD21_6x_1" localSheetId="59">'332'!$E$58:$E$59</definedName>
    <definedName name="OSRRefD21_6x_1" localSheetId="73">'405'!$E$51</definedName>
    <definedName name="OSRRefD21_6x_1" localSheetId="75">'411'!$E$49</definedName>
    <definedName name="OSRRefD21_6x_1" localSheetId="76">'412'!$E$50</definedName>
    <definedName name="OSRRefD21_6x_1" localSheetId="77">'413'!$E$51</definedName>
    <definedName name="OSRRefD21_6x_1" localSheetId="78">'414'!$E$52</definedName>
    <definedName name="OSRRefD21_6x_1" localSheetId="79">'415'!$E$56</definedName>
    <definedName name="OSRRefD21_6x_1" localSheetId="80">'418'!$E$51</definedName>
    <definedName name="OSRRefD21_6x_1" localSheetId="82">'423'!$E$48</definedName>
    <definedName name="OSRRefD21_6x_1" localSheetId="87">'430'!$E$51</definedName>
    <definedName name="OSRRefD21_6x_1" localSheetId="88">'433'!$E$56</definedName>
    <definedName name="OSRRefD21_6x_1" localSheetId="90">'444'!$E$56</definedName>
    <definedName name="OSRRefD21_6x_1" localSheetId="91">'450'!$E$52</definedName>
    <definedName name="OSRRefD21_6x_1" localSheetId="72">'491'!$E$59</definedName>
    <definedName name="OSRRefD21_6x_1" localSheetId="86">'492'!$E$56</definedName>
    <definedName name="OSRRefD21_6x_1" localSheetId="93">'501'!$E$52</definedName>
    <definedName name="OSRRefD21_6x_1" localSheetId="39">'Div 2'!$E$50:$E$51</definedName>
    <definedName name="OSRRefD21_6x_1" localSheetId="47">'Div 3'!$E$147:$E$148</definedName>
    <definedName name="OSRRefD21_6x_1" localSheetId="70">'Div 4'!$E$62</definedName>
    <definedName name="OSRRefD21_6x_1" localSheetId="92">'Div 5'!$E$52</definedName>
    <definedName name="OSRRefD21_6x_1" localSheetId="61">'Div 6'!$E$78:$E$79</definedName>
    <definedName name="OSRRefD21_6x_1" localSheetId="2">Summary!$E$175:$E$176</definedName>
    <definedName name="OSRRefD21_6x_2" localSheetId="41">'201'!$F$49</definedName>
    <definedName name="OSRRefD21_6x_2" localSheetId="42">'202'!$F$49</definedName>
    <definedName name="OSRRefD21_6x_2" localSheetId="43">'203'!$F$49</definedName>
    <definedName name="OSRRefD21_6x_2" localSheetId="44">'204'!$F$51</definedName>
    <definedName name="OSRRefD21_6x_2" localSheetId="45">'205'!$F$50</definedName>
    <definedName name="OSRRefD21_6x_2" localSheetId="46">'206'!$F$48</definedName>
    <definedName name="OSRRefD21_6x_2" localSheetId="48">'300'!$F$143:$F$144</definedName>
    <definedName name="OSRRefD21_6x_2" localSheetId="49">'300 &amp; 317'!$F$165:$F$166</definedName>
    <definedName name="OSRRefD21_6x_2" localSheetId="50">'301'!$F$50</definedName>
    <definedName name="OSRRefD21_6x_2" localSheetId="52">'307'!$F$67:$F$68</definedName>
    <definedName name="OSRRefD21_6x_2" localSheetId="53">'308'!$F$83</definedName>
    <definedName name="OSRRefD21_6x_2" localSheetId="64">'309'!$F$50:$F$51</definedName>
    <definedName name="OSRRefD21_6x_2" localSheetId="63">'310'!$F$56</definedName>
    <definedName name="OSRRefD21_6x_2" localSheetId="71">'310 &amp; 491'!$F$62</definedName>
    <definedName name="OSRRefD21_6x_2" localSheetId="54">'311'!$F$82</definedName>
    <definedName name="OSRRefD21_6x_2" localSheetId="65">'313'!$F$49</definedName>
    <definedName name="OSRRefD21_6x_2" localSheetId="57">'315'!$F$105</definedName>
    <definedName name="OSRRefD21_6x_2" localSheetId="60">'316'!$F$58:$F$59</definedName>
    <definedName name="OSRRefD21_6x_2" localSheetId="62">'317'!$F$78:$F$79</definedName>
    <definedName name="OSRRefD21_6x_2" localSheetId="66">'321'!$F$51:$F$52</definedName>
    <definedName name="OSRRefD21_6x_2" localSheetId="67">'322'!$F$50:$F$51</definedName>
    <definedName name="OSRRefD21_6x_2" localSheetId="68">'325'!$F$50</definedName>
    <definedName name="OSRRefD21_6x_2" localSheetId="58">'326'!$F$72</definedName>
    <definedName name="OSRRefD21_6x_2" localSheetId="51">'330'!$F$67:$F$68</definedName>
    <definedName name="OSRRefD21_6x_2" localSheetId="56">'331'!$F$105</definedName>
    <definedName name="OSRRefD21_6x_2" localSheetId="59">'332'!$F$58:$F$59</definedName>
    <definedName name="OSRRefD21_6x_2" localSheetId="73">'405'!$F$51</definedName>
    <definedName name="OSRRefD21_6x_2" localSheetId="75">'411'!$F$49</definedName>
    <definedName name="OSRRefD21_6x_2" localSheetId="76">'412'!$F$50</definedName>
    <definedName name="OSRRefD21_6x_2" localSheetId="77">'413'!$F$51</definedName>
    <definedName name="OSRRefD21_6x_2" localSheetId="78">'414'!$F$52</definedName>
    <definedName name="OSRRefD21_6x_2" localSheetId="79">'415'!$F$56</definedName>
    <definedName name="OSRRefD21_6x_2" localSheetId="80">'418'!$F$51</definedName>
    <definedName name="OSRRefD21_6x_2" localSheetId="82">'423'!$F$48</definedName>
    <definedName name="OSRRefD21_6x_2" localSheetId="87">'430'!$F$51</definedName>
    <definedName name="OSRRefD21_6x_2" localSheetId="88">'433'!$F$56</definedName>
    <definedName name="OSRRefD21_6x_2" localSheetId="90">'444'!$F$56</definedName>
    <definedName name="OSRRefD21_6x_2" localSheetId="91">'450'!$F$52</definedName>
    <definedName name="OSRRefD21_6x_2" localSheetId="72">'491'!$F$59</definedName>
    <definedName name="OSRRefD21_6x_2" localSheetId="86">'492'!$F$56</definedName>
    <definedName name="OSRRefD21_6x_2" localSheetId="93">'501'!$F$52</definedName>
    <definedName name="OSRRefD21_6x_2" localSheetId="39">'Div 2'!$F$50:$F$51</definedName>
    <definedName name="OSRRefD21_6x_2" localSheetId="47">'Div 3'!$F$147:$F$148</definedName>
    <definedName name="OSRRefD21_6x_2" localSheetId="70">'Div 4'!$F$62</definedName>
    <definedName name="OSRRefD21_6x_2" localSheetId="92">'Div 5'!$F$52</definedName>
    <definedName name="OSRRefD21_6x_2" localSheetId="61">'Div 6'!$F$78:$F$79</definedName>
    <definedName name="OSRRefD21_6x_2" localSheetId="2">Summary!$F$175:$F$176</definedName>
    <definedName name="OSRRefD21_6x_3" localSheetId="41">'201'!$G$49</definedName>
    <definedName name="OSRRefD21_6x_3" localSheetId="42">'202'!$G$49</definedName>
    <definedName name="OSRRefD21_6x_3" localSheetId="43">'203'!$G$49</definedName>
    <definedName name="OSRRefD21_6x_3" localSheetId="44">'204'!$G$51</definedName>
    <definedName name="OSRRefD21_6x_3" localSheetId="45">'205'!$G$50</definedName>
    <definedName name="OSRRefD21_6x_3" localSheetId="46">'206'!$G$48</definedName>
    <definedName name="OSRRefD21_6x_3" localSheetId="48">'300'!$G$143:$G$144</definedName>
    <definedName name="OSRRefD21_6x_3" localSheetId="49">'300 &amp; 317'!$G$165:$G$166</definedName>
    <definedName name="OSRRefD21_6x_3" localSheetId="50">'301'!$G$50</definedName>
    <definedName name="OSRRefD21_6x_3" localSheetId="52">'307'!$G$67:$G$68</definedName>
    <definedName name="OSRRefD21_6x_3" localSheetId="53">'308'!$G$83</definedName>
    <definedName name="OSRRefD21_6x_3" localSheetId="64">'309'!$G$50:$G$51</definedName>
    <definedName name="OSRRefD21_6x_3" localSheetId="63">'310'!$G$56</definedName>
    <definedName name="OSRRefD21_6x_3" localSheetId="71">'310 &amp; 491'!$G$62</definedName>
    <definedName name="OSRRefD21_6x_3" localSheetId="54">'311'!$G$82</definedName>
    <definedName name="OSRRefD21_6x_3" localSheetId="65">'313'!$G$49</definedName>
    <definedName name="OSRRefD21_6x_3" localSheetId="57">'315'!$G$105</definedName>
    <definedName name="OSRRefD21_6x_3" localSheetId="60">'316'!$G$58:$G$59</definedName>
    <definedName name="OSRRefD21_6x_3" localSheetId="62">'317'!$G$78:$G$79</definedName>
    <definedName name="OSRRefD21_6x_3" localSheetId="66">'321'!$G$51:$G$52</definedName>
    <definedName name="OSRRefD21_6x_3" localSheetId="67">'322'!$G$50:$G$51</definedName>
    <definedName name="OSRRefD21_6x_3" localSheetId="68">'325'!$G$50</definedName>
    <definedName name="OSRRefD21_6x_3" localSheetId="58">'326'!$G$72</definedName>
    <definedName name="OSRRefD21_6x_3" localSheetId="51">'330'!$G$67:$G$68</definedName>
    <definedName name="OSRRefD21_6x_3" localSheetId="56">'331'!$G$105</definedName>
    <definedName name="OSRRefD21_6x_3" localSheetId="59">'332'!$G$58:$G$59</definedName>
    <definedName name="OSRRefD21_6x_3" localSheetId="73">'405'!$G$51</definedName>
    <definedName name="OSRRefD21_6x_3" localSheetId="75">'411'!$G$49</definedName>
    <definedName name="OSRRefD21_6x_3" localSheetId="76">'412'!$G$50</definedName>
    <definedName name="OSRRefD21_6x_3" localSheetId="77">'413'!$G$51</definedName>
    <definedName name="OSRRefD21_6x_3" localSheetId="78">'414'!$G$52</definedName>
    <definedName name="OSRRefD21_6x_3" localSheetId="79">'415'!$G$56</definedName>
    <definedName name="OSRRefD21_6x_3" localSheetId="80">'418'!$G$51</definedName>
    <definedName name="OSRRefD21_6x_3" localSheetId="82">'423'!$G$48</definedName>
    <definedName name="OSRRefD21_6x_3" localSheetId="87">'430'!$G$51</definedName>
    <definedName name="OSRRefD21_6x_3" localSheetId="88">'433'!$G$56</definedName>
    <definedName name="OSRRefD21_6x_3" localSheetId="90">'444'!$G$56</definedName>
    <definedName name="OSRRefD21_6x_3" localSheetId="91">'450'!$G$52</definedName>
    <definedName name="OSRRefD21_6x_3" localSheetId="72">'491'!$G$59</definedName>
    <definedName name="OSRRefD21_6x_3" localSheetId="86">'492'!$G$56</definedName>
    <definedName name="OSRRefD21_6x_3" localSheetId="93">'501'!$G$52</definedName>
    <definedName name="OSRRefD21_6x_3" localSheetId="39">'Div 2'!$G$50:$G$51</definedName>
    <definedName name="OSRRefD21_6x_3" localSheetId="47">'Div 3'!$G$147:$G$148</definedName>
    <definedName name="OSRRefD21_6x_3" localSheetId="70">'Div 4'!$G$62</definedName>
    <definedName name="OSRRefD21_6x_3" localSheetId="92">'Div 5'!$G$52</definedName>
    <definedName name="OSRRefD21_6x_3" localSheetId="61">'Div 6'!$G$78:$G$79</definedName>
    <definedName name="OSRRefD21_6x_3" localSheetId="2">Summary!$G$175:$G$176</definedName>
    <definedName name="OSRRefD21_7_0x" localSheetId="41">'201'!$D$51:$G$51</definedName>
    <definedName name="OSRRefD21_7_0x" localSheetId="42">'202'!$D$51:$G$51</definedName>
    <definedName name="OSRRefD21_7_0x" localSheetId="43">'203'!$D$51:$G$51</definedName>
    <definedName name="OSRRefD21_7_0x" localSheetId="44">'204'!$D$53:$G$53</definedName>
    <definedName name="OSRRefD21_7_0x" localSheetId="45">'205'!$D$52:$G$52</definedName>
    <definedName name="OSRRefD21_7_0x" localSheetId="48">'300'!$D$146:$G$146</definedName>
    <definedName name="OSRRefD21_7_0x" localSheetId="49">'300 &amp; 317'!$D$168:$G$168</definedName>
    <definedName name="OSRRefD21_7_0x" localSheetId="50">'301'!$D$52:$G$52</definedName>
    <definedName name="OSRRefD21_7_0x" localSheetId="52">'307'!$D$70:$G$70</definedName>
    <definedName name="OSRRefD21_7_0x" localSheetId="53">'308'!$D$85:$G$85</definedName>
    <definedName name="OSRRefD21_7_0x" localSheetId="64">'309'!$D$53:$G$53</definedName>
    <definedName name="OSRRefD21_7_0x" localSheetId="63">'310'!$D$58:$G$58</definedName>
    <definedName name="OSRRefD21_7_0x" localSheetId="71">'310 &amp; 491'!$D$64:$G$64</definedName>
    <definedName name="OSRRefD21_7_0x" localSheetId="54">'311'!$D$84:$G$84</definedName>
    <definedName name="OSRRefD21_7_0x" localSheetId="65">'313'!$D$51:$G$51</definedName>
    <definedName name="OSRRefD21_7_0x" localSheetId="57">'315'!$D$107:$G$107</definedName>
    <definedName name="OSRRefD21_7_0x" localSheetId="60">'316'!$D$61:$G$61</definedName>
    <definedName name="OSRRefD21_7_0x" localSheetId="62">'317'!$D$81:$G$81</definedName>
    <definedName name="OSRRefD21_7_0x" localSheetId="66">'321'!$D$54:$G$54</definedName>
    <definedName name="OSRRefD21_7_0x" localSheetId="67">'322'!$D$53:$G$53</definedName>
    <definedName name="OSRRefD21_7_0x" localSheetId="68">'325'!$D$52:$G$52</definedName>
    <definedName name="OSRRefD21_7_0x" localSheetId="58">'326'!$D$74:$G$74</definedName>
    <definedName name="OSRRefD21_7_0x" localSheetId="51">'330'!$D$70:$G$70</definedName>
    <definedName name="OSRRefD21_7_0x" localSheetId="56">'331'!$D$107:$G$107</definedName>
    <definedName name="OSRRefD21_7_0x" localSheetId="59">'332'!$D$61:$G$61</definedName>
    <definedName name="OSRRefD21_7_0x" localSheetId="73">'405'!$D$53:$G$53</definedName>
    <definedName name="OSRRefD21_7_0x" localSheetId="75">'411'!$D$51:$G$51</definedName>
    <definedName name="OSRRefD21_7_0x" localSheetId="76">'412'!$D$52:$G$52</definedName>
    <definedName name="OSRRefD21_7_0x" localSheetId="77">'413'!$D$53:$G$53</definedName>
    <definedName name="OSRRefD21_7_0x" localSheetId="78">'414'!$D$54:$G$54</definedName>
    <definedName name="OSRRefD21_7_0x" localSheetId="79">'415'!$D$58:$G$58</definedName>
    <definedName name="OSRRefD21_7_0x" localSheetId="80">'418'!$D$53:$G$53</definedName>
    <definedName name="OSRRefD21_7_0x" localSheetId="87">'430'!$D$53:$G$53</definedName>
    <definedName name="OSRRefD21_7_0x" localSheetId="88">'433'!$D$58:$G$58</definedName>
    <definedName name="OSRRefD21_7_0x" localSheetId="90">'444'!$D$58:$G$58</definedName>
    <definedName name="OSRRefD21_7_0x" localSheetId="91">'450'!$D$54:$G$54</definedName>
    <definedName name="OSRRefD21_7_0x" localSheetId="72">'491'!$D$61:$G$61</definedName>
    <definedName name="OSRRefD21_7_0x" localSheetId="86">'492'!$D$58:$G$58</definedName>
    <definedName name="OSRRefD21_7_0x" localSheetId="93">'501'!$D$54:$G$54</definedName>
    <definedName name="OSRRefD21_7_0x" localSheetId="39">'Div 2'!$D$53:$G$53</definedName>
    <definedName name="OSRRefD21_7_0x" localSheetId="47">'Div 3'!$D$150:$G$150</definedName>
    <definedName name="OSRRefD21_7_0x" localSheetId="70">'Div 4'!$D$64:$G$64</definedName>
    <definedName name="OSRRefD21_7_0x" localSheetId="92">'Div 5'!$D$54:$G$54</definedName>
    <definedName name="OSRRefD21_7_0x" localSheetId="61">'Div 6'!$D$81:$G$81</definedName>
    <definedName name="OSRRefD21_7_0x" localSheetId="2">Summary!$D$178:$G$178</definedName>
    <definedName name="OSRRefD21_7_1x" localSheetId="42">'202'!$D$52:$G$52</definedName>
    <definedName name="OSRRefD21_7_1x" localSheetId="44">'204'!$D$54:$G$54</definedName>
    <definedName name="OSRRefD21_7_1x" localSheetId="53">'308'!$D$86:$G$86</definedName>
    <definedName name="OSRRefD21_7_1x" localSheetId="64">'309'!$D$54:$G$54</definedName>
    <definedName name="OSRRefD21_7_1x" localSheetId="54">'311'!$D$85:$G$85</definedName>
    <definedName name="OSRRefD21_7_1x" localSheetId="57">'315'!$D$108:$G$108</definedName>
    <definedName name="OSRRefD21_7_1x" localSheetId="60">'316'!$D$62:$G$62</definedName>
    <definedName name="OSRRefD21_7_1x" localSheetId="67">'322'!$D$54:$G$54</definedName>
    <definedName name="OSRRefD21_7_1x" localSheetId="56">'331'!$D$108:$G$108</definedName>
    <definedName name="OSRRefD21_7_1x" localSheetId="59">'332'!$D$62:$G$62</definedName>
    <definedName name="OSRRefD21_7_2x" localSheetId="64">'309'!$D$55:$G$55</definedName>
    <definedName name="OSRRefD21_7x_0" localSheetId="41">'201'!$D$51</definedName>
    <definedName name="OSRRefD21_7x_0" localSheetId="42">'202'!$D$51:$D$52</definedName>
    <definedName name="OSRRefD21_7x_0" localSheetId="43">'203'!$D$51</definedName>
    <definedName name="OSRRefD21_7x_0" localSheetId="44">'204'!$D$53:$D$54</definedName>
    <definedName name="OSRRefD21_7x_0" localSheetId="45">'205'!$D$52</definedName>
    <definedName name="OSRRefD21_7x_0" localSheetId="48">'300'!$D$146</definedName>
    <definedName name="OSRRefD21_7x_0" localSheetId="49">'300 &amp; 317'!$D$168</definedName>
    <definedName name="OSRRefD21_7x_0" localSheetId="50">'301'!$D$52</definedName>
    <definedName name="OSRRefD21_7x_0" localSheetId="52">'307'!$D$70</definedName>
    <definedName name="OSRRefD21_7x_0" localSheetId="53">'308'!$D$85:$D$86</definedName>
    <definedName name="OSRRefD21_7x_0" localSheetId="64">'309'!$D$53:$D$55</definedName>
    <definedName name="OSRRefD21_7x_0" localSheetId="63">'310'!$D$58</definedName>
    <definedName name="OSRRefD21_7x_0" localSheetId="71">'310 &amp; 491'!$D$64</definedName>
    <definedName name="OSRRefD21_7x_0" localSheetId="54">'311'!$D$84:$D$85</definedName>
    <definedName name="OSRRefD21_7x_0" localSheetId="65">'313'!$D$51</definedName>
    <definedName name="OSRRefD21_7x_0" localSheetId="57">'315'!$D$107:$D$108</definedName>
    <definedName name="OSRRefD21_7x_0" localSheetId="60">'316'!$D$61:$D$62</definedName>
    <definedName name="OSRRefD21_7x_0" localSheetId="62">'317'!$D$81</definedName>
    <definedName name="OSRRefD21_7x_0" localSheetId="66">'321'!$D$54</definedName>
    <definedName name="OSRRefD21_7x_0" localSheetId="67">'322'!$D$53:$D$54</definedName>
    <definedName name="OSRRefD21_7x_0" localSheetId="68">'325'!$D$52</definedName>
    <definedName name="OSRRefD21_7x_0" localSheetId="58">'326'!$D$74</definedName>
    <definedName name="OSRRefD21_7x_0" localSheetId="51">'330'!$D$70</definedName>
    <definedName name="OSRRefD21_7x_0" localSheetId="56">'331'!$D$107:$D$108</definedName>
    <definedName name="OSRRefD21_7x_0" localSheetId="59">'332'!$D$61:$D$62</definedName>
    <definedName name="OSRRefD21_7x_0" localSheetId="73">'405'!$D$53</definedName>
    <definedName name="OSRRefD21_7x_0" localSheetId="75">'411'!$D$51</definedName>
    <definedName name="OSRRefD21_7x_0" localSheetId="76">'412'!$D$52</definedName>
    <definedName name="OSRRefD21_7x_0" localSheetId="77">'413'!$D$53</definedName>
    <definedName name="OSRRefD21_7x_0" localSheetId="78">'414'!$D$54</definedName>
    <definedName name="OSRRefD21_7x_0" localSheetId="79">'415'!$D$58</definedName>
    <definedName name="OSRRefD21_7x_0" localSheetId="80">'418'!$D$53</definedName>
    <definedName name="OSRRefD21_7x_0" localSheetId="87">'430'!$D$53</definedName>
    <definedName name="OSRRefD21_7x_0" localSheetId="88">'433'!$D$58</definedName>
    <definedName name="OSRRefD21_7x_0" localSheetId="90">'444'!$D$58</definedName>
    <definedName name="OSRRefD21_7x_0" localSheetId="91">'450'!$D$54</definedName>
    <definedName name="OSRRefD21_7x_0" localSheetId="72">'491'!$D$61</definedName>
    <definedName name="OSRRefD21_7x_0" localSheetId="86">'492'!$D$58</definedName>
    <definedName name="OSRRefD21_7x_0" localSheetId="93">'501'!$D$54</definedName>
    <definedName name="OSRRefD21_7x_0" localSheetId="39">'Div 2'!$D$53</definedName>
    <definedName name="OSRRefD21_7x_0" localSheetId="47">'Div 3'!$D$150</definedName>
    <definedName name="OSRRefD21_7x_0" localSheetId="70">'Div 4'!$D$64</definedName>
    <definedName name="OSRRefD21_7x_0" localSheetId="92">'Div 5'!$D$54</definedName>
    <definedName name="OSRRefD21_7x_0" localSheetId="61">'Div 6'!$D$81</definedName>
    <definedName name="OSRRefD21_7x_0" localSheetId="2">Summary!$D$178</definedName>
    <definedName name="OSRRefD21_7x_1" localSheetId="41">'201'!$E$51</definedName>
    <definedName name="OSRRefD21_7x_1" localSheetId="42">'202'!$E$51:$E$52</definedName>
    <definedName name="OSRRefD21_7x_1" localSheetId="43">'203'!$E$51</definedName>
    <definedName name="OSRRefD21_7x_1" localSheetId="44">'204'!$E$53:$E$54</definedName>
    <definedName name="OSRRefD21_7x_1" localSheetId="45">'205'!$E$52</definedName>
    <definedName name="OSRRefD21_7x_1" localSheetId="48">'300'!$E$146</definedName>
    <definedName name="OSRRefD21_7x_1" localSheetId="49">'300 &amp; 317'!$E$168</definedName>
    <definedName name="OSRRefD21_7x_1" localSheetId="50">'301'!$E$52</definedName>
    <definedName name="OSRRefD21_7x_1" localSheetId="52">'307'!$E$70</definedName>
    <definedName name="OSRRefD21_7x_1" localSheetId="53">'308'!$E$85:$E$86</definedName>
    <definedName name="OSRRefD21_7x_1" localSheetId="64">'309'!$E$53:$E$55</definedName>
    <definedName name="OSRRefD21_7x_1" localSheetId="63">'310'!$E$58</definedName>
    <definedName name="OSRRefD21_7x_1" localSheetId="71">'310 &amp; 491'!$E$64</definedName>
    <definedName name="OSRRefD21_7x_1" localSheetId="54">'311'!$E$84:$E$85</definedName>
    <definedName name="OSRRefD21_7x_1" localSheetId="65">'313'!$E$51</definedName>
    <definedName name="OSRRefD21_7x_1" localSheetId="57">'315'!$E$107:$E$108</definedName>
    <definedName name="OSRRefD21_7x_1" localSheetId="60">'316'!$E$61:$E$62</definedName>
    <definedName name="OSRRefD21_7x_1" localSheetId="62">'317'!$E$81</definedName>
    <definedName name="OSRRefD21_7x_1" localSheetId="66">'321'!$E$54</definedName>
    <definedName name="OSRRefD21_7x_1" localSheetId="67">'322'!$E$53:$E$54</definedName>
    <definedName name="OSRRefD21_7x_1" localSheetId="68">'325'!$E$52</definedName>
    <definedName name="OSRRefD21_7x_1" localSheetId="58">'326'!$E$74</definedName>
    <definedName name="OSRRefD21_7x_1" localSheetId="51">'330'!$E$70</definedName>
    <definedName name="OSRRefD21_7x_1" localSheetId="56">'331'!$E$107:$E$108</definedName>
    <definedName name="OSRRefD21_7x_1" localSheetId="59">'332'!$E$61:$E$62</definedName>
    <definedName name="OSRRefD21_7x_1" localSheetId="73">'405'!$E$53</definedName>
    <definedName name="OSRRefD21_7x_1" localSheetId="75">'411'!$E$51</definedName>
    <definedName name="OSRRefD21_7x_1" localSheetId="76">'412'!$E$52</definedName>
    <definedName name="OSRRefD21_7x_1" localSheetId="77">'413'!$E$53</definedName>
    <definedName name="OSRRefD21_7x_1" localSheetId="78">'414'!$E$54</definedName>
    <definedName name="OSRRefD21_7x_1" localSheetId="79">'415'!$E$58</definedName>
    <definedName name="OSRRefD21_7x_1" localSheetId="80">'418'!$E$53</definedName>
    <definedName name="OSRRefD21_7x_1" localSheetId="87">'430'!$E$53</definedName>
    <definedName name="OSRRefD21_7x_1" localSheetId="88">'433'!$E$58</definedName>
    <definedName name="OSRRefD21_7x_1" localSheetId="90">'444'!$E$58</definedName>
    <definedName name="OSRRefD21_7x_1" localSheetId="91">'450'!$E$54</definedName>
    <definedName name="OSRRefD21_7x_1" localSheetId="72">'491'!$E$61</definedName>
    <definedName name="OSRRefD21_7x_1" localSheetId="86">'492'!$E$58</definedName>
    <definedName name="OSRRefD21_7x_1" localSheetId="93">'501'!$E$54</definedName>
    <definedName name="OSRRefD21_7x_1" localSheetId="39">'Div 2'!$E$53</definedName>
    <definedName name="OSRRefD21_7x_1" localSheetId="47">'Div 3'!$E$150</definedName>
    <definedName name="OSRRefD21_7x_1" localSheetId="70">'Div 4'!$E$64</definedName>
    <definedName name="OSRRefD21_7x_1" localSheetId="92">'Div 5'!$E$54</definedName>
    <definedName name="OSRRefD21_7x_1" localSheetId="61">'Div 6'!$E$81</definedName>
    <definedName name="OSRRefD21_7x_1" localSheetId="2">Summary!$E$178</definedName>
    <definedName name="OSRRefD21_7x_2" localSheetId="41">'201'!$F$51</definedName>
    <definedName name="OSRRefD21_7x_2" localSheetId="42">'202'!$F$51:$F$52</definedName>
    <definedName name="OSRRefD21_7x_2" localSheetId="43">'203'!$F$51</definedName>
    <definedName name="OSRRefD21_7x_2" localSheetId="44">'204'!$F$53:$F$54</definedName>
    <definedName name="OSRRefD21_7x_2" localSheetId="45">'205'!$F$52</definedName>
    <definedName name="OSRRefD21_7x_2" localSheetId="48">'300'!$F$146</definedName>
    <definedName name="OSRRefD21_7x_2" localSheetId="49">'300 &amp; 317'!$F$168</definedName>
    <definedName name="OSRRefD21_7x_2" localSheetId="50">'301'!$F$52</definedName>
    <definedName name="OSRRefD21_7x_2" localSheetId="52">'307'!$F$70</definedName>
    <definedName name="OSRRefD21_7x_2" localSheetId="53">'308'!$F$85:$F$86</definedName>
    <definedName name="OSRRefD21_7x_2" localSheetId="64">'309'!$F$53:$F$55</definedName>
    <definedName name="OSRRefD21_7x_2" localSheetId="63">'310'!$F$58</definedName>
    <definedName name="OSRRefD21_7x_2" localSheetId="71">'310 &amp; 491'!$F$64</definedName>
    <definedName name="OSRRefD21_7x_2" localSheetId="54">'311'!$F$84:$F$85</definedName>
    <definedName name="OSRRefD21_7x_2" localSheetId="65">'313'!$F$51</definedName>
    <definedName name="OSRRefD21_7x_2" localSheetId="57">'315'!$F$107:$F$108</definedName>
    <definedName name="OSRRefD21_7x_2" localSheetId="60">'316'!$F$61:$F$62</definedName>
    <definedName name="OSRRefD21_7x_2" localSheetId="62">'317'!$F$81</definedName>
    <definedName name="OSRRefD21_7x_2" localSheetId="66">'321'!$F$54</definedName>
    <definedName name="OSRRefD21_7x_2" localSheetId="67">'322'!$F$53:$F$54</definedName>
    <definedName name="OSRRefD21_7x_2" localSheetId="68">'325'!$F$52</definedName>
    <definedName name="OSRRefD21_7x_2" localSheetId="58">'326'!$F$74</definedName>
    <definedName name="OSRRefD21_7x_2" localSheetId="51">'330'!$F$70</definedName>
    <definedName name="OSRRefD21_7x_2" localSheetId="56">'331'!$F$107:$F$108</definedName>
    <definedName name="OSRRefD21_7x_2" localSheetId="59">'332'!$F$61:$F$62</definedName>
    <definedName name="OSRRefD21_7x_2" localSheetId="73">'405'!$F$53</definedName>
    <definedName name="OSRRefD21_7x_2" localSheetId="75">'411'!$F$51</definedName>
    <definedName name="OSRRefD21_7x_2" localSheetId="76">'412'!$F$52</definedName>
    <definedName name="OSRRefD21_7x_2" localSheetId="77">'413'!$F$53</definedName>
    <definedName name="OSRRefD21_7x_2" localSheetId="78">'414'!$F$54</definedName>
    <definedName name="OSRRefD21_7x_2" localSheetId="79">'415'!$F$58</definedName>
    <definedName name="OSRRefD21_7x_2" localSheetId="80">'418'!$F$53</definedName>
    <definedName name="OSRRefD21_7x_2" localSheetId="87">'430'!$F$53</definedName>
    <definedName name="OSRRefD21_7x_2" localSheetId="88">'433'!$F$58</definedName>
    <definedName name="OSRRefD21_7x_2" localSheetId="90">'444'!$F$58</definedName>
    <definedName name="OSRRefD21_7x_2" localSheetId="91">'450'!$F$54</definedName>
    <definedName name="OSRRefD21_7x_2" localSheetId="72">'491'!$F$61</definedName>
    <definedName name="OSRRefD21_7x_2" localSheetId="86">'492'!$F$58</definedName>
    <definedName name="OSRRefD21_7x_2" localSheetId="93">'501'!$F$54</definedName>
    <definedName name="OSRRefD21_7x_2" localSheetId="39">'Div 2'!$F$53</definedName>
    <definedName name="OSRRefD21_7x_2" localSheetId="47">'Div 3'!$F$150</definedName>
    <definedName name="OSRRefD21_7x_2" localSheetId="70">'Div 4'!$F$64</definedName>
    <definedName name="OSRRefD21_7x_2" localSheetId="92">'Div 5'!$F$54</definedName>
    <definedName name="OSRRefD21_7x_2" localSheetId="61">'Div 6'!$F$81</definedName>
    <definedName name="OSRRefD21_7x_2" localSheetId="2">Summary!$F$178</definedName>
    <definedName name="OSRRefD21_7x_3" localSheetId="41">'201'!$G$51</definedName>
    <definedName name="OSRRefD21_7x_3" localSheetId="42">'202'!$G$51:$G$52</definedName>
    <definedName name="OSRRefD21_7x_3" localSheetId="43">'203'!$G$51</definedName>
    <definedName name="OSRRefD21_7x_3" localSheetId="44">'204'!$G$53:$G$54</definedName>
    <definedName name="OSRRefD21_7x_3" localSheetId="45">'205'!$G$52</definedName>
    <definedName name="OSRRefD21_7x_3" localSheetId="48">'300'!$G$146</definedName>
    <definedName name="OSRRefD21_7x_3" localSheetId="49">'300 &amp; 317'!$G$168</definedName>
    <definedName name="OSRRefD21_7x_3" localSheetId="50">'301'!$G$52</definedName>
    <definedName name="OSRRefD21_7x_3" localSheetId="52">'307'!$G$70</definedName>
    <definedName name="OSRRefD21_7x_3" localSheetId="53">'308'!$G$85:$G$86</definedName>
    <definedName name="OSRRefD21_7x_3" localSheetId="64">'309'!$G$53:$G$55</definedName>
    <definedName name="OSRRefD21_7x_3" localSheetId="63">'310'!$G$58</definedName>
    <definedName name="OSRRefD21_7x_3" localSheetId="71">'310 &amp; 491'!$G$64</definedName>
    <definedName name="OSRRefD21_7x_3" localSheetId="54">'311'!$G$84:$G$85</definedName>
    <definedName name="OSRRefD21_7x_3" localSheetId="65">'313'!$G$51</definedName>
    <definedName name="OSRRefD21_7x_3" localSheetId="57">'315'!$G$107:$G$108</definedName>
    <definedName name="OSRRefD21_7x_3" localSheetId="60">'316'!$G$61:$G$62</definedName>
    <definedName name="OSRRefD21_7x_3" localSheetId="62">'317'!$G$81</definedName>
    <definedName name="OSRRefD21_7x_3" localSheetId="66">'321'!$G$54</definedName>
    <definedName name="OSRRefD21_7x_3" localSheetId="67">'322'!$G$53:$G$54</definedName>
    <definedName name="OSRRefD21_7x_3" localSheetId="68">'325'!$G$52</definedName>
    <definedName name="OSRRefD21_7x_3" localSheetId="58">'326'!$G$74</definedName>
    <definedName name="OSRRefD21_7x_3" localSheetId="51">'330'!$G$70</definedName>
    <definedName name="OSRRefD21_7x_3" localSheetId="56">'331'!$G$107:$G$108</definedName>
    <definedName name="OSRRefD21_7x_3" localSheetId="59">'332'!$G$61:$G$62</definedName>
    <definedName name="OSRRefD21_7x_3" localSheetId="73">'405'!$G$53</definedName>
    <definedName name="OSRRefD21_7x_3" localSheetId="75">'411'!$G$51</definedName>
    <definedName name="OSRRefD21_7x_3" localSheetId="76">'412'!$G$52</definedName>
    <definedName name="OSRRefD21_7x_3" localSheetId="77">'413'!$G$53</definedName>
    <definedName name="OSRRefD21_7x_3" localSheetId="78">'414'!$G$54</definedName>
    <definedName name="OSRRefD21_7x_3" localSheetId="79">'415'!$G$58</definedName>
    <definedName name="OSRRefD21_7x_3" localSheetId="80">'418'!$G$53</definedName>
    <definedName name="OSRRefD21_7x_3" localSheetId="87">'430'!$G$53</definedName>
    <definedName name="OSRRefD21_7x_3" localSheetId="88">'433'!$G$58</definedName>
    <definedName name="OSRRefD21_7x_3" localSheetId="90">'444'!$G$58</definedName>
    <definedName name="OSRRefD21_7x_3" localSheetId="91">'450'!$G$54</definedName>
    <definedName name="OSRRefD21_7x_3" localSheetId="72">'491'!$G$61</definedName>
    <definedName name="OSRRefD21_7x_3" localSheetId="86">'492'!$G$58</definedName>
    <definedName name="OSRRefD21_7x_3" localSheetId="93">'501'!$G$54</definedName>
    <definedName name="OSRRefD21_7x_3" localSheetId="39">'Div 2'!$G$53</definedName>
    <definedName name="OSRRefD21_7x_3" localSheetId="47">'Div 3'!$G$150</definedName>
    <definedName name="OSRRefD21_7x_3" localSheetId="70">'Div 4'!$G$64</definedName>
    <definedName name="OSRRefD21_7x_3" localSheetId="92">'Div 5'!$G$54</definedName>
    <definedName name="OSRRefD21_7x_3" localSheetId="61">'Div 6'!$G$81</definedName>
    <definedName name="OSRRefD21_7x_3" localSheetId="2">Summary!$G$178</definedName>
    <definedName name="OSRRefD21_8_0x" localSheetId="41">'201'!$D$53:$G$53</definedName>
    <definedName name="OSRRefD21_8_0x" localSheetId="42">'202'!$D$54:$G$54</definedName>
    <definedName name="OSRRefD21_8_0x" localSheetId="43">'203'!$D$53:$G$53</definedName>
    <definedName name="OSRRefD21_8_0x" localSheetId="44">'204'!$D$56:$G$56</definedName>
    <definedName name="OSRRefD21_8_0x" localSheetId="48">'300'!$D$148:$G$148</definedName>
    <definedName name="OSRRefD21_8_0x" localSheetId="49">'300 &amp; 317'!$D$170:$G$170</definedName>
    <definedName name="OSRRefD21_8_0x" localSheetId="50">'301'!$D$54:$G$54</definedName>
    <definedName name="OSRRefD21_8_0x" localSheetId="52">'307'!$D$72:$G$72</definedName>
    <definedName name="OSRRefD21_8_0x" localSheetId="53">'308'!$D$88:$G$88</definedName>
    <definedName name="OSRRefD21_8_0x" localSheetId="64">'309'!$D$57:$G$57</definedName>
    <definedName name="OSRRefD21_8_0x" localSheetId="63">'310'!$D$60:$G$60</definedName>
    <definedName name="OSRRefD21_8_0x" localSheetId="71">'310 &amp; 491'!$D$66:$G$66</definedName>
    <definedName name="OSRRefD21_8_0x" localSheetId="54">'311'!$D$87:$G$87</definedName>
    <definedName name="OSRRefD21_8_0x" localSheetId="57">'315'!$D$110:$G$110</definedName>
    <definedName name="OSRRefD21_8_0x" localSheetId="60">'316'!$D$64:$G$64</definedName>
    <definedName name="OSRRefD21_8_0x" localSheetId="62">'317'!$D$83:$G$83</definedName>
    <definedName name="OSRRefD21_8_0x" localSheetId="66">'321'!$D$56:$G$56</definedName>
    <definedName name="OSRRefD21_8_0x" localSheetId="67">'322'!$D$56:$G$56</definedName>
    <definedName name="OSRRefD21_8_0x" localSheetId="68">'325'!$D$54:$G$54</definedName>
    <definedName name="OSRRefD21_8_0x" localSheetId="58">'326'!$D$76:$G$76</definedName>
    <definedName name="OSRRefD21_8_0x" localSheetId="51">'330'!$D$72:$G$72</definedName>
    <definedName name="OSRRefD21_8_0x" localSheetId="56">'331'!$D$110:$G$110</definedName>
    <definedName name="OSRRefD21_8_0x" localSheetId="59">'332'!$D$64:$G$64</definedName>
    <definedName name="OSRRefD21_8_0x" localSheetId="73">'405'!$D$55:$G$55</definedName>
    <definedName name="OSRRefD21_8_0x" localSheetId="75">'411'!$D$53:$G$53</definedName>
    <definedName name="OSRRefD21_8_0x" localSheetId="76">'412'!$D$54:$G$54</definedName>
    <definedName name="OSRRefD21_8_0x" localSheetId="77">'413'!$D$55:$G$55</definedName>
    <definedName name="OSRRefD21_8_0x" localSheetId="78">'414'!$D$56:$G$56</definedName>
    <definedName name="OSRRefD21_8_0x" localSheetId="79">'415'!$D$60:$G$60</definedName>
    <definedName name="OSRRefD21_8_0x" localSheetId="80">'418'!$D$55:$G$55</definedName>
    <definedName name="OSRRefD21_8_0x" localSheetId="88">'433'!$D$60:$G$60</definedName>
    <definedName name="OSRRefD21_8_0x" localSheetId="90">'444'!$D$60:$G$60</definedName>
    <definedName name="OSRRefD21_8_0x" localSheetId="91">'450'!$D$56:$G$56</definedName>
    <definedName name="OSRRefD21_8_0x" localSheetId="72">'491'!$D$63:$G$63</definedName>
    <definedName name="OSRRefD21_8_0x" localSheetId="86">'492'!$D$60:$G$60</definedName>
    <definedName name="OSRRefD21_8_0x" localSheetId="93">'501'!$D$56:$G$56</definedName>
    <definedName name="OSRRefD21_8_0x" localSheetId="39">'Div 2'!$D$55:$G$55</definedName>
    <definedName name="OSRRefD21_8_0x" localSheetId="47">'Div 3'!$D$152:$G$152</definedName>
    <definedName name="OSRRefD21_8_0x" localSheetId="70">'Div 4'!$D$66:$G$66</definedName>
    <definedName name="OSRRefD21_8_0x" localSheetId="92">'Div 5'!$D$56:$G$56</definedName>
    <definedName name="OSRRefD21_8_0x" localSheetId="61">'Div 6'!$D$83:$G$83</definedName>
    <definedName name="OSRRefD21_8_0x" localSheetId="2">Summary!$D$180:$G$180</definedName>
    <definedName name="OSRRefD21_8_1x" localSheetId="43">'203'!$D$54:$G$54</definedName>
    <definedName name="OSRRefD21_8_1x" localSheetId="52">'307'!$D$73:$G$73</definedName>
    <definedName name="OSRRefD21_8_1x" localSheetId="71">'310 &amp; 491'!$D$67:$G$67</definedName>
    <definedName name="OSRRefD21_8_1x" localSheetId="66">'321'!$D$57:$G$57</definedName>
    <definedName name="OSRRefD21_8_1x" localSheetId="67">'322'!$D$57:$G$57</definedName>
    <definedName name="OSRRefD21_8_1x" localSheetId="51">'330'!$D$73:$G$73</definedName>
    <definedName name="OSRRefD21_8_1x" localSheetId="76">'412'!$D$55:$G$55</definedName>
    <definedName name="OSRRefD21_8_1x" localSheetId="77">'413'!$D$56:$G$56</definedName>
    <definedName name="OSRRefD21_8_1x" localSheetId="78">'414'!$D$57:$G$57</definedName>
    <definedName name="OSRRefD21_8_1x" localSheetId="80">'418'!$D$56:$G$56</definedName>
    <definedName name="OSRRefD21_8_2x" localSheetId="43">'203'!$D$55:$G$55</definedName>
    <definedName name="OSRRefD21_8_2x" localSheetId="67">'322'!$D$58:$G$58</definedName>
    <definedName name="OSRRefD21_8_2x" localSheetId="77">'413'!$D$57:$G$57</definedName>
    <definedName name="OSRRefD21_8_3x" localSheetId="67">'322'!$D$59:$G$59</definedName>
    <definedName name="OSRRefD21_8x_0" localSheetId="41">'201'!$D$53</definedName>
    <definedName name="OSRRefD21_8x_0" localSheetId="42">'202'!$D$54</definedName>
    <definedName name="OSRRefD21_8x_0" localSheetId="43">'203'!$D$53:$D$55</definedName>
    <definedName name="OSRRefD21_8x_0" localSheetId="44">'204'!$D$56</definedName>
    <definedName name="OSRRefD21_8x_0" localSheetId="48">'300'!$D$148</definedName>
    <definedName name="OSRRefD21_8x_0" localSheetId="49">'300 &amp; 317'!$D$170</definedName>
    <definedName name="OSRRefD21_8x_0" localSheetId="50">'301'!$D$54</definedName>
    <definedName name="OSRRefD21_8x_0" localSheetId="52">'307'!$D$72:$D$73</definedName>
    <definedName name="OSRRefD21_8x_0" localSheetId="53">'308'!$D$88</definedName>
    <definedName name="OSRRefD21_8x_0" localSheetId="64">'309'!$D$57</definedName>
    <definedName name="OSRRefD21_8x_0" localSheetId="63">'310'!$D$60</definedName>
    <definedName name="OSRRefD21_8x_0" localSheetId="71">'310 &amp; 491'!$D$66:$D$67</definedName>
    <definedName name="OSRRefD21_8x_0" localSheetId="54">'311'!$D$87</definedName>
    <definedName name="OSRRefD21_8x_0" localSheetId="57">'315'!$D$110</definedName>
    <definedName name="OSRRefD21_8x_0" localSheetId="60">'316'!$D$64</definedName>
    <definedName name="OSRRefD21_8x_0" localSheetId="62">'317'!$D$83</definedName>
    <definedName name="OSRRefD21_8x_0" localSheetId="66">'321'!$D$56:$D$57</definedName>
    <definedName name="OSRRefD21_8x_0" localSheetId="67">'322'!$D$56:$D$59</definedName>
    <definedName name="OSRRefD21_8x_0" localSheetId="68">'325'!$D$54</definedName>
    <definedName name="OSRRefD21_8x_0" localSheetId="58">'326'!$D$76</definedName>
    <definedName name="OSRRefD21_8x_0" localSheetId="51">'330'!$D$72:$D$73</definedName>
    <definedName name="OSRRefD21_8x_0" localSheetId="56">'331'!$D$110</definedName>
    <definedName name="OSRRefD21_8x_0" localSheetId="59">'332'!$D$64</definedName>
    <definedName name="OSRRefD21_8x_0" localSheetId="73">'405'!$D$55</definedName>
    <definedName name="OSRRefD21_8x_0" localSheetId="75">'411'!$D$53</definedName>
    <definedName name="OSRRefD21_8x_0" localSheetId="76">'412'!$D$54:$D$55</definedName>
    <definedName name="OSRRefD21_8x_0" localSheetId="77">'413'!$D$55:$D$57</definedName>
    <definedName name="OSRRefD21_8x_0" localSheetId="78">'414'!$D$56:$D$57</definedName>
    <definedName name="OSRRefD21_8x_0" localSheetId="79">'415'!$D$60</definedName>
    <definedName name="OSRRefD21_8x_0" localSheetId="80">'418'!$D$55:$D$56</definedName>
    <definedName name="OSRRefD21_8x_0" localSheetId="88">'433'!$D$60</definedName>
    <definedName name="OSRRefD21_8x_0" localSheetId="90">'444'!$D$60</definedName>
    <definedName name="OSRRefD21_8x_0" localSheetId="91">'450'!$D$56</definedName>
    <definedName name="OSRRefD21_8x_0" localSheetId="72">'491'!$D$63</definedName>
    <definedName name="OSRRefD21_8x_0" localSheetId="86">'492'!$D$60</definedName>
    <definedName name="OSRRefD21_8x_0" localSheetId="93">'501'!$D$56</definedName>
    <definedName name="OSRRefD21_8x_0" localSheetId="39">'Div 2'!$D$55</definedName>
    <definedName name="OSRRefD21_8x_0" localSheetId="47">'Div 3'!$D$152</definedName>
    <definedName name="OSRRefD21_8x_0" localSheetId="70">'Div 4'!$D$66</definedName>
    <definedName name="OSRRefD21_8x_0" localSheetId="92">'Div 5'!$D$56</definedName>
    <definedName name="OSRRefD21_8x_0" localSheetId="61">'Div 6'!$D$83</definedName>
    <definedName name="OSRRefD21_8x_0" localSheetId="2">Summary!$D$180</definedName>
    <definedName name="OSRRefD21_8x_1" localSheetId="41">'201'!$E$53</definedName>
    <definedName name="OSRRefD21_8x_1" localSheetId="42">'202'!$E$54</definedName>
    <definedName name="OSRRefD21_8x_1" localSheetId="43">'203'!$E$53:$E$55</definedName>
    <definedName name="OSRRefD21_8x_1" localSheetId="44">'204'!$E$56</definedName>
    <definedName name="OSRRefD21_8x_1" localSheetId="48">'300'!$E$148</definedName>
    <definedName name="OSRRefD21_8x_1" localSheetId="49">'300 &amp; 317'!$E$170</definedName>
    <definedName name="OSRRefD21_8x_1" localSheetId="50">'301'!$E$54</definedName>
    <definedName name="OSRRefD21_8x_1" localSheetId="52">'307'!$E$72:$E$73</definedName>
    <definedName name="OSRRefD21_8x_1" localSheetId="53">'308'!$E$88</definedName>
    <definedName name="OSRRefD21_8x_1" localSheetId="64">'309'!$E$57</definedName>
    <definedName name="OSRRefD21_8x_1" localSheetId="63">'310'!$E$60</definedName>
    <definedName name="OSRRefD21_8x_1" localSheetId="71">'310 &amp; 491'!$E$66:$E$67</definedName>
    <definedName name="OSRRefD21_8x_1" localSheetId="54">'311'!$E$87</definedName>
    <definedName name="OSRRefD21_8x_1" localSheetId="57">'315'!$E$110</definedName>
    <definedName name="OSRRefD21_8x_1" localSheetId="60">'316'!$E$64</definedName>
    <definedName name="OSRRefD21_8x_1" localSheetId="62">'317'!$E$83</definedName>
    <definedName name="OSRRefD21_8x_1" localSheetId="66">'321'!$E$56:$E$57</definedName>
    <definedName name="OSRRefD21_8x_1" localSheetId="67">'322'!$E$56:$E$59</definedName>
    <definedName name="OSRRefD21_8x_1" localSheetId="68">'325'!$E$54</definedName>
    <definedName name="OSRRefD21_8x_1" localSheetId="58">'326'!$E$76</definedName>
    <definedName name="OSRRefD21_8x_1" localSheetId="51">'330'!$E$72:$E$73</definedName>
    <definedName name="OSRRefD21_8x_1" localSheetId="56">'331'!$E$110</definedName>
    <definedName name="OSRRefD21_8x_1" localSheetId="59">'332'!$E$64</definedName>
    <definedName name="OSRRefD21_8x_1" localSheetId="73">'405'!$E$55</definedName>
    <definedName name="OSRRefD21_8x_1" localSheetId="75">'411'!$E$53</definedName>
    <definedName name="OSRRefD21_8x_1" localSheetId="76">'412'!$E$54:$E$55</definedName>
    <definedName name="OSRRefD21_8x_1" localSheetId="77">'413'!$E$55:$E$57</definedName>
    <definedName name="OSRRefD21_8x_1" localSheetId="78">'414'!$E$56:$E$57</definedName>
    <definedName name="OSRRefD21_8x_1" localSheetId="79">'415'!$E$60</definedName>
    <definedName name="OSRRefD21_8x_1" localSheetId="80">'418'!$E$55:$E$56</definedName>
    <definedName name="OSRRefD21_8x_1" localSheetId="88">'433'!$E$60</definedName>
    <definedName name="OSRRefD21_8x_1" localSheetId="90">'444'!$E$60</definedName>
    <definedName name="OSRRefD21_8x_1" localSheetId="91">'450'!$E$56</definedName>
    <definedName name="OSRRefD21_8x_1" localSheetId="72">'491'!$E$63</definedName>
    <definedName name="OSRRefD21_8x_1" localSheetId="86">'492'!$E$60</definedName>
    <definedName name="OSRRefD21_8x_1" localSheetId="93">'501'!$E$56</definedName>
    <definedName name="OSRRefD21_8x_1" localSheetId="39">'Div 2'!$E$55</definedName>
    <definedName name="OSRRefD21_8x_1" localSheetId="47">'Div 3'!$E$152</definedName>
    <definedName name="OSRRefD21_8x_1" localSheetId="70">'Div 4'!$E$66</definedName>
    <definedName name="OSRRefD21_8x_1" localSheetId="92">'Div 5'!$E$56</definedName>
    <definedName name="OSRRefD21_8x_1" localSheetId="61">'Div 6'!$E$83</definedName>
    <definedName name="OSRRefD21_8x_1" localSheetId="2">Summary!$E$180</definedName>
    <definedName name="OSRRefD21_8x_2" localSheetId="41">'201'!$F$53</definedName>
    <definedName name="OSRRefD21_8x_2" localSheetId="42">'202'!$F$54</definedName>
    <definedName name="OSRRefD21_8x_2" localSheetId="43">'203'!$F$53:$F$55</definedName>
    <definedName name="OSRRefD21_8x_2" localSheetId="44">'204'!$F$56</definedName>
    <definedName name="OSRRefD21_8x_2" localSheetId="48">'300'!$F$148</definedName>
    <definedName name="OSRRefD21_8x_2" localSheetId="49">'300 &amp; 317'!$F$170</definedName>
    <definedName name="OSRRefD21_8x_2" localSheetId="50">'301'!$F$54</definedName>
    <definedName name="OSRRefD21_8x_2" localSheetId="52">'307'!$F$72:$F$73</definedName>
    <definedName name="OSRRefD21_8x_2" localSheetId="53">'308'!$F$88</definedName>
    <definedName name="OSRRefD21_8x_2" localSheetId="64">'309'!$F$57</definedName>
    <definedName name="OSRRefD21_8x_2" localSheetId="63">'310'!$F$60</definedName>
    <definedName name="OSRRefD21_8x_2" localSheetId="71">'310 &amp; 491'!$F$66:$F$67</definedName>
    <definedName name="OSRRefD21_8x_2" localSheetId="54">'311'!$F$87</definedName>
    <definedName name="OSRRefD21_8x_2" localSheetId="57">'315'!$F$110</definedName>
    <definedName name="OSRRefD21_8x_2" localSheetId="60">'316'!$F$64</definedName>
    <definedName name="OSRRefD21_8x_2" localSheetId="62">'317'!$F$83</definedName>
    <definedName name="OSRRefD21_8x_2" localSheetId="66">'321'!$F$56:$F$57</definedName>
    <definedName name="OSRRefD21_8x_2" localSheetId="67">'322'!$F$56:$F$59</definedName>
    <definedName name="OSRRefD21_8x_2" localSheetId="68">'325'!$F$54</definedName>
    <definedName name="OSRRefD21_8x_2" localSheetId="58">'326'!$F$76</definedName>
    <definedName name="OSRRefD21_8x_2" localSheetId="51">'330'!$F$72:$F$73</definedName>
    <definedName name="OSRRefD21_8x_2" localSheetId="56">'331'!$F$110</definedName>
    <definedName name="OSRRefD21_8x_2" localSheetId="59">'332'!$F$64</definedName>
    <definedName name="OSRRefD21_8x_2" localSheetId="73">'405'!$F$55</definedName>
    <definedName name="OSRRefD21_8x_2" localSheetId="75">'411'!$F$53</definedName>
    <definedName name="OSRRefD21_8x_2" localSheetId="76">'412'!$F$54:$F$55</definedName>
    <definedName name="OSRRefD21_8x_2" localSheetId="77">'413'!$F$55:$F$57</definedName>
    <definedName name="OSRRefD21_8x_2" localSheetId="78">'414'!$F$56:$F$57</definedName>
    <definedName name="OSRRefD21_8x_2" localSheetId="79">'415'!$F$60</definedName>
    <definedName name="OSRRefD21_8x_2" localSheetId="80">'418'!$F$55:$F$56</definedName>
    <definedName name="OSRRefD21_8x_2" localSheetId="88">'433'!$F$60</definedName>
    <definedName name="OSRRefD21_8x_2" localSheetId="90">'444'!$F$60</definedName>
    <definedName name="OSRRefD21_8x_2" localSheetId="91">'450'!$F$56</definedName>
    <definedName name="OSRRefD21_8x_2" localSheetId="72">'491'!$F$63</definedName>
    <definedName name="OSRRefD21_8x_2" localSheetId="86">'492'!$F$60</definedName>
    <definedName name="OSRRefD21_8x_2" localSheetId="93">'501'!$F$56</definedName>
    <definedName name="OSRRefD21_8x_2" localSheetId="39">'Div 2'!$F$55</definedName>
    <definedName name="OSRRefD21_8x_2" localSheetId="47">'Div 3'!$F$152</definedName>
    <definedName name="OSRRefD21_8x_2" localSheetId="70">'Div 4'!$F$66</definedName>
    <definedName name="OSRRefD21_8x_2" localSheetId="92">'Div 5'!$F$56</definedName>
    <definedName name="OSRRefD21_8x_2" localSheetId="61">'Div 6'!$F$83</definedName>
    <definedName name="OSRRefD21_8x_2" localSheetId="2">Summary!$F$180</definedName>
    <definedName name="OSRRefD21_8x_3" localSheetId="41">'201'!$G$53</definedName>
    <definedName name="OSRRefD21_8x_3" localSheetId="42">'202'!$G$54</definedName>
    <definedName name="OSRRefD21_8x_3" localSheetId="43">'203'!$G$53:$G$55</definedName>
    <definedName name="OSRRefD21_8x_3" localSheetId="44">'204'!$G$56</definedName>
    <definedName name="OSRRefD21_8x_3" localSheetId="48">'300'!$G$148</definedName>
    <definedName name="OSRRefD21_8x_3" localSheetId="49">'300 &amp; 317'!$G$170</definedName>
    <definedName name="OSRRefD21_8x_3" localSheetId="50">'301'!$G$54</definedName>
    <definedName name="OSRRefD21_8x_3" localSheetId="52">'307'!$G$72:$G$73</definedName>
    <definedName name="OSRRefD21_8x_3" localSheetId="53">'308'!$G$88</definedName>
    <definedName name="OSRRefD21_8x_3" localSheetId="64">'309'!$G$57</definedName>
    <definedName name="OSRRefD21_8x_3" localSheetId="63">'310'!$G$60</definedName>
    <definedName name="OSRRefD21_8x_3" localSheetId="71">'310 &amp; 491'!$G$66:$G$67</definedName>
    <definedName name="OSRRefD21_8x_3" localSheetId="54">'311'!$G$87</definedName>
    <definedName name="OSRRefD21_8x_3" localSheetId="57">'315'!$G$110</definedName>
    <definedName name="OSRRefD21_8x_3" localSheetId="60">'316'!$G$64</definedName>
    <definedName name="OSRRefD21_8x_3" localSheetId="62">'317'!$G$83</definedName>
    <definedName name="OSRRefD21_8x_3" localSheetId="66">'321'!$G$56:$G$57</definedName>
    <definedName name="OSRRefD21_8x_3" localSheetId="67">'322'!$G$56:$G$59</definedName>
    <definedName name="OSRRefD21_8x_3" localSheetId="68">'325'!$G$54</definedName>
    <definedName name="OSRRefD21_8x_3" localSheetId="58">'326'!$G$76</definedName>
    <definedName name="OSRRefD21_8x_3" localSheetId="51">'330'!$G$72:$G$73</definedName>
    <definedName name="OSRRefD21_8x_3" localSheetId="56">'331'!$G$110</definedName>
    <definedName name="OSRRefD21_8x_3" localSheetId="59">'332'!$G$64</definedName>
    <definedName name="OSRRefD21_8x_3" localSheetId="73">'405'!$G$55</definedName>
    <definedName name="OSRRefD21_8x_3" localSheetId="75">'411'!$G$53</definedName>
    <definedName name="OSRRefD21_8x_3" localSheetId="76">'412'!$G$54:$G$55</definedName>
    <definedName name="OSRRefD21_8x_3" localSheetId="77">'413'!$G$55:$G$57</definedName>
    <definedName name="OSRRefD21_8x_3" localSheetId="78">'414'!$G$56:$G$57</definedName>
    <definedName name="OSRRefD21_8x_3" localSheetId="79">'415'!$G$60</definedName>
    <definedName name="OSRRefD21_8x_3" localSheetId="80">'418'!$G$55:$G$56</definedName>
    <definedName name="OSRRefD21_8x_3" localSheetId="88">'433'!$G$60</definedName>
    <definedName name="OSRRefD21_8x_3" localSheetId="90">'444'!$G$60</definedName>
    <definedName name="OSRRefD21_8x_3" localSheetId="91">'450'!$G$56</definedName>
    <definedName name="OSRRefD21_8x_3" localSheetId="72">'491'!$G$63</definedName>
    <definedName name="OSRRefD21_8x_3" localSheetId="86">'492'!$G$60</definedName>
    <definedName name="OSRRefD21_8x_3" localSheetId="93">'501'!$G$56</definedName>
    <definedName name="OSRRefD21_8x_3" localSheetId="39">'Div 2'!$G$55</definedName>
    <definedName name="OSRRefD21_8x_3" localSheetId="47">'Div 3'!$G$152</definedName>
    <definedName name="OSRRefD21_8x_3" localSheetId="70">'Div 4'!$G$66</definedName>
    <definedName name="OSRRefD21_8x_3" localSheetId="92">'Div 5'!$G$56</definedName>
    <definedName name="OSRRefD21_8x_3" localSheetId="61">'Div 6'!$G$83</definedName>
    <definedName name="OSRRefD21_8x_3" localSheetId="2">Summary!$G$180</definedName>
    <definedName name="OSRRefD21_9_0x" localSheetId="41">'201'!$D$55:$G$55</definedName>
    <definedName name="OSRRefD21_9_0x" localSheetId="42">'202'!$D$56:$G$56</definedName>
    <definedName name="OSRRefD21_9_0x" localSheetId="43">'203'!$D$57:$G$57</definedName>
    <definedName name="OSRRefD21_9_0x" localSheetId="48">'300'!$D$150:$G$150</definedName>
    <definedName name="OSRRefD21_9_0x" localSheetId="49">'300 &amp; 317'!$D$172:$G$172</definedName>
    <definedName name="OSRRefD21_9_0x" localSheetId="50">'301'!$D$56:$G$56</definedName>
    <definedName name="OSRRefD21_9_0x" localSheetId="52">'307'!$D$75:$G$75</definedName>
    <definedName name="OSRRefD21_9_0x" localSheetId="53">'308'!$D$90:$G$90</definedName>
    <definedName name="OSRRefD21_9_0x" localSheetId="63">'310'!$D$62:$G$62</definedName>
    <definedName name="OSRRefD21_9_0x" localSheetId="71">'310 &amp; 491'!$D$69:$G$69</definedName>
    <definedName name="OSRRefD21_9_0x" localSheetId="54">'311'!$D$89:$G$89</definedName>
    <definedName name="OSRRefD21_9_0x" localSheetId="57">'315'!$D$112:$G$112</definedName>
    <definedName name="OSRRefD21_9_0x" localSheetId="60">'316'!$D$66:$G$66</definedName>
    <definedName name="OSRRefD21_9_0x" localSheetId="62">'317'!$D$85:$G$85</definedName>
    <definedName name="OSRRefD21_9_0x" localSheetId="66">'321'!$D$59:$G$59</definedName>
    <definedName name="OSRRefD21_9_0x" localSheetId="67">'322'!$D$61:$G$61</definedName>
    <definedName name="OSRRefD21_9_0x" localSheetId="68">'325'!$D$56:$G$56</definedName>
    <definedName name="OSRRefD21_9_0x" localSheetId="58">'326'!$D$78:$G$78</definedName>
    <definedName name="OSRRefD21_9_0x" localSheetId="51">'330'!$D$75:$G$75</definedName>
    <definedName name="OSRRefD21_9_0x" localSheetId="56">'331'!$D$112:$G$112</definedName>
    <definedName name="OSRRefD21_9_0x" localSheetId="59">'332'!$D$66:$G$66</definedName>
    <definedName name="OSRRefD21_9_0x" localSheetId="73">'405'!$D$57:$G$57</definedName>
    <definedName name="OSRRefD21_9_0x" localSheetId="75">'411'!$D$55:$G$55</definedName>
    <definedName name="OSRRefD21_9_0x" localSheetId="76">'412'!$D$57:$G$57</definedName>
    <definedName name="OSRRefD21_9_0x" localSheetId="77">'413'!$D$59:$G$59</definedName>
    <definedName name="OSRRefD21_9_0x" localSheetId="78">'414'!$D$59:$G$59</definedName>
    <definedName name="OSRRefD21_9_0x" localSheetId="79">'415'!$D$62:$G$62</definedName>
    <definedName name="OSRRefD21_9_0x" localSheetId="80">'418'!$D$58:$G$58</definedName>
    <definedName name="OSRRefD21_9_0x" localSheetId="88">'433'!$D$62:$G$62</definedName>
    <definedName name="OSRRefD21_9_0x" localSheetId="90">'444'!$D$62:$G$62</definedName>
    <definedName name="OSRRefD21_9_0x" localSheetId="91">'450'!$D$58:$G$58</definedName>
    <definedName name="OSRRefD21_9_0x" localSheetId="72">'491'!$D$65:$G$65</definedName>
    <definedName name="OSRRefD21_9_0x" localSheetId="86">'492'!$D$62:$G$62</definedName>
    <definedName name="OSRRefD21_9_0x" localSheetId="93">'501'!$D$58:$G$58</definedName>
    <definedName name="OSRRefD21_9_0x" localSheetId="39">'Div 2'!$D$57:$G$57</definedName>
    <definedName name="OSRRefD21_9_0x" localSheetId="47">'Div 3'!$D$154:$G$154</definedName>
    <definedName name="OSRRefD21_9_0x" localSheetId="70">'Div 4'!$D$68:$G$68</definedName>
    <definedName name="OSRRefD21_9_0x" localSheetId="92">'Div 5'!$D$58:$G$58</definedName>
    <definedName name="OSRRefD21_9_0x" localSheetId="61">'Div 6'!$D$85:$G$85</definedName>
    <definedName name="OSRRefD21_9_0x" localSheetId="2">Summary!$D$182:$G$182</definedName>
    <definedName name="OSRRefD21_9_1x" localSheetId="42">'202'!$D$57:$G$57</definedName>
    <definedName name="OSRRefD21_9_1x" localSheetId="52">'307'!$D$76:$G$76</definedName>
    <definedName name="OSRRefD21_9_1x" localSheetId="53">'308'!$D$91:$G$91</definedName>
    <definedName name="OSRRefD21_9_1x" localSheetId="54">'311'!$D$90:$G$90</definedName>
    <definedName name="OSRRefD21_9_1x" localSheetId="60">'316'!$D$67:$G$67</definedName>
    <definedName name="OSRRefD21_9_1x" localSheetId="66">'321'!$D$60:$G$60</definedName>
    <definedName name="OSRRefD21_9_1x" localSheetId="51">'330'!$D$76:$G$76</definedName>
    <definedName name="OSRRefD21_9_1x" localSheetId="59">'332'!$D$67:$G$67</definedName>
    <definedName name="OSRRefD21_9_1x" localSheetId="73">'405'!$D$58:$G$58</definedName>
    <definedName name="OSRRefD21_9_1x" localSheetId="75">'411'!$D$56:$G$56</definedName>
    <definedName name="OSRRefD21_9_1x" localSheetId="77">'413'!$D$60:$G$60</definedName>
    <definedName name="OSRRefD21_9_1x" localSheetId="80">'418'!$D$59:$G$59</definedName>
    <definedName name="OSRRefD21_9_1x" localSheetId="93">'501'!$D$59:$G$59</definedName>
    <definedName name="OSRRefD21_9_1x" localSheetId="39">'Div 2'!$D$58:$G$58</definedName>
    <definedName name="OSRRefD21_9_1x" localSheetId="92">'Div 5'!$D$59:$G$59</definedName>
    <definedName name="OSRRefD21_9_2x" localSheetId="53">'308'!$D$92:$G$92</definedName>
    <definedName name="OSRRefD21_9_2x" localSheetId="54">'311'!$D$91:$G$91</definedName>
    <definedName name="OSRRefD21_9_2x" localSheetId="60">'316'!$D$68:$G$68</definedName>
    <definedName name="OSRRefD21_9_2x" localSheetId="59">'332'!$D$68:$G$68</definedName>
    <definedName name="OSRRefD21_9_2x" localSheetId="93">'501'!$D$60:$G$60</definedName>
    <definedName name="OSRRefD21_9_2x" localSheetId="92">'Div 5'!$D$60:$G$60</definedName>
    <definedName name="OSRRefD21_9_3x" localSheetId="60">'316'!$D$69:$G$69</definedName>
    <definedName name="OSRRefD21_9_3x" localSheetId="59">'332'!$D$69:$G$69</definedName>
    <definedName name="OSRRefD21_9_4x" localSheetId="60">'316'!$D$70:$G$70</definedName>
    <definedName name="OSRRefD21_9_4x" localSheetId="59">'332'!$D$70:$G$70</definedName>
    <definedName name="OSRRefD21_9x_0" localSheetId="41">'201'!$D$55</definedName>
    <definedName name="OSRRefD21_9x_0" localSheetId="42">'202'!$D$56:$D$57</definedName>
    <definedName name="OSRRefD21_9x_0" localSheetId="43">'203'!$D$57</definedName>
    <definedName name="OSRRefD21_9x_0" localSheetId="48">'300'!$D$150</definedName>
    <definedName name="OSRRefD21_9x_0" localSheetId="49">'300 &amp; 317'!$D$172</definedName>
    <definedName name="OSRRefD21_9x_0" localSheetId="50">'301'!$D$56</definedName>
    <definedName name="OSRRefD21_9x_0" localSheetId="52">'307'!$D$75:$D$76</definedName>
    <definedName name="OSRRefD21_9x_0" localSheetId="53">'308'!$D$90:$D$92</definedName>
    <definedName name="OSRRefD21_9x_0" localSheetId="63">'310'!$D$62</definedName>
    <definedName name="OSRRefD21_9x_0" localSheetId="71">'310 &amp; 491'!$D$69</definedName>
    <definedName name="OSRRefD21_9x_0" localSheetId="54">'311'!$D$89:$D$91</definedName>
    <definedName name="OSRRefD21_9x_0" localSheetId="57">'315'!$D$112</definedName>
    <definedName name="OSRRefD21_9x_0" localSheetId="60">'316'!$D$66:$D$70</definedName>
    <definedName name="OSRRefD21_9x_0" localSheetId="62">'317'!$D$85</definedName>
    <definedName name="OSRRefD21_9x_0" localSheetId="66">'321'!$D$59:$D$60</definedName>
    <definedName name="OSRRefD21_9x_0" localSheetId="67">'322'!$D$61</definedName>
    <definedName name="OSRRefD21_9x_0" localSheetId="68">'325'!$D$56</definedName>
    <definedName name="OSRRefD21_9x_0" localSheetId="58">'326'!$D$78</definedName>
    <definedName name="OSRRefD21_9x_0" localSheetId="51">'330'!$D$75:$D$76</definedName>
    <definedName name="OSRRefD21_9x_0" localSheetId="56">'331'!$D$112</definedName>
    <definedName name="OSRRefD21_9x_0" localSheetId="59">'332'!$D$66:$D$70</definedName>
    <definedName name="OSRRefD21_9x_0" localSheetId="73">'405'!$D$57:$D$58</definedName>
    <definedName name="OSRRefD21_9x_0" localSheetId="75">'411'!$D$55:$D$56</definedName>
    <definedName name="OSRRefD21_9x_0" localSheetId="76">'412'!$D$57</definedName>
    <definedName name="OSRRefD21_9x_0" localSheetId="77">'413'!$D$59:$D$60</definedName>
    <definedName name="OSRRefD21_9x_0" localSheetId="78">'414'!$D$59</definedName>
    <definedName name="OSRRefD21_9x_0" localSheetId="79">'415'!$D$62</definedName>
    <definedName name="OSRRefD21_9x_0" localSheetId="80">'418'!$D$58:$D$59</definedName>
    <definedName name="OSRRefD21_9x_0" localSheetId="88">'433'!$D$62</definedName>
    <definedName name="OSRRefD21_9x_0" localSheetId="90">'444'!$D$62</definedName>
    <definedName name="OSRRefD21_9x_0" localSheetId="91">'450'!$D$58</definedName>
    <definedName name="OSRRefD21_9x_0" localSheetId="72">'491'!$D$65</definedName>
    <definedName name="OSRRefD21_9x_0" localSheetId="86">'492'!$D$62</definedName>
    <definedName name="OSRRefD21_9x_0" localSheetId="93">'501'!$D$58:$D$60</definedName>
    <definedName name="OSRRefD21_9x_0" localSheetId="39">'Div 2'!$D$57:$D$58</definedName>
    <definedName name="OSRRefD21_9x_0" localSheetId="47">'Div 3'!$D$154</definedName>
    <definedName name="OSRRefD21_9x_0" localSheetId="70">'Div 4'!$D$68</definedName>
    <definedName name="OSRRefD21_9x_0" localSheetId="92">'Div 5'!$D$58:$D$60</definedName>
    <definedName name="OSRRefD21_9x_0" localSheetId="61">'Div 6'!$D$85</definedName>
    <definedName name="OSRRefD21_9x_0" localSheetId="2">Summary!$D$182</definedName>
    <definedName name="OSRRefD21_9x_1" localSheetId="41">'201'!$E$55</definedName>
    <definedName name="OSRRefD21_9x_1" localSheetId="42">'202'!$E$56:$E$57</definedName>
    <definedName name="OSRRefD21_9x_1" localSheetId="43">'203'!$E$57</definedName>
    <definedName name="OSRRefD21_9x_1" localSheetId="48">'300'!$E$150</definedName>
    <definedName name="OSRRefD21_9x_1" localSheetId="49">'300 &amp; 317'!$E$172</definedName>
    <definedName name="OSRRefD21_9x_1" localSheetId="50">'301'!$E$56</definedName>
    <definedName name="OSRRefD21_9x_1" localSheetId="52">'307'!$E$75:$E$76</definedName>
    <definedName name="OSRRefD21_9x_1" localSheetId="53">'308'!$E$90:$E$92</definedName>
    <definedName name="OSRRefD21_9x_1" localSheetId="63">'310'!$E$62</definedName>
    <definedName name="OSRRefD21_9x_1" localSheetId="71">'310 &amp; 491'!$E$69</definedName>
    <definedName name="OSRRefD21_9x_1" localSheetId="54">'311'!$E$89:$E$91</definedName>
    <definedName name="OSRRefD21_9x_1" localSheetId="57">'315'!$E$112</definedName>
    <definedName name="OSRRefD21_9x_1" localSheetId="60">'316'!$E$66:$E$70</definedName>
    <definedName name="OSRRefD21_9x_1" localSheetId="62">'317'!$E$85</definedName>
    <definedName name="OSRRefD21_9x_1" localSheetId="66">'321'!$E$59:$E$60</definedName>
    <definedName name="OSRRefD21_9x_1" localSheetId="67">'322'!$E$61</definedName>
    <definedName name="OSRRefD21_9x_1" localSheetId="68">'325'!$E$56</definedName>
    <definedName name="OSRRefD21_9x_1" localSheetId="58">'326'!$E$78</definedName>
    <definedName name="OSRRefD21_9x_1" localSheetId="51">'330'!$E$75:$E$76</definedName>
    <definedName name="OSRRefD21_9x_1" localSheetId="56">'331'!$E$112</definedName>
    <definedName name="OSRRefD21_9x_1" localSheetId="59">'332'!$E$66:$E$70</definedName>
    <definedName name="OSRRefD21_9x_1" localSheetId="73">'405'!$E$57:$E$58</definedName>
    <definedName name="OSRRefD21_9x_1" localSheetId="75">'411'!$E$55:$E$56</definedName>
    <definedName name="OSRRefD21_9x_1" localSheetId="76">'412'!$E$57</definedName>
    <definedName name="OSRRefD21_9x_1" localSheetId="77">'413'!$E$59:$E$60</definedName>
    <definedName name="OSRRefD21_9x_1" localSheetId="78">'414'!$E$59</definedName>
    <definedName name="OSRRefD21_9x_1" localSheetId="79">'415'!$E$62</definedName>
    <definedName name="OSRRefD21_9x_1" localSheetId="80">'418'!$E$58:$E$59</definedName>
    <definedName name="OSRRefD21_9x_1" localSheetId="88">'433'!$E$62</definedName>
    <definedName name="OSRRefD21_9x_1" localSheetId="90">'444'!$E$62</definedName>
    <definedName name="OSRRefD21_9x_1" localSheetId="91">'450'!$E$58</definedName>
    <definedName name="OSRRefD21_9x_1" localSheetId="72">'491'!$E$65</definedName>
    <definedName name="OSRRefD21_9x_1" localSheetId="86">'492'!$E$62</definedName>
    <definedName name="OSRRefD21_9x_1" localSheetId="93">'501'!$E$58:$E$60</definedName>
    <definedName name="OSRRefD21_9x_1" localSheetId="39">'Div 2'!$E$57:$E$58</definedName>
    <definedName name="OSRRefD21_9x_1" localSheetId="47">'Div 3'!$E$154</definedName>
    <definedName name="OSRRefD21_9x_1" localSheetId="70">'Div 4'!$E$68</definedName>
    <definedName name="OSRRefD21_9x_1" localSheetId="92">'Div 5'!$E$58:$E$60</definedName>
    <definedName name="OSRRefD21_9x_1" localSheetId="61">'Div 6'!$E$85</definedName>
    <definedName name="OSRRefD21_9x_1" localSheetId="2">Summary!$E$182</definedName>
    <definedName name="OSRRefD21_9x_2" localSheetId="41">'201'!$F$55</definedName>
    <definedName name="OSRRefD21_9x_2" localSheetId="42">'202'!$F$56:$F$57</definedName>
    <definedName name="OSRRefD21_9x_2" localSheetId="43">'203'!$F$57</definedName>
    <definedName name="OSRRefD21_9x_2" localSheetId="48">'300'!$F$150</definedName>
    <definedName name="OSRRefD21_9x_2" localSheetId="49">'300 &amp; 317'!$F$172</definedName>
    <definedName name="OSRRefD21_9x_2" localSheetId="50">'301'!$F$56</definedName>
    <definedName name="OSRRefD21_9x_2" localSheetId="52">'307'!$F$75:$F$76</definedName>
    <definedName name="OSRRefD21_9x_2" localSheetId="53">'308'!$F$90:$F$92</definedName>
    <definedName name="OSRRefD21_9x_2" localSheetId="63">'310'!$F$62</definedName>
    <definedName name="OSRRefD21_9x_2" localSheetId="71">'310 &amp; 491'!$F$69</definedName>
    <definedName name="OSRRefD21_9x_2" localSheetId="54">'311'!$F$89:$F$91</definedName>
    <definedName name="OSRRefD21_9x_2" localSheetId="57">'315'!$F$112</definedName>
    <definedName name="OSRRefD21_9x_2" localSheetId="60">'316'!$F$66:$F$70</definedName>
    <definedName name="OSRRefD21_9x_2" localSheetId="62">'317'!$F$85</definedName>
    <definedName name="OSRRefD21_9x_2" localSheetId="66">'321'!$F$59:$F$60</definedName>
    <definedName name="OSRRefD21_9x_2" localSheetId="67">'322'!$F$61</definedName>
    <definedName name="OSRRefD21_9x_2" localSheetId="68">'325'!$F$56</definedName>
    <definedName name="OSRRefD21_9x_2" localSheetId="58">'326'!$F$78</definedName>
    <definedName name="OSRRefD21_9x_2" localSheetId="51">'330'!$F$75:$F$76</definedName>
    <definedName name="OSRRefD21_9x_2" localSheetId="56">'331'!$F$112</definedName>
    <definedName name="OSRRefD21_9x_2" localSheetId="59">'332'!$F$66:$F$70</definedName>
    <definedName name="OSRRefD21_9x_2" localSheetId="73">'405'!$F$57:$F$58</definedName>
    <definedName name="OSRRefD21_9x_2" localSheetId="75">'411'!$F$55:$F$56</definedName>
    <definedName name="OSRRefD21_9x_2" localSheetId="76">'412'!$F$57</definedName>
    <definedName name="OSRRefD21_9x_2" localSheetId="77">'413'!$F$59:$F$60</definedName>
    <definedName name="OSRRefD21_9x_2" localSheetId="78">'414'!$F$59</definedName>
    <definedName name="OSRRefD21_9x_2" localSheetId="79">'415'!$F$62</definedName>
    <definedName name="OSRRefD21_9x_2" localSheetId="80">'418'!$F$58:$F$59</definedName>
    <definedName name="OSRRefD21_9x_2" localSheetId="88">'433'!$F$62</definedName>
    <definedName name="OSRRefD21_9x_2" localSheetId="90">'444'!$F$62</definedName>
    <definedName name="OSRRefD21_9x_2" localSheetId="91">'450'!$F$58</definedName>
    <definedName name="OSRRefD21_9x_2" localSheetId="72">'491'!$F$65</definedName>
    <definedName name="OSRRefD21_9x_2" localSheetId="86">'492'!$F$62</definedName>
    <definedName name="OSRRefD21_9x_2" localSheetId="93">'501'!$F$58:$F$60</definedName>
    <definedName name="OSRRefD21_9x_2" localSheetId="39">'Div 2'!$F$57:$F$58</definedName>
    <definedName name="OSRRefD21_9x_2" localSheetId="47">'Div 3'!$F$154</definedName>
    <definedName name="OSRRefD21_9x_2" localSheetId="70">'Div 4'!$F$68</definedName>
    <definedName name="OSRRefD21_9x_2" localSheetId="92">'Div 5'!$F$58:$F$60</definedName>
    <definedName name="OSRRefD21_9x_2" localSheetId="61">'Div 6'!$F$85</definedName>
    <definedName name="OSRRefD21_9x_2" localSheetId="2">Summary!$F$182</definedName>
    <definedName name="OSRRefD21_9x_3" localSheetId="41">'201'!$G$55</definedName>
    <definedName name="OSRRefD21_9x_3" localSheetId="42">'202'!$G$56:$G$57</definedName>
    <definedName name="OSRRefD21_9x_3" localSheetId="43">'203'!$G$57</definedName>
    <definedName name="OSRRefD21_9x_3" localSheetId="48">'300'!$G$150</definedName>
    <definedName name="OSRRefD21_9x_3" localSheetId="49">'300 &amp; 317'!$G$172</definedName>
    <definedName name="OSRRefD21_9x_3" localSheetId="50">'301'!$G$56</definedName>
    <definedName name="OSRRefD21_9x_3" localSheetId="52">'307'!$G$75:$G$76</definedName>
    <definedName name="OSRRefD21_9x_3" localSheetId="53">'308'!$G$90:$G$92</definedName>
    <definedName name="OSRRefD21_9x_3" localSheetId="63">'310'!$G$62</definedName>
    <definedName name="OSRRefD21_9x_3" localSheetId="71">'310 &amp; 491'!$G$69</definedName>
    <definedName name="OSRRefD21_9x_3" localSheetId="54">'311'!$G$89:$G$91</definedName>
    <definedName name="OSRRefD21_9x_3" localSheetId="57">'315'!$G$112</definedName>
    <definedName name="OSRRefD21_9x_3" localSheetId="60">'316'!$G$66:$G$70</definedName>
    <definedName name="OSRRefD21_9x_3" localSheetId="62">'317'!$G$85</definedName>
    <definedName name="OSRRefD21_9x_3" localSheetId="66">'321'!$G$59:$G$60</definedName>
    <definedName name="OSRRefD21_9x_3" localSheetId="67">'322'!$G$61</definedName>
    <definedName name="OSRRefD21_9x_3" localSheetId="68">'325'!$G$56</definedName>
    <definedName name="OSRRefD21_9x_3" localSheetId="58">'326'!$G$78</definedName>
    <definedName name="OSRRefD21_9x_3" localSheetId="51">'330'!$G$75:$G$76</definedName>
    <definedName name="OSRRefD21_9x_3" localSheetId="56">'331'!$G$112</definedName>
    <definedName name="OSRRefD21_9x_3" localSheetId="59">'332'!$G$66:$G$70</definedName>
    <definedName name="OSRRefD21_9x_3" localSheetId="73">'405'!$G$57:$G$58</definedName>
    <definedName name="OSRRefD21_9x_3" localSheetId="75">'411'!$G$55:$G$56</definedName>
    <definedName name="OSRRefD21_9x_3" localSheetId="76">'412'!$G$57</definedName>
    <definedName name="OSRRefD21_9x_3" localSheetId="77">'413'!$G$59:$G$60</definedName>
    <definedName name="OSRRefD21_9x_3" localSheetId="78">'414'!$G$59</definedName>
    <definedName name="OSRRefD21_9x_3" localSheetId="79">'415'!$G$62</definedName>
    <definedName name="OSRRefD21_9x_3" localSheetId="80">'418'!$G$58:$G$59</definedName>
    <definedName name="OSRRefD21_9x_3" localSheetId="88">'433'!$G$62</definedName>
    <definedName name="OSRRefD21_9x_3" localSheetId="90">'444'!$G$62</definedName>
    <definedName name="OSRRefD21_9x_3" localSheetId="91">'450'!$G$58</definedName>
    <definedName name="OSRRefD21_9x_3" localSheetId="72">'491'!$G$65</definedName>
    <definedName name="OSRRefD21_9x_3" localSheetId="86">'492'!$G$62</definedName>
    <definedName name="OSRRefD21_9x_3" localSheetId="93">'501'!$G$58:$G$60</definedName>
    <definedName name="OSRRefD21_9x_3" localSheetId="39">'Div 2'!$G$57:$G$58</definedName>
    <definedName name="OSRRefD21_9x_3" localSheetId="47">'Div 3'!$G$154</definedName>
    <definedName name="OSRRefD21_9x_3" localSheetId="70">'Div 4'!$G$68</definedName>
    <definedName name="OSRRefD21_9x_3" localSheetId="92">'Div 5'!$G$58:$G$60</definedName>
    <definedName name="OSRRefD21_9x_3" localSheetId="61">'Div 6'!$G$85</definedName>
    <definedName name="OSRRefD21_9x_3" localSheetId="2">Summary!$G$182</definedName>
    <definedName name="OSRRefD23_0x" localSheetId="38">'100'!$D$19:$G$19</definedName>
    <definedName name="OSRRefD23_0x" localSheetId="40">'200'!$D$30:$G$30</definedName>
    <definedName name="OSRRefD23_0x" localSheetId="41">'201'!$D$75:$G$75</definedName>
    <definedName name="OSRRefD23_0x" localSheetId="42">'202'!$D$65:$G$65</definedName>
    <definedName name="OSRRefD23_0x" localSheetId="43">'203'!$D$69:$G$69</definedName>
    <definedName name="OSRRefD23_0x" localSheetId="44">'204'!$D$58:$G$58</definedName>
    <definedName name="OSRRefD23_0x" localSheetId="45">'205'!$D$54:$G$54</definedName>
    <definedName name="OSRRefD23_0x" localSheetId="46">'206'!$D$50:$G$50</definedName>
    <definedName name="OSRRefD23_0x" localSheetId="48">'300'!$D$205:$G$205</definedName>
    <definedName name="OSRRefD23_0x" localSheetId="49">'300 &amp; 317'!$D$227:$G$227</definedName>
    <definedName name="OSRRefD23_0x" localSheetId="50">'301'!$D$91:$G$91</definedName>
    <definedName name="OSRRefD23_0x" localSheetId="52">'307'!$D$88:$G$88</definedName>
    <definedName name="OSRRefD23_0x" localSheetId="53">'308'!$D$108:$G$108</definedName>
    <definedName name="OSRRefD23_0x" localSheetId="64">'309'!$D$59:$G$59</definedName>
    <definedName name="OSRRefD23_0x" localSheetId="63">'310'!$D$93:$G$93</definedName>
    <definedName name="OSRRefD23_0x" localSheetId="71">'310 &amp; 491'!$D$116:$G$116</definedName>
    <definedName name="OSRRefD23_0x" localSheetId="54">'311'!$D$107:$G$107</definedName>
    <definedName name="OSRRefD23_0x" localSheetId="65">'313'!$D$53:$G$53</definedName>
    <definedName name="OSRRefD23_0x" localSheetId="57">'315'!$D$140:$G$140</definedName>
    <definedName name="OSRRefD23_0x" localSheetId="60">'316'!$D$76:$G$76</definedName>
    <definedName name="OSRRefD23_0x" localSheetId="62">'317'!$D$95:$G$95</definedName>
    <definedName name="OSRRefD23_0x" localSheetId="66">'321'!$D$69:$G$69</definedName>
    <definedName name="OSRRefD23_0x" localSheetId="67">'322'!$D$65:$G$65</definedName>
    <definedName name="OSRRefD23_0x" localSheetId="55">'324'!$D$46:$G$46</definedName>
    <definedName name="OSRRefD23_0x" localSheetId="68">'325'!$D$73:$G$73</definedName>
    <definedName name="OSRRefD23_0x" localSheetId="58">'326'!$D$111:$G$111</definedName>
    <definedName name="OSRRefD23_0x" localSheetId="69">'327'!$D$25:$G$25</definedName>
    <definedName name="OSRRefD23_0x" localSheetId="51">'330'!$D$88:$G$88</definedName>
    <definedName name="OSRRefD23_0x" localSheetId="56">'331'!$D$153:$G$153</definedName>
    <definedName name="OSRRefD23_0x" localSheetId="59">'332'!$D$76:$G$76</definedName>
    <definedName name="OSRRefD23_0x" localSheetId="73">'405'!$D$84:$G$84</definedName>
    <definedName name="OSRRefD23_0x" localSheetId="74">'406'!$D$29:$G$29</definedName>
    <definedName name="OSRRefD23_0x" localSheetId="75">'411'!$D$78:$G$78</definedName>
    <definedName name="OSRRefD23_0x" localSheetId="76">'412'!$D$75:$G$75</definedName>
    <definedName name="OSRRefD23_0x" localSheetId="77">'413'!$D$73:$G$73</definedName>
    <definedName name="OSRRefD23_0x" localSheetId="78">'414'!$D$73:$G$73</definedName>
    <definedName name="OSRRefD23_0x" localSheetId="79">'415'!$D$88:$G$88</definedName>
    <definedName name="OSRRefD23_0x" localSheetId="80">'418'!$D$79:$G$79</definedName>
    <definedName name="OSRRefD23_0x" localSheetId="81">'420'!$D$20:$G$20</definedName>
    <definedName name="OSRRefD23_0x" localSheetId="82">'423'!$D$50:$G$50</definedName>
    <definedName name="OSRRefD23_0x" localSheetId="83">'424'!$D$27:$G$27</definedName>
    <definedName name="OSRRefD23_0x" localSheetId="84">'425'!$D$33:$G$33</definedName>
    <definedName name="OSRRefD23_0x" localSheetId="87">'430'!$D$55:$G$55</definedName>
    <definedName name="OSRRefD23_0x" localSheetId="88">'433'!$D$88:$G$88</definedName>
    <definedName name="OSRRefD23_0x" localSheetId="89">'435'!$D$21:$G$21</definedName>
    <definedName name="OSRRefD23_0x" localSheetId="90">'444'!$D$88:$G$88</definedName>
    <definedName name="OSRRefD23_0x" localSheetId="91">'450'!$D$82:$G$82</definedName>
    <definedName name="OSRRefD23_0x" localSheetId="85">'455'!$D$19:$G$19</definedName>
    <definedName name="OSRRefD23_0x" localSheetId="72">'491'!$D$112:$G$112</definedName>
    <definedName name="OSRRefD23_0x" localSheetId="86">'492'!$D$95:$G$95</definedName>
    <definedName name="OSRRefD23_0x" localSheetId="93">'501'!$D$71:$G$71</definedName>
    <definedName name="OSRRefD23_0x" localSheetId="5">'Div 1'!$D$19:$G$19</definedName>
    <definedName name="OSRRefD23_0x" localSheetId="39">'Div 2'!$D$93:$G$93</definedName>
    <definedName name="OSRRefD23_0x" localSheetId="47">'Div 3'!$D$211:$G$211</definedName>
    <definedName name="OSRRefD23_0x" localSheetId="70">'Div 4'!$D$119:$G$119</definedName>
    <definedName name="OSRRefD23_0x" localSheetId="92">'Div 5'!$D$71:$G$71</definedName>
    <definedName name="OSRRefD23_0x" localSheetId="61">'Div 6'!$D$95:$G$95</definedName>
    <definedName name="OSRRefD23_0x" localSheetId="2">Summary!$D$244:$G$244</definedName>
    <definedName name="OSRRefD28_0x" localSheetId="38">'100'!$D$24:$G$24</definedName>
    <definedName name="OSRRefD28_0x" localSheetId="40">'200'!$D$35:$G$35</definedName>
    <definedName name="OSRRefD28_0x" localSheetId="41">'201'!$D$80:$G$80</definedName>
    <definedName name="OSRRefD28_0x" localSheetId="42">'202'!$D$70:$G$70</definedName>
    <definedName name="OSRRefD28_0x" localSheetId="43">'203'!$D$74:$G$74</definedName>
    <definedName name="OSRRefD28_0x" localSheetId="44">'204'!$D$63:$G$63</definedName>
    <definedName name="OSRRefD28_0x" localSheetId="45">'205'!$D$59:$G$59</definedName>
    <definedName name="OSRRefD28_0x" localSheetId="46">'206'!$D$55:$G$55</definedName>
    <definedName name="OSRRefD28_0x" localSheetId="48">'300'!$D$210:$G$210</definedName>
    <definedName name="OSRRefD28_0x" localSheetId="49">'300 &amp; 317'!$D$232:$G$232</definedName>
    <definedName name="OSRRefD28_0x" localSheetId="50">'301'!$D$96:$G$96</definedName>
    <definedName name="OSRRefD28_0x" localSheetId="52">'307'!$D$93:$G$93</definedName>
    <definedName name="OSRRefD28_0x" localSheetId="53">'308'!$D$113:$G$113</definedName>
    <definedName name="OSRRefD28_0x" localSheetId="64">'309'!$D$64:$G$64</definedName>
    <definedName name="OSRRefD28_0x" localSheetId="63">'310'!$D$98:$G$98</definedName>
    <definedName name="OSRRefD28_0x" localSheetId="71">'310 &amp; 491'!$D$121:$G$121</definedName>
    <definedName name="OSRRefD28_0x" localSheetId="54">'311'!$D$112:$G$112</definedName>
    <definedName name="OSRRefD28_0x" localSheetId="65">'313'!$D$58:$G$58</definedName>
    <definedName name="OSRRefD28_0x" localSheetId="57">'315'!$D$145:$G$145</definedName>
    <definedName name="OSRRefD28_0x" localSheetId="60">'316'!$D$81:$G$81</definedName>
    <definedName name="OSRRefD28_0x" localSheetId="62">'317'!$D$100:$G$100</definedName>
    <definedName name="OSRRefD28_0x" localSheetId="66">'321'!$D$74:$G$74</definedName>
    <definedName name="OSRRefD28_0x" localSheetId="67">'322'!$D$70:$G$70</definedName>
    <definedName name="OSRRefD28_0x" localSheetId="55">'324'!$D$51:$G$51</definedName>
    <definedName name="OSRRefD28_0x" localSheetId="68">'325'!$D$78:$G$78</definedName>
    <definedName name="OSRRefD28_0x" localSheetId="58">'326'!$D$116:$G$116</definedName>
    <definedName name="OSRRefD28_0x" localSheetId="69">'327'!$D$30:$G$30</definedName>
    <definedName name="OSRRefD28_0x" localSheetId="51">'330'!$D$93:$G$93</definedName>
    <definedName name="OSRRefD28_0x" localSheetId="56">'331'!$D$158:$G$158</definedName>
    <definedName name="OSRRefD28_0x" localSheetId="59">'332'!$D$81:$G$81</definedName>
    <definedName name="OSRRefD28_0x" localSheetId="73">'405'!$D$89:$G$89</definedName>
    <definedName name="OSRRefD28_0x" localSheetId="74">'406'!$D$34:$G$34</definedName>
    <definedName name="OSRRefD28_0x" localSheetId="75">'411'!$D$83:$G$83</definedName>
    <definedName name="OSRRefD28_0x" localSheetId="76">'412'!$D$80:$G$80</definedName>
    <definedName name="OSRRefD28_0x" localSheetId="77">'413'!$D$78:$G$78</definedName>
    <definedName name="OSRRefD28_0x" localSheetId="78">'414'!$D$78:$G$78</definedName>
    <definedName name="OSRRefD28_0x" localSheetId="79">'415'!$D$93:$G$93</definedName>
    <definedName name="OSRRefD28_0x" localSheetId="80">'418'!$D$84:$G$84</definedName>
    <definedName name="OSRRefD28_0x" localSheetId="81">'420'!$D$25:$G$25</definedName>
    <definedName name="OSRRefD28_0x" localSheetId="82">'423'!$D$55:$G$55</definedName>
    <definedName name="OSRRefD28_0x" localSheetId="83">'424'!$D$32:$G$32</definedName>
    <definedName name="OSRRefD28_0x" localSheetId="84">'425'!$D$38:$G$38</definedName>
    <definedName name="OSRRefD28_0x" localSheetId="87">'430'!$D$60:$G$60</definedName>
    <definedName name="OSRRefD28_0x" localSheetId="88">'433'!$D$93:$G$93</definedName>
    <definedName name="OSRRefD28_0x" localSheetId="89">'435'!$D$26:$G$26</definedName>
    <definedName name="OSRRefD28_0x" localSheetId="90">'444'!$D$93:$G$93</definedName>
    <definedName name="OSRRefD28_0x" localSheetId="91">'450'!$D$87:$G$87</definedName>
    <definedName name="OSRRefD28_0x" localSheetId="85">'455'!$D$24:$G$24</definedName>
    <definedName name="OSRRefD28_0x" localSheetId="72">'491'!$D$117:$G$117</definedName>
    <definedName name="OSRRefD28_0x" localSheetId="86">'492'!$D$100:$G$100</definedName>
    <definedName name="OSRRefD28_0x" localSheetId="93">'501'!$D$76:$G$76</definedName>
    <definedName name="OSRRefD28_0x" localSheetId="5">'Div 1'!$D$24:$G$24</definedName>
    <definedName name="OSRRefD28_0x" localSheetId="39">'Div 2'!$D$98:$G$98</definedName>
    <definedName name="OSRRefD28_0x" localSheetId="47">'Div 3'!$D$216:$G$216</definedName>
    <definedName name="OSRRefD28_0x" localSheetId="70">'Div 4'!$D$124:$G$124</definedName>
    <definedName name="OSRRefD28_0x" localSheetId="92">'Div 5'!$D$76:$G$76</definedName>
    <definedName name="OSRRefD28_0x" localSheetId="61">'Div 6'!$D$100:$G$100</definedName>
    <definedName name="OSRRefD28_0x" localSheetId="2">Summary!$D$249:$G$249</definedName>
    <definedName name="OSRRefD33_0x" localSheetId="38">'100'!$D$29:$G$29</definedName>
    <definedName name="OSRRefD33_0x" localSheetId="5">'Div 1'!$D$29:$G$29</definedName>
    <definedName name="OSRRefD33_0x" localSheetId="2">Summary!$D$254:$G$254</definedName>
    <definedName name="OSRRefD34_0x" localSheetId="38">'100'!$D$30:$G$30</definedName>
    <definedName name="OSRRefD34_0x" localSheetId="5">'Div 1'!$D$30:$G$30</definedName>
    <definedName name="OSRRefD34_0x" localSheetId="2">Summary!$D$255:$G$255</definedName>
    <definedName name="OSRRefE11_0x" localSheetId="48">'300'!$H$11:$O$11</definedName>
    <definedName name="OSRRefE11_0x" localSheetId="49">'300 &amp; 317'!$H$11:$O$11</definedName>
    <definedName name="OSRRefE11_0x" localSheetId="52">'307'!$H$11:$O$11</definedName>
    <definedName name="OSRRefE11_0x" localSheetId="53">'308'!$H$11:$O$11</definedName>
    <definedName name="OSRRefE11_0x" localSheetId="64">'309'!$H$11:$O$11</definedName>
    <definedName name="OSRRefE11_0x" localSheetId="63">'310'!$H$11:$O$11</definedName>
    <definedName name="OSRRefE11_0x" localSheetId="71">'310 &amp; 491'!$H$11:$O$11</definedName>
    <definedName name="OSRRefE11_0x" localSheetId="54">'311'!$H$11:$O$11</definedName>
    <definedName name="OSRRefE11_0x" localSheetId="57">'315'!$H$11:$O$11</definedName>
    <definedName name="OSRRefE11_0x" localSheetId="60">'316'!$H$11:$O$11</definedName>
    <definedName name="OSRRefE11_0x" localSheetId="62">'317'!$H$11:$O$11</definedName>
    <definedName name="OSRRefE11_0x" localSheetId="66">'321'!$H$11:$O$11</definedName>
    <definedName name="OSRRefE11_0x" localSheetId="67">'322'!$H$11:$O$11</definedName>
    <definedName name="OSRRefE11_0x" localSheetId="55">'324'!$H$11:$O$11</definedName>
    <definedName name="OSRRefE11_0x" localSheetId="58">'326'!$H$11:$O$11</definedName>
    <definedName name="OSRRefE11_0x" localSheetId="69">'327'!$H$11:$O$11</definedName>
    <definedName name="OSRRefE11_0x" localSheetId="51">'330'!$H$11:$O$11</definedName>
    <definedName name="OSRRefE11_0x" localSheetId="56">'331'!$H$11:$O$11</definedName>
    <definedName name="OSRRefE11_0x" localSheetId="59">'332'!$H$11:$O$11</definedName>
    <definedName name="OSRRefE11_0x" localSheetId="73">'405'!$H$11:$O$11</definedName>
    <definedName name="OSRRefE11_0x" localSheetId="76">'412'!$H$11:$O$11</definedName>
    <definedName name="OSRRefE11_0x" localSheetId="77">'413'!$H$11:$O$11</definedName>
    <definedName name="OSRRefE11_0x" localSheetId="78">'414'!$H$11:$O$11</definedName>
    <definedName name="OSRRefE11_0x" localSheetId="79">'415'!$H$11:$O$11</definedName>
    <definedName name="OSRRefE11_0x" localSheetId="80">'418'!$H$11:$O$11</definedName>
    <definedName name="OSRRefE11_0x" localSheetId="81">'420'!$H$11:$O$11</definedName>
    <definedName name="OSRRefE11_0x" localSheetId="88">'433'!$H$11:$O$11</definedName>
    <definedName name="OSRRefE11_0x" localSheetId="90">'444'!$H$11:$O$11</definedName>
    <definedName name="OSRRefE11_0x" localSheetId="91">'450'!$H$11:$O$11</definedName>
    <definedName name="OSRRefE11_0x" localSheetId="72">'491'!$H$11:$O$11</definedName>
    <definedName name="OSRRefE11_0x" localSheetId="86">'492'!$H$11:$O$11</definedName>
    <definedName name="OSRRefE11_0x" localSheetId="93">'501'!$H$11:$O$11</definedName>
    <definedName name="OSRRefE11_0x" localSheetId="47">'Div 3'!$H$11:$O$11</definedName>
    <definedName name="OSRRefE11_0x" localSheetId="70">'Div 4'!$H$11:$O$11</definedName>
    <definedName name="OSRRefE11_0x" localSheetId="92">'Div 5'!$H$11:$O$11</definedName>
    <definedName name="OSRRefE11_0x" localSheetId="61">'Div 6'!$H$11:$O$11</definedName>
    <definedName name="OSRRefE11_0x" localSheetId="2">Summary!$H$11:$O$11</definedName>
    <definedName name="OSRRefE11_10x" localSheetId="48">'300'!$H$21:$O$21</definedName>
    <definedName name="OSRRefE11_10x" localSheetId="49">'300 &amp; 317'!$H$21:$O$21</definedName>
    <definedName name="OSRRefE11_10x" localSheetId="52">'307'!$H$21:$O$21</definedName>
    <definedName name="OSRRefE11_10x" localSheetId="53">'308'!$H$21:$O$21</definedName>
    <definedName name="OSRRefE11_10x" localSheetId="54">'311'!$H$21:$O$21</definedName>
    <definedName name="OSRRefE11_10x" localSheetId="57">'315'!$H$21:$O$21</definedName>
    <definedName name="OSRRefE11_10x" localSheetId="62">'317'!$H$21:$O$21</definedName>
    <definedName name="OSRRefE11_10x" localSheetId="58">'326'!$H$21:$O$21</definedName>
    <definedName name="OSRRefE11_10x" localSheetId="51">'330'!$H$21:$O$21</definedName>
    <definedName name="OSRRefE11_10x" localSheetId="56">'331'!$H$21:$O$21</definedName>
    <definedName name="OSRRefE11_10x" localSheetId="47">'Div 3'!$H$21:$O$21</definedName>
    <definedName name="OSRRefE11_10x" localSheetId="61">'Div 6'!$H$21:$O$21</definedName>
    <definedName name="OSRRefE11_10x" localSheetId="2">Summary!$H$21:$O$21</definedName>
    <definedName name="OSRRefE11_11x" localSheetId="48">'300'!$H$22:$O$22</definedName>
    <definedName name="OSRRefE11_11x" localSheetId="49">'300 &amp; 317'!$H$22:$O$22</definedName>
    <definedName name="OSRRefE11_11x" localSheetId="53">'308'!$H$22:$O$22</definedName>
    <definedName name="OSRRefE11_11x" localSheetId="54">'311'!$H$22:$O$22</definedName>
    <definedName name="OSRRefE11_11x" localSheetId="57">'315'!$H$22:$O$22</definedName>
    <definedName name="OSRRefE11_11x" localSheetId="62">'317'!$H$22:$O$22</definedName>
    <definedName name="OSRRefE11_11x" localSheetId="58">'326'!$H$22:$O$22</definedName>
    <definedName name="OSRRefE11_11x" localSheetId="56">'331'!$H$22:$O$22</definedName>
    <definedName name="OSRRefE11_11x" localSheetId="47">'Div 3'!$H$22:$O$22</definedName>
    <definedName name="OSRRefE11_11x" localSheetId="61">'Div 6'!$H$22:$O$22</definedName>
    <definedName name="OSRRefE11_11x" localSheetId="2">Summary!$H$22:$O$22</definedName>
    <definedName name="OSRRefE11_12x" localSheetId="48">'300'!$H$23:$O$23</definedName>
    <definedName name="OSRRefE11_12x" localSheetId="49">'300 &amp; 317'!$H$23:$O$23</definedName>
    <definedName name="OSRRefE11_12x" localSheetId="53">'308'!$H$23:$O$23</definedName>
    <definedName name="OSRRefE11_12x" localSheetId="54">'311'!$H$23:$O$23</definedName>
    <definedName name="OSRRefE11_12x" localSheetId="57">'315'!$H$23:$O$23</definedName>
    <definedName name="OSRRefE11_12x" localSheetId="62">'317'!$H$23:$O$23</definedName>
    <definedName name="OSRRefE11_12x" localSheetId="58">'326'!$H$23:$O$23</definedName>
    <definedName name="OSRRefE11_12x" localSheetId="56">'331'!$H$23:$O$23</definedName>
    <definedName name="OSRRefE11_12x" localSheetId="47">'Div 3'!$H$23:$O$23</definedName>
    <definedName name="OSRRefE11_12x" localSheetId="61">'Div 6'!$H$23:$O$23</definedName>
    <definedName name="OSRRefE11_12x" localSheetId="2">Summary!$H$23:$O$23</definedName>
    <definedName name="OSRRefE11_13x" localSheetId="48">'300'!$H$24:$O$24</definedName>
    <definedName name="OSRRefE11_13x" localSheetId="49">'300 &amp; 317'!$H$24:$O$24</definedName>
    <definedName name="OSRRefE11_13x" localSheetId="53">'308'!$H$24:$O$24</definedName>
    <definedName name="OSRRefE11_13x" localSheetId="54">'311'!$H$24:$O$24</definedName>
    <definedName name="OSRRefE11_13x" localSheetId="57">'315'!$H$24:$O$24</definedName>
    <definedName name="OSRRefE11_13x" localSheetId="62">'317'!$H$24:$O$24</definedName>
    <definedName name="OSRRefE11_13x" localSheetId="58">'326'!$H$24:$O$24</definedName>
    <definedName name="OSRRefE11_13x" localSheetId="56">'331'!$H$24:$O$24</definedName>
    <definedName name="OSRRefE11_13x" localSheetId="47">'Div 3'!$H$24:$O$24</definedName>
    <definedName name="OSRRefE11_13x" localSheetId="61">'Div 6'!$H$24:$O$24</definedName>
    <definedName name="OSRRefE11_13x" localSheetId="2">Summary!$H$24:$O$24</definedName>
    <definedName name="OSRRefE11_14x" localSheetId="48">'300'!$H$25:$O$25</definedName>
    <definedName name="OSRRefE11_14x" localSheetId="49">'300 &amp; 317'!$H$25:$O$25</definedName>
    <definedName name="OSRRefE11_14x" localSheetId="53">'308'!$H$25:$O$25</definedName>
    <definedName name="OSRRefE11_14x" localSheetId="54">'311'!$H$25:$O$25</definedName>
    <definedName name="OSRRefE11_14x" localSheetId="57">'315'!$H$25:$O$25</definedName>
    <definedName name="OSRRefE11_14x" localSheetId="62">'317'!$H$25:$O$25</definedName>
    <definedName name="OSRRefE11_14x" localSheetId="58">'326'!$H$25:$O$25</definedName>
    <definedName name="OSRRefE11_14x" localSheetId="56">'331'!$H$25:$O$25</definedName>
    <definedName name="OSRRefE11_14x" localSheetId="47">'Div 3'!$H$25:$O$25</definedName>
    <definedName name="OSRRefE11_14x" localSheetId="61">'Div 6'!$H$25:$O$25</definedName>
    <definedName name="OSRRefE11_14x" localSheetId="2">Summary!$H$25:$O$25</definedName>
    <definedName name="OSRRefE11_15x" localSheetId="48">'300'!$H$26:$O$26</definedName>
    <definedName name="OSRRefE11_15x" localSheetId="49">'300 &amp; 317'!$H$26:$O$26</definedName>
    <definedName name="OSRRefE11_15x" localSheetId="53">'308'!$H$26:$O$26</definedName>
    <definedName name="OSRRefE11_15x" localSheetId="54">'311'!$H$26:$O$26</definedName>
    <definedName name="OSRRefE11_15x" localSheetId="57">'315'!$H$26:$O$26</definedName>
    <definedName name="OSRRefE11_15x" localSheetId="62">'317'!$H$26:$O$26</definedName>
    <definedName name="OSRRefE11_15x" localSheetId="58">'326'!$H$26:$O$26</definedName>
    <definedName name="OSRRefE11_15x" localSheetId="56">'331'!$H$26:$O$26</definedName>
    <definedName name="OSRRefE11_15x" localSheetId="47">'Div 3'!$H$26:$O$26</definedName>
    <definedName name="OSRRefE11_15x" localSheetId="61">'Div 6'!$H$26:$O$26</definedName>
    <definedName name="OSRRefE11_15x" localSheetId="2">Summary!$H$26:$O$26</definedName>
    <definedName name="OSRRefE11_16x" localSheetId="48">'300'!$H$27:$O$27</definedName>
    <definedName name="OSRRefE11_16x" localSheetId="49">'300 &amp; 317'!$H$27:$O$27</definedName>
    <definedName name="OSRRefE11_16x" localSheetId="53">'308'!$H$27:$O$27</definedName>
    <definedName name="OSRRefE11_16x" localSheetId="54">'311'!$H$27:$O$27</definedName>
    <definedName name="OSRRefE11_16x" localSheetId="57">'315'!$H$27:$O$27</definedName>
    <definedName name="OSRRefE11_16x" localSheetId="62">'317'!$H$27:$O$27</definedName>
    <definedName name="OSRRefE11_16x" localSheetId="58">'326'!$H$27:$O$27</definedName>
    <definedName name="OSRRefE11_16x" localSheetId="56">'331'!$H$27:$O$27</definedName>
    <definedName name="OSRRefE11_16x" localSheetId="47">'Div 3'!$H$27:$O$27</definedName>
    <definedName name="OSRRefE11_16x" localSheetId="61">'Div 6'!$H$27:$O$27</definedName>
    <definedName name="OSRRefE11_16x" localSheetId="2">Summary!$H$27:$O$27</definedName>
    <definedName name="OSRRefE11_17x" localSheetId="48">'300'!$H$28:$O$28</definedName>
    <definedName name="OSRRefE11_17x" localSheetId="49">'300 &amp; 317'!$H$28:$O$28</definedName>
    <definedName name="OSRRefE11_17x" localSheetId="53">'308'!$H$28:$O$28</definedName>
    <definedName name="OSRRefE11_17x" localSheetId="54">'311'!$H$28:$O$28</definedName>
    <definedName name="OSRRefE11_17x" localSheetId="57">'315'!$H$28:$O$28</definedName>
    <definedName name="OSRRefE11_17x" localSheetId="62">'317'!$H$28:$O$28</definedName>
    <definedName name="OSRRefE11_17x" localSheetId="58">'326'!$H$28:$O$28</definedName>
    <definedName name="OSRRefE11_17x" localSheetId="56">'331'!$H$28:$O$28</definedName>
    <definedName name="OSRRefE11_17x" localSheetId="47">'Div 3'!$H$28:$O$28</definedName>
    <definedName name="OSRRefE11_17x" localSheetId="61">'Div 6'!$H$28:$O$28</definedName>
    <definedName name="OSRRefE11_17x" localSheetId="2">Summary!$H$28:$O$28</definedName>
    <definedName name="OSRRefE11_18x" localSheetId="48">'300'!$H$29:$O$29</definedName>
    <definedName name="OSRRefE11_18x" localSheetId="49">'300 &amp; 317'!$H$29:$O$29</definedName>
    <definedName name="OSRRefE11_18x" localSheetId="53">'308'!$H$29:$O$29</definedName>
    <definedName name="OSRRefE11_18x" localSheetId="54">'311'!$H$29:$O$29</definedName>
    <definedName name="OSRRefE11_18x" localSheetId="57">'315'!$H$29:$O$29</definedName>
    <definedName name="OSRRefE11_18x" localSheetId="58">'326'!$H$29:$O$29</definedName>
    <definedName name="OSRRefE11_18x" localSheetId="56">'331'!$H$29:$O$29</definedName>
    <definedName name="OSRRefE11_18x" localSheetId="47">'Div 3'!$H$29:$O$29</definedName>
    <definedName name="OSRRefE11_18x" localSheetId="2">Summary!$H$29:$O$29</definedName>
    <definedName name="OSRRefE11_19x" localSheetId="48">'300'!$H$30:$O$30</definedName>
    <definedName name="OSRRefE11_19x" localSheetId="49">'300 &amp; 317'!$H$30:$O$30</definedName>
    <definedName name="OSRRefE11_19x" localSheetId="53">'308'!$H$30:$O$30</definedName>
    <definedName name="OSRRefE11_19x" localSheetId="54">'311'!$H$30:$O$30</definedName>
    <definedName name="OSRRefE11_19x" localSheetId="57">'315'!$H$30:$O$30</definedName>
    <definedName name="OSRRefE11_19x" localSheetId="56">'331'!$H$30:$O$30</definedName>
    <definedName name="OSRRefE11_19x" localSheetId="47">'Div 3'!$H$30:$O$30</definedName>
    <definedName name="OSRRefE11_19x" localSheetId="2">Summary!$H$30:$O$30</definedName>
    <definedName name="OSRRefE11_1x" localSheetId="48">'300'!$H$12:$O$12</definedName>
    <definedName name="OSRRefE11_1x" localSheetId="49">'300 &amp; 317'!$H$12:$O$12</definedName>
    <definedName name="OSRRefE11_1x" localSheetId="52">'307'!$H$12:$O$12</definedName>
    <definedName name="OSRRefE11_1x" localSheetId="53">'308'!$H$12:$O$12</definedName>
    <definedName name="OSRRefE11_1x" localSheetId="63">'310'!$H$12:$O$12</definedName>
    <definedName name="OSRRefE11_1x" localSheetId="71">'310 &amp; 491'!$H$12:$O$12</definedName>
    <definedName name="OSRRefE11_1x" localSheetId="54">'311'!$H$12:$O$12</definedName>
    <definedName name="OSRRefE11_1x" localSheetId="57">'315'!$H$12:$O$12</definedName>
    <definedName name="OSRRefE11_1x" localSheetId="60">'316'!$H$12:$O$12</definedName>
    <definedName name="OSRRefE11_1x" localSheetId="62">'317'!$H$12:$O$12</definedName>
    <definedName name="OSRRefE11_1x" localSheetId="66">'321'!$H$12:$O$12</definedName>
    <definedName name="OSRRefE11_1x" localSheetId="55">'324'!$H$12:$O$12</definedName>
    <definedName name="OSRRefE11_1x" localSheetId="58">'326'!$H$12:$O$12</definedName>
    <definedName name="OSRRefE11_1x" localSheetId="69">'327'!$H$12:$O$12</definedName>
    <definedName name="OSRRefE11_1x" localSheetId="51">'330'!$H$12:$O$12</definedName>
    <definedName name="OSRRefE11_1x" localSheetId="56">'331'!$H$12:$O$12</definedName>
    <definedName name="OSRRefE11_1x" localSheetId="59">'332'!$H$12:$O$12</definedName>
    <definedName name="OSRRefE11_1x" localSheetId="73">'405'!$H$12:$O$12</definedName>
    <definedName name="OSRRefE11_1x" localSheetId="77">'413'!$H$12:$O$12</definedName>
    <definedName name="OSRRefE11_1x" localSheetId="78">'414'!$H$12:$O$12</definedName>
    <definedName name="OSRRefE11_1x" localSheetId="79">'415'!$H$12:$O$12</definedName>
    <definedName name="OSRRefE11_1x" localSheetId="80">'418'!$H$12:$O$12</definedName>
    <definedName name="OSRRefE11_1x" localSheetId="88">'433'!$H$12:$O$12</definedName>
    <definedName name="OSRRefE11_1x" localSheetId="90">'444'!$H$12:$O$12</definedName>
    <definedName name="OSRRefE11_1x" localSheetId="91">'450'!$H$12:$O$12</definedName>
    <definedName name="OSRRefE11_1x" localSheetId="72">'491'!$H$12:$O$12</definedName>
    <definedName name="OSRRefE11_1x" localSheetId="86">'492'!$H$12:$O$12</definedName>
    <definedName name="OSRRefE11_1x" localSheetId="93">'501'!$H$12:$O$12</definedName>
    <definedName name="OSRRefE11_1x" localSheetId="47">'Div 3'!$H$12:$O$12</definedName>
    <definedName name="OSRRefE11_1x" localSheetId="70">'Div 4'!$H$12:$O$12</definedName>
    <definedName name="OSRRefE11_1x" localSheetId="92">'Div 5'!$H$12:$O$12</definedName>
    <definedName name="OSRRefE11_1x" localSheetId="61">'Div 6'!$H$12:$O$12</definedName>
    <definedName name="OSRRefE11_1x" localSheetId="2">Summary!$H$12:$O$12</definedName>
    <definedName name="OSRRefE11_20x" localSheetId="48">'300'!$H$31:$O$31</definedName>
    <definedName name="OSRRefE11_20x" localSheetId="49">'300 &amp; 317'!$H$31:$O$31</definedName>
    <definedName name="OSRRefE11_20x" localSheetId="53">'308'!$H$31:$O$31</definedName>
    <definedName name="OSRRefE11_20x" localSheetId="57">'315'!$H$31:$O$31</definedName>
    <definedName name="OSRRefE11_20x" localSheetId="56">'331'!$H$31:$O$31</definedName>
    <definedName name="OSRRefE11_20x" localSheetId="47">'Div 3'!$H$31:$O$31</definedName>
    <definedName name="OSRRefE11_20x" localSheetId="2">Summary!$H$31:$O$31</definedName>
    <definedName name="OSRRefE11_21x" localSheetId="48">'300'!$H$32:$O$32</definedName>
    <definedName name="OSRRefE11_21x" localSheetId="49">'300 &amp; 317'!$H$32:$O$32</definedName>
    <definedName name="OSRRefE11_21x" localSheetId="57">'315'!$H$32:$O$32</definedName>
    <definedName name="OSRRefE11_21x" localSheetId="56">'331'!$H$32:$O$32</definedName>
    <definedName name="OSRRefE11_21x" localSheetId="47">'Div 3'!$H$32:$O$32</definedName>
    <definedName name="OSRRefE11_21x" localSheetId="2">Summary!$H$32:$O$32</definedName>
    <definedName name="OSRRefE11_22x" localSheetId="48">'300'!$H$33:$O$33</definedName>
    <definedName name="OSRRefE11_22x" localSheetId="49">'300 &amp; 317'!$H$33:$O$33</definedName>
    <definedName name="OSRRefE11_22x" localSheetId="57">'315'!$H$33:$O$33</definedName>
    <definedName name="OSRRefE11_22x" localSheetId="56">'331'!$H$33:$O$33</definedName>
    <definedName name="OSRRefE11_22x" localSheetId="47">'Div 3'!$H$33:$O$33</definedName>
    <definedName name="OSRRefE11_22x" localSheetId="2">Summary!$H$33:$O$33</definedName>
    <definedName name="OSRRefE11_23x" localSheetId="48">'300'!$H$34:$O$34</definedName>
    <definedName name="OSRRefE11_23x" localSheetId="49">'300 &amp; 317'!$H$34:$O$34</definedName>
    <definedName name="OSRRefE11_23x" localSheetId="57">'315'!$H$34:$O$34</definedName>
    <definedName name="OSRRefE11_23x" localSheetId="56">'331'!$H$34:$O$34</definedName>
    <definedName name="OSRRefE11_23x" localSheetId="47">'Div 3'!$H$34:$O$34</definedName>
    <definedName name="OSRRefE11_23x" localSheetId="2">Summary!$H$34:$O$34</definedName>
    <definedName name="OSRRefE11_24x" localSheetId="48">'300'!$H$35:$O$35</definedName>
    <definedName name="OSRRefE11_24x" localSheetId="49">'300 &amp; 317'!$H$35:$O$35</definedName>
    <definedName name="OSRRefE11_24x" localSheetId="57">'315'!$H$35:$O$35</definedName>
    <definedName name="OSRRefE11_24x" localSheetId="56">'331'!$H$35:$O$35</definedName>
    <definedName name="OSRRefE11_24x" localSheetId="47">'Div 3'!$H$35:$O$35</definedName>
    <definedName name="OSRRefE11_24x" localSheetId="2">Summary!$H$35:$O$35</definedName>
    <definedName name="OSRRefE11_25x" localSheetId="48">'300'!$H$36:$O$36</definedName>
    <definedName name="OSRRefE11_25x" localSheetId="49">'300 &amp; 317'!$H$36:$O$36</definedName>
    <definedName name="OSRRefE11_25x" localSheetId="57">'315'!$H$36:$O$36</definedName>
    <definedName name="OSRRefE11_25x" localSheetId="56">'331'!$H$36:$O$36</definedName>
    <definedName name="OSRRefE11_25x" localSheetId="47">'Div 3'!$H$36:$O$36</definedName>
    <definedName name="OSRRefE11_25x" localSheetId="2">Summary!$H$36:$O$36</definedName>
    <definedName name="OSRRefE11_26x" localSheetId="48">'300'!$H$37:$O$37</definedName>
    <definedName name="OSRRefE11_26x" localSheetId="49">'300 &amp; 317'!$H$37:$O$37</definedName>
    <definedName name="OSRRefE11_26x" localSheetId="57">'315'!$H$37:$O$37</definedName>
    <definedName name="OSRRefE11_26x" localSheetId="56">'331'!$H$37:$O$37</definedName>
    <definedName name="OSRRefE11_26x" localSheetId="47">'Div 3'!$H$37:$O$37</definedName>
    <definedName name="OSRRefE11_26x" localSheetId="2">Summary!$H$37:$O$37</definedName>
    <definedName name="OSRRefE11_27x" localSheetId="48">'300'!$H$38:$O$38</definedName>
    <definedName name="OSRRefE11_27x" localSheetId="49">'300 &amp; 317'!$H$38:$O$38</definedName>
    <definedName name="OSRRefE11_27x" localSheetId="57">'315'!$H$38:$O$38</definedName>
    <definedName name="OSRRefE11_27x" localSheetId="56">'331'!$H$38:$O$38</definedName>
    <definedName name="OSRRefE11_27x" localSheetId="47">'Div 3'!$H$38:$O$38</definedName>
    <definedName name="OSRRefE11_27x" localSheetId="2">Summary!$H$38:$O$38</definedName>
    <definedName name="OSRRefE11_28x" localSheetId="48">'300'!$H$39:$O$39</definedName>
    <definedName name="OSRRefE11_28x" localSheetId="49">'300 &amp; 317'!$H$39:$O$39</definedName>
    <definedName name="OSRRefE11_28x" localSheetId="57">'315'!$H$39:$O$39</definedName>
    <definedName name="OSRRefE11_28x" localSheetId="56">'331'!$H$39:$O$39</definedName>
    <definedName name="OSRRefE11_28x" localSheetId="47">'Div 3'!$H$39:$O$39</definedName>
    <definedName name="OSRRefE11_28x" localSheetId="2">Summary!$H$39:$O$39</definedName>
    <definedName name="OSRRefE11_29x" localSheetId="48">'300'!$H$40:$O$40</definedName>
    <definedName name="OSRRefE11_29x" localSheetId="49">'300 &amp; 317'!$H$40:$O$40</definedName>
    <definedName name="OSRRefE11_29x" localSheetId="57">'315'!$H$40:$O$40</definedName>
    <definedName name="OSRRefE11_29x" localSheetId="56">'331'!$H$40:$O$40</definedName>
    <definedName name="OSRRefE11_29x" localSheetId="47">'Div 3'!$H$40:$O$40</definedName>
    <definedName name="OSRRefE11_29x" localSheetId="2">Summary!$H$40:$O$40</definedName>
    <definedName name="OSRRefE11_2x" localSheetId="48">'300'!$H$13:$O$13</definedName>
    <definedName name="OSRRefE11_2x" localSheetId="49">'300 &amp; 317'!$H$13:$O$13</definedName>
    <definedName name="OSRRefE11_2x" localSheetId="52">'307'!$H$13:$O$13</definedName>
    <definedName name="OSRRefE11_2x" localSheetId="53">'308'!$H$13:$O$13</definedName>
    <definedName name="OSRRefE11_2x" localSheetId="63">'310'!$H$13:$O$13</definedName>
    <definedName name="OSRRefE11_2x" localSheetId="71">'310 &amp; 491'!$H$13:$O$13</definedName>
    <definedName name="OSRRefE11_2x" localSheetId="54">'311'!$H$13:$O$13</definedName>
    <definedName name="OSRRefE11_2x" localSheetId="57">'315'!$H$13:$O$13</definedName>
    <definedName name="OSRRefE11_2x" localSheetId="60">'316'!$H$13:$O$13</definedName>
    <definedName name="OSRRefE11_2x" localSheetId="62">'317'!$H$13:$O$13</definedName>
    <definedName name="OSRRefE11_2x" localSheetId="55">'324'!$H$13:$O$13</definedName>
    <definedName name="OSRRefE11_2x" localSheetId="58">'326'!$H$13:$O$13</definedName>
    <definedName name="OSRRefE11_2x" localSheetId="51">'330'!$H$13:$O$13</definedName>
    <definedName name="OSRRefE11_2x" localSheetId="56">'331'!$H$13:$O$13</definedName>
    <definedName name="OSRRefE11_2x" localSheetId="59">'332'!$H$13:$O$13</definedName>
    <definedName name="OSRRefE11_2x" localSheetId="78">'414'!$H$13:$O$13</definedName>
    <definedName name="OSRRefE11_2x" localSheetId="79">'415'!$H$13:$O$13</definedName>
    <definedName name="OSRRefE11_2x" localSheetId="88">'433'!$H$13:$O$13</definedName>
    <definedName name="OSRRefE11_2x" localSheetId="90">'444'!$H$13:$O$13</definedName>
    <definedName name="OSRRefE11_2x" localSheetId="72">'491'!$H$13:$O$13</definedName>
    <definedName name="OSRRefE11_2x" localSheetId="86">'492'!$H$13:$O$13</definedName>
    <definedName name="OSRRefE11_2x" localSheetId="47">'Div 3'!$H$13:$O$13</definedName>
    <definedName name="OSRRefE11_2x" localSheetId="70">'Div 4'!$H$13:$O$13</definedName>
    <definedName name="OSRRefE11_2x" localSheetId="61">'Div 6'!$H$13:$O$13</definedName>
    <definedName name="OSRRefE11_2x" localSheetId="2">Summary!$H$13:$O$13</definedName>
    <definedName name="OSRRefE11_30x" localSheetId="48">'300'!$H$41:$O$41</definedName>
    <definedName name="OSRRefE11_30x" localSheetId="49">'300 &amp; 317'!$H$41:$O$41</definedName>
    <definedName name="OSRRefE11_30x" localSheetId="57">'315'!$H$41:$O$41</definedName>
    <definedName name="OSRRefE11_30x" localSheetId="56">'331'!$H$41:$O$41</definedName>
    <definedName name="OSRRefE11_30x" localSheetId="47">'Div 3'!$H$41:$O$41</definedName>
    <definedName name="OSRRefE11_30x" localSheetId="2">Summary!$H$41:$O$41</definedName>
    <definedName name="OSRRefE11_31x" localSheetId="48">'300'!$H$42:$O$42</definedName>
    <definedName name="OSRRefE11_31x" localSheetId="49">'300 &amp; 317'!$H$42:$O$42</definedName>
    <definedName name="OSRRefE11_31x" localSheetId="57">'315'!$H$42:$O$42</definedName>
    <definedName name="OSRRefE11_31x" localSheetId="56">'331'!$H$42:$O$42</definedName>
    <definedName name="OSRRefE11_31x" localSheetId="47">'Div 3'!$H$42:$O$42</definedName>
    <definedName name="OSRRefE11_31x" localSheetId="2">Summary!$H$42:$O$42</definedName>
    <definedName name="OSRRefE11_32x" localSheetId="48">'300'!$H$43:$O$43</definedName>
    <definedName name="OSRRefE11_32x" localSheetId="49">'300 &amp; 317'!$H$43:$O$43</definedName>
    <definedName name="OSRRefE11_32x" localSheetId="57">'315'!$H$43:$O$43</definedName>
    <definedName name="OSRRefE11_32x" localSheetId="56">'331'!$H$43:$O$43</definedName>
    <definedName name="OSRRefE11_32x" localSheetId="47">'Div 3'!$H$43:$O$43</definedName>
    <definedName name="OSRRefE11_32x" localSheetId="2">Summary!$H$43:$O$43</definedName>
    <definedName name="OSRRefE11_33x" localSheetId="48">'300'!$H$44:$O$44</definedName>
    <definedName name="OSRRefE11_33x" localSheetId="49">'300 &amp; 317'!$H$44:$O$44</definedName>
    <definedName name="OSRRefE11_33x" localSheetId="57">'315'!$H$44:$O$44</definedName>
    <definedName name="OSRRefE11_33x" localSheetId="56">'331'!$H$44:$O$44</definedName>
    <definedName name="OSRRefE11_33x" localSheetId="47">'Div 3'!$H$44:$O$44</definedName>
    <definedName name="OSRRefE11_33x" localSheetId="2">Summary!$H$44:$O$44</definedName>
    <definedName name="OSRRefE11_34x" localSheetId="48">'300'!$H$45:$O$45</definedName>
    <definedName name="OSRRefE11_34x" localSheetId="49">'300 &amp; 317'!$H$45:$O$45</definedName>
    <definedName name="OSRRefE11_34x" localSheetId="57">'315'!$H$45:$O$45</definedName>
    <definedName name="OSRRefE11_34x" localSheetId="56">'331'!$H$45:$O$45</definedName>
    <definedName name="OSRRefE11_34x" localSheetId="47">'Div 3'!$H$45:$O$45</definedName>
    <definedName name="OSRRefE11_34x" localSheetId="2">Summary!$H$45:$O$45</definedName>
    <definedName name="OSRRefE11_35x" localSheetId="48">'300'!$H$46:$O$46</definedName>
    <definedName name="OSRRefE11_35x" localSheetId="49">'300 &amp; 317'!$H$46:$O$46</definedName>
    <definedName name="OSRRefE11_35x" localSheetId="57">'315'!$H$46:$O$46</definedName>
    <definedName name="OSRRefE11_35x" localSheetId="56">'331'!$H$46:$O$46</definedName>
    <definedName name="OSRRefE11_35x" localSheetId="47">'Div 3'!$H$46:$O$46</definedName>
    <definedName name="OSRRefE11_35x" localSheetId="2">Summary!$H$46:$O$46</definedName>
    <definedName name="OSRRefE11_36x" localSheetId="48">'300'!$H$47:$O$47</definedName>
    <definedName name="OSRRefE11_36x" localSheetId="49">'300 &amp; 317'!$H$47:$O$47</definedName>
    <definedName name="OSRRefE11_36x" localSheetId="47">'Div 3'!$H$47:$O$47</definedName>
    <definedName name="OSRRefE11_36x" localSheetId="2">Summary!$H$47:$O$47</definedName>
    <definedName name="OSRRefE11_37x" localSheetId="48">'300'!$H$48:$O$48</definedName>
    <definedName name="OSRRefE11_37x" localSheetId="49">'300 &amp; 317'!$H$48:$O$48</definedName>
    <definedName name="OSRRefE11_37x" localSheetId="47">'Div 3'!$H$48:$O$48</definedName>
    <definedName name="OSRRefE11_37x" localSheetId="2">Summary!$H$48:$O$48</definedName>
    <definedName name="OSRRefE11_38x" localSheetId="48">'300'!$H$49:$O$49</definedName>
    <definedName name="OSRRefE11_38x" localSheetId="49">'300 &amp; 317'!$H$49:$O$49</definedName>
    <definedName name="OSRRefE11_38x" localSheetId="47">'Div 3'!$H$49:$O$49</definedName>
    <definedName name="OSRRefE11_38x" localSheetId="2">Summary!$H$49:$O$49</definedName>
    <definedName name="OSRRefE11_39x" localSheetId="48">'300'!$H$50:$O$50</definedName>
    <definedName name="OSRRefE11_39x" localSheetId="49">'300 &amp; 317'!$H$50:$O$50</definedName>
    <definedName name="OSRRefE11_39x" localSheetId="47">'Div 3'!$H$50:$O$50</definedName>
    <definedName name="OSRRefE11_39x" localSheetId="2">Summary!$H$50:$O$50</definedName>
    <definedName name="OSRRefE11_3x" localSheetId="48">'300'!$H$14:$O$14</definedName>
    <definedName name="OSRRefE11_3x" localSheetId="49">'300 &amp; 317'!$H$14:$O$14</definedName>
    <definedName name="OSRRefE11_3x" localSheetId="52">'307'!$H$14:$O$14</definedName>
    <definedName name="OSRRefE11_3x" localSheetId="53">'308'!$H$14:$O$14</definedName>
    <definedName name="OSRRefE11_3x" localSheetId="63">'310'!$H$14:$O$14</definedName>
    <definedName name="OSRRefE11_3x" localSheetId="71">'310 &amp; 491'!$H$14:$O$14</definedName>
    <definedName name="OSRRefE11_3x" localSheetId="54">'311'!$H$14:$O$14</definedName>
    <definedName name="OSRRefE11_3x" localSheetId="57">'315'!$H$14:$O$14</definedName>
    <definedName name="OSRRefE11_3x" localSheetId="60">'316'!$H$14:$O$14</definedName>
    <definedName name="OSRRefE11_3x" localSheetId="62">'317'!$H$14:$O$14</definedName>
    <definedName name="OSRRefE11_3x" localSheetId="55">'324'!$H$14:$O$14</definedName>
    <definedName name="OSRRefE11_3x" localSheetId="58">'326'!$H$14:$O$14</definedName>
    <definedName name="OSRRefE11_3x" localSheetId="51">'330'!$H$14:$O$14</definedName>
    <definedName name="OSRRefE11_3x" localSheetId="56">'331'!$H$14:$O$14</definedName>
    <definedName name="OSRRefE11_3x" localSheetId="59">'332'!$H$14:$O$14</definedName>
    <definedName name="OSRRefE11_3x" localSheetId="79">'415'!$H$14:$O$14</definedName>
    <definedName name="OSRRefE11_3x" localSheetId="88">'433'!$H$14:$O$14</definedName>
    <definedName name="OSRRefE11_3x" localSheetId="90">'444'!$H$14:$O$14</definedName>
    <definedName name="OSRRefE11_3x" localSheetId="72">'491'!$H$14:$O$14</definedName>
    <definedName name="OSRRefE11_3x" localSheetId="86">'492'!$H$14:$O$14</definedName>
    <definedName name="OSRRefE11_3x" localSheetId="47">'Div 3'!$H$14:$O$14</definedName>
    <definedName name="OSRRefE11_3x" localSheetId="70">'Div 4'!$H$14:$O$14</definedName>
    <definedName name="OSRRefE11_3x" localSheetId="61">'Div 6'!$H$14:$O$14</definedName>
    <definedName name="OSRRefE11_3x" localSheetId="2">Summary!$H$14:$O$14</definedName>
    <definedName name="OSRRefE11_40x" localSheetId="48">'300'!$H$51:$O$51</definedName>
    <definedName name="OSRRefE11_40x" localSheetId="49">'300 &amp; 317'!$H$51:$O$51</definedName>
    <definedName name="OSRRefE11_40x" localSheetId="47">'Div 3'!$H$51:$O$51</definedName>
    <definedName name="OSRRefE11_40x" localSheetId="2">Summary!$H$51:$O$51</definedName>
    <definedName name="OSRRefE11_41x" localSheetId="48">'300'!$H$52:$O$52</definedName>
    <definedName name="OSRRefE11_41x" localSheetId="49">'300 &amp; 317'!$H$52:$O$52</definedName>
    <definedName name="OSRRefE11_41x" localSheetId="47">'Div 3'!$H$52:$O$52</definedName>
    <definedName name="OSRRefE11_41x" localSheetId="2">Summary!$H$52:$O$52</definedName>
    <definedName name="OSRRefE11_42x" localSheetId="48">'300'!$H$53:$O$53</definedName>
    <definedName name="OSRRefE11_42x" localSheetId="49">'300 &amp; 317'!$H$53:$O$53</definedName>
    <definedName name="OSRRefE11_42x" localSheetId="47">'Div 3'!$H$53:$O$53</definedName>
    <definedName name="OSRRefE11_42x" localSheetId="2">Summary!$H$53:$O$53</definedName>
    <definedName name="OSRRefE11_43x" localSheetId="48">'300'!$H$54:$O$54</definedName>
    <definedName name="OSRRefE11_43x" localSheetId="49">'300 &amp; 317'!$H$54:$O$54</definedName>
    <definedName name="OSRRefE11_43x" localSheetId="47">'Div 3'!$H$54:$O$54</definedName>
    <definedName name="OSRRefE11_43x" localSheetId="2">Summary!$H$54:$O$54</definedName>
    <definedName name="OSRRefE11_44x" localSheetId="48">'300'!$H$55:$O$55</definedName>
    <definedName name="OSRRefE11_44x" localSheetId="49">'300 &amp; 317'!$H$55:$O$55</definedName>
    <definedName name="OSRRefE11_44x" localSheetId="47">'Div 3'!$H$55:$O$55</definedName>
    <definedName name="OSRRefE11_44x" localSheetId="2">Summary!$H$55:$O$55</definedName>
    <definedName name="OSRRefE11_45x" localSheetId="48">'300'!$H$56:$O$56</definedName>
    <definedName name="OSRRefE11_45x" localSheetId="49">'300 &amp; 317'!$H$56:$O$56</definedName>
    <definedName name="OSRRefE11_45x" localSheetId="47">'Div 3'!$H$56:$O$56</definedName>
    <definedName name="OSRRefE11_45x" localSheetId="2">Summary!$H$56:$O$56</definedName>
    <definedName name="OSRRefE11_46x" localSheetId="48">'300'!$H$57:$O$57</definedName>
    <definedName name="OSRRefE11_46x" localSheetId="49">'300 &amp; 317'!$H$57:$O$57</definedName>
    <definedName name="OSRRefE11_46x" localSheetId="47">'Div 3'!$H$57:$O$57</definedName>
    <definedName name="OSRRefE11_46x" localSheetId="2">Summary!$H$57:$O$57</definedName>
    <definedName name="OSRRefE11_47x" localSheetId="48">'300'!$H$58:$O$58</definedName>
    <definedName name="OSRRefE11_47x" localSheetId="49">'300 &amp; 317'!$H$58:$O$58</definedName>
    <definedName name="OSRRefE11_47x" localSheetId="47">'Div 3'!$H$58:$O$58</definedName>
    <definedName name="OSRRefE11_47x" localSheetId="2">Summary!$H$58:$O$58</definedName>
    <definedName name="OSRRefE11_48x" localSheetId="48">'300'!$H$59:$O$59</definedName>
    <definedName name="OSRRefE11_48x" localSheetId="49">'300 &amp; 317'!$H$59:$O$59</definedName>
    <definedName name="OSRRefE11_48x" localSheetId="47">'Div 3'!$H$59:$O$59</definedName>
    <definedName name="OSRRefE11_48x" localSheetId="2">Summary!$H$59:$O$59</definedName>
    <definedName name="OSRRefE11_49x" localSheetId="48">'300'!$H$60:$O$60</definedName>
    <definedName name="OSRRefE11_49x" localSheetId="49">'300 &amp; 317'!$H$60:$O$60</definedName>
    <definedName name="OSRRefE11_49x" localSheetId="47">'Div 3'!$H$60:$O$60</definedName>
    <definedName name="OSRRefE11_49x" localSheetId="2">Summary!$H$60:$O$60</definedName>
    <definedName name="OSRRefE11_4x" localSheetId="48">'300'!$H$15:$O$15</definedName>
    <definedName name="OSRRefE11_4x" localSheetId="49">'300 &amp; 317'!$H$15:$O$15</definedName>
    <definedName name="OSRRefE11_4x" localSheetId="52">'307'!$H$15:$O$15</definedName>
    <definedName name="OSRRefE11_4x" localSheetId="53">'308'!$H$15:$O$15</definedName>
    <definedName name="OSRRefE11_4x" localSheetId="71">'310 &amp; 491'!$H$15:$O$15</definedName>
    <definedName name="OSRRefE11_4x" localSheetId="54">'311'!$H$15:$O$15</definedName>
    <definedName name="OSRRefE11_4x" localSheetId="57">'315'!$H$15:$O$15</definedName>
    <definedName name="OSRRefE11_4x" localSheetId="60">'316'!$H$15:$O$15</definedName>
    <definedName name="OSRRefE11_4x" localSheetId="62">'317'!$H$15:$O$15</definedName>
    <definedName name="OSRRefE11_4x" localSheetId="58">'326'!$H$15:$O$15</definedName>
    <definedName name="OSRRefE11_4x" localSheetId="51">'330'!$H$15:$O$15</definedName>
    <definedName name="OSRRefE11_4x" localSheetId="56">'331'!$H$15:$O$15</definedName>
    <definedName name="OSRRefE11_4x" localSheetId="59">'332'!$H$15:$O$15</definedName>
    <definedName name="OSRRefE11_4x" localSheetId="72">'491'!$H$15:$O$15</definedName>
    <definedName name="OSRRefE11_4x" localSheetId="47">'Div 3'!$H$15:$O$15</definedName>
    <definedName name="OSRRefE11_4x" localSheetId="70">'Div 4'!$H$15:$O$15</definedName>
    <definedName name="OSRRefE11_4x" localSheetId="61">'Div 6'!$H$15:$O$15</definedName>
    <definedName name="OSRRefE11_4x" localSheetId="2">Summary!$H$15:$O$15</definedName>
    <definedName name="OSRRefE11_50x" localSheetId="48">'300'!$H$61:$O$61</definedName>
    <definedName name="OSRRefE11_50x" localSheetId="49">'300 &amp; 317'!$H$61:$O$61</definedName>
    <definedName name="OSRRefE11_50x" localSheetId="47">'Div 3'!$H$61:$O$61</definedName>
    <definedName name="OSRRefE11_50x" localSheetId="2">Summary!$H$61:$O$61</definedName>
    <definedName name="OSRRefE11_51x" localSheetId="48">'300'!$H$62:$O$62</definedName>
    <definedName name="OSRRefE11_51x" localSheetId="49">'300 &amp; 317'!$H$62:$O$62</definedName>
    <definedName name="OSRRefE11_51x" localSheetId="47">'Div 3'!$H$62:$O$62</definedName>
    <definedName name="OSRRefE11_51x" localSheetId="2">Summary!$H$62:$O$62</definedName>
    <definedName name="OSRRefE11_52x" localSheetId="48">'300'!$H$63:$O$63</definedName>
    <definedName name="OSRRefE11_52x" localSheetId="49">'300 &amp; 317'!$H$63:$O$63</definedName>
    <definedName name="OSRRefE11_52x" localSheetId="47">'Div 3'!$H$63:$O$63</definedName>
    <definedName name="OSRRefE11_52x" localSheetId="2">Summary!$H$63:$O$63</definedName>
    <definedName name="OSRRefE11_53x" localSheetId="48">'300'!$H$64:$O$64</definedName>
    <definedName name="OSRRefE11_53x" localSheetId="49">'300 &amp; 317'!$H$64:$O$64</definedName>
    <definedName name="OSRRefE11_53x" localSheetId="47">'Div 3'!$H$64:$O$64</definedName>
    <definedName name="OSRRefE11_53x" localSheetId="2">Summary!$H$64:$O$64</definedName>
    <definedName name="OSRRefE11_54x" localSheetId="48">'300'!$H$65:$O$65</definedName>
    <definedName name="OSRRefE11_54x" localSheetId="49">'300 &amp; 317'!$H$65:$O$65</definedName>
    <definedName name="OSRRefE11_54x" localSheetId="47">'Div 3'!$H$65:$O$65</definedName>
    <definedName name="OSRRefE11_54x" localSheetId="2">Summary!$H$65:$O$65</definedName>
    <definedName name="OSRRefE11_55x" localSheetId="48">'300'!$H$66:$O$66</definedName>
    <definedName name="OSRRefE11_55x" localSheetId="49">'300 &amp; 317'!$H$66:$O$66</definedName>
    <definedName name="OSRRefE11_55x" localSheetId="47">'Div 3'!$H$66:$O$66</definedName>
    <definedName name="OSRRefE11_55x" localSheetId="2">Summary!$H$66:$O$66</definedName>
    <definedName name="OSRRefE11_56x" localSheetId="48">'300'!$H$67:$O$67</definedName>
    <definedName name="OSRRefE11_56x" localSheetId="49">'300 &amp; 317'!$H$67:$O$67</definedName>
    <definedName name="OSRRefE11_56x" localSheetId="47">'Div 3'!$H$67:$O$67</definedName>
    <definedName name="OSRRefE11_56x" localSheetId="2">Summary!$H$67:$O$67</definedName>
    <definedName name="OSRRefE11_57x" localSheetId="48">'300'!$H$68:$O$68</definedName>
    <definedName name="OSRRefE11_57x" localSheetId="49">'300 &amp; 317'!$H$68:$O$68</definedName>
    <definedName name="OSRRefE11_57x" localSheetId="47">'Div 3'!$H$68:$O$68</definedName>
    <definedName name="OSRRefE11_57x" localSheetId="2">Summary!$H$68:$O$68</definedName>
    <definedName name="OSRRefE11_58x" localSheetId="48">'300'!$H$69:$O$69</definedName>
    <definedName name="OSRRefE11_58x" localSheetId="49">'300 &amp; 317'!$H$69:$O$69</definedName>
    <definedName name="OSRRefE11_58x" localSheetId="47">'Div 3'!$H$69:$O$69</definedName>
    <definedName name="OSRRefE11_58x" localSheetId="2">Summary!$H$69:$O$69</definedName>
    <definedName name="OSRRefE11_59x" localSheetId="48">'300'!$H$70:$O$70</definedName>
    <definedName name="OSRRefE11_59x" localSheetId="49">'300 &amp; 317'!$H$70:$O$70</definedName>
    <definedName name="OSRRefE11_59x" localSheetId="47">'Div 3'!$H$70:$O$70</definedName>
    <definedName name="OSRRefE11_59x" localSheetId="2">Summary!$H$70:$O$70</definedName>
    <definedName name="OSRRefE11_5x" localSheetId="48">'300'!$H$16:$O$16</definedName>
    <definedName name="OSRRefE11_5x" localSheetId="49">'300 &amp; 317'!$H$16:$O$16</definedName>
    <definedName name="OSRRefE11_5x" localSheetId="52">'307'!$H$16:$O$16</definedName>
    <definedName name="OSRRefE11_5x" localSheetId="53">'308'!$H$16:$O$16</definedName>
    <definedName name="OSRRefE11_5x" localSheetId="71">'310 &amp; 491'!$H$16:$O$16</definedName>
    <definedName name="OSRRefE11_5x" localSheetId="54">'311'!$H$16:$O$16</definedName>
    <definedName name="OSRRefE11_5x" localSheetId="57">'315'!$H$16:$O$16</definedName>
    <definedName name="OSRRefE11_5x" localSheetId="60">'316'!$H$16:$O$16</definedName>
    <definedName name="OSRRefE11_5x" localSheetId="62">'317'!$H$16:$O$16</definedName>
    <definedName name="OSRRefE11_5x" localSheetId="58">'326'!$H$16:$O$16</definedName>
    <definedName name="OSRRefE11_5x" localSheetId="51">'330'!$H$16:$O$16</definedName>
    <definedName name="OSRRefE11_5x" localSheetId="56">'331'!$H$16:$O$16</definedName>
    <definedName name="OSRRefE11_5x" localSheetId="59">'332'!$H$16:$O$16</definedName>
    <definedName name="OSRRefE11_5x" localSheetId="72">'491'!$H$16:$O$16</definedName>
    <definedName name="OSRRefE11_5x" localSheetId="47">'Div 3'!$H$16:$O$16</definedName>
    <definedName name="OSRRefE11_5x" localSheetId="70">'Div 4'!$H$16:$O$16</definedName>
    <definedName name="OSRRefE11_5x" localSheetId="61">'Div 6'!$H$16:$O$16</definedName>
    <definedName name="OSRRefE11_5x" localSheetId="2">Summary!$H$16:$O$16</definedName>
    <definedName name="OSRRefE11_60x" localSheetId="48">'300'!$H$71:$O$71</definedName>
    <definedName name="OSRRefE11_60x" localSheetId="49">'300 &amp; 317'!$H$71:$O$71</definedName>
    <definedName name="OSRRefE11_60x" localSheetId="47">'Div 3'!$H$71:$O$71</definedName>
    <definedName name="OSRRefE11_60x" localSheetId="2">Summary!$H$71:$O$71</definedName>
    <definedName name="OSRRefE11_61x" localSheetId="49">'300 &amp; 317'!$H$72:$O$72</definedName>
    <definedName name="OSRRefE11_61x" localSheetId="47">'Div 3'!$H$72:$O$72</definedName>
    <definedName name="OSRRefE11_61x" localSheetId="2">Summary!$H$72:$O$72</definedName>
    <definedName name="OSRRefE11_62x" localSheetId="49">'300 &amp; 317'!$H$73:$O$73</definedName>
    <definedName name="OSRRefE11_62x" localSheetId="47">'Div 3'!$H$73:$O$73</definedName>
    <definedName name="OSRRefE11_62x" localSheetId="2">Summary!$H$73:$O$73</definedName>
    <definedName name="OSRRefE11_63x" localSheetId="49">'300 &amp; 317'!$H$74:$O$74</definedName>
    <definedName name="OSRRefE11_63x" localSheetId="2">Summary!$H$74:$O$74</definedName>
    <definedName name="OSRRefE11_64x" localSheetId="49">'300 &amp; 317'!$H$75:$O$75</definedName>
    <definedName name="OSRRefE11_64x" localSheetId="2">Summary!$H$75:$O$75</definedName>
    <definedName name="OSRRefE11_65x" localSheetId="49">'300 &amp; 317'!$H$76:$O$76</definedName>
    <definedName name="OSRRefE11_65x" localSheetId="2">Summary!$H$76:$O$76</definedName>
    <definedName name="OSRRefE11_66x" localSheetId="49">'300 &amp; 317'!$H$77:$O$77</definedName>
    <definedName name="OSRRefE11_66x" localSheetId="2">Summary!$H$77:$O$77</definedName>
    <definedName name="OSRRefE11_67x" localSheetId="49">'300 &amp; 317'!$H$78:$O$78</definedName>
    <definedName name="OSRRefE11_67x" localSheetId="2">Summary!$H$78:$O$78</definedName>
    <definedName name="OSRRefE11_68x" localSheetId="49">'300 &amp; 317'!$H$79:$O$79</definedName>
    <definedName name="OSRRefE11_68x" localSheetId="2">Summary!$H$79:$O$79</definedName>
    <definedName name="OSRRefE11_69x" localSheetId="49">'300 &amp; 317'!$H$80:$O$80</definedName>
    <definedName name="OSRRefE11_69x" localSheetId="2">Summary!$H$80:$O$80</definedName>
    <definedName name="OSRRefE11_6x" localSheetId="48">'300'!$H$17:$O$17</definedName>
    <definedName name="OSRRefE11_6x" localSheetId="49">'300 &amp; 317'!$H$17:$O$17</definedName>
    <definedName name="OSRRefE11_6x" localSheetId="52">'307'!$H$17:$O$17</definedName>
    <definedName name="OSRRefE11_6x" localSheetId="53">'308'!$H$17:$O$17</definedName>
    <definedName name="OSRRefE11_6x" localSheetId="71">'310 &amp; 491'!$H$17:$O$17</definedName>
    <definedName name="OSRRefE11_6x" localSheetId="54">'311'!$H$17:$O$17</definedName>
    <definedName name="OSRRefE11_6x" localSheetId="57">'315'!$H$17:$O$17</definedName>
    <definedName name="OSRRefE11_6x" localSheetId="60">'316'!$H$17:$O$17</definedName>
    <definedName name="OSRRefE11_6x" localSheetId="62">'317'!$H$17:$O$17</definedName>
    <definedName name="OSRRefE11_6x" localSheetId="58">'326'!$H$17:$O$17</definedName>
    <definedName name="OSRRefE11_6x" localSheetId="51">'330'!$H$17:$O$17</definedName>
    <definedName name="OSRRefE11_6x" localSheetId="56">'331'!$H$17:$O$17</definedName>
    <definedName name="OSRRefE11_6x" localSheetId="59">'332'!$H$17:$O$17</definedName>
    <definedName name="OSRRefE11_6x" localSheetId="47">'Div 3'!$H$17:$O$17</definedName>
    <definedName name="OSRRefE11_6x" localSheetId="70">'Div 4'!$H$17:$O$17</definedName>
    <definedName name="OSRRefE11_6x" localSheetId="61">'Div 6'!$H$17:$O$17</definedName>
    <definedName name="OSRRefE11_6x" localSheetId="2">Summary!$H$17:$O$17</definedName>
    <definedName name="OSRRefE11_70x" localSheetId="49">'300 &amp; 317'!$H$81:$O$81</definedName>
    <definedName name="OSRRefE11_70x" localSheetId="2">Summary!$H$81:$O$81</definedName>
    <definedName name="OSRRefE11_71x" localSheetId="49">'300 &amp; 317'!$H$82:$O$82</definedName>
    <definedName name="OSRRefE11_71x" localSheetId="2">Summary!$H$82:$O$82</definedName>
    <definedName name="OSRRefE11_72x" localSheetId="49">'300 &amp; 317'!$H$83:$O$83</definedName>
    <definedName name="OSRRefE11_72x" localSheetId="2">Summary!$H$83:$O$83</definedName>
    <definedName name="OSRRefE11_73x" localSheetId="49">'300 &amp; 317'!$H$84:$O$84</definedName>
    <definedName name="OSRRefE11_73x" localSheetId="2">Summary!$H$84:$O$84</definedName>
    <definedName name="OSRRefE11_74x" localSheetId="49">'300 &amp; 317'!$H$85:$O$85</definedName>
    <definedName name="OSRRefE11_74x" localSheetId="2">Summary!$H$85:$O$85</definedName>
    <definedName name="OSRRefE11_75x" localSheetId="2">Summary!$H$86:$O$86</definedName>
    <definedName name="OSRRefE11_76x" localSheetId="2">Summary!$H$87:$O$87</definedName>
    <definedName name="OSRRefE11_77x" localSheetId="2">Summary!$H$88:$O$88</definedName>
    <definedName name="OSRRefE11_78x" localSheetId="2">Summary!$H$89:$O$89</definedName>
    <definedName name="OSRRefE11_79x" localSheetId="2">Summary!$H$90:$O$90</definedName>
    <definedName name="OSRRefE11_7x" localSheetId="48">'300'!$H$18:$O$18</definedName>
    <definedName name="OSRRefE11_7x" localSheetId="49">'300 &amp; 317'!$H$18:$O$18</definedName>
    <definedName name="OSRRefE11_7x" localSheetId="52">'307'!$H$18:$O$18</definedName>
    <definedName name="OSRRefE11_7x" localSheetId="53">'308'!$H$18:$O$18</definedName>
    <definedName name="OSRRefE11_7x" localSheetId="71">'310 &amp; 491'!$H$18:$O$18</definedName>
    <definedName name="OSRRefE11_7x" localSheetId="54">'311'!$H$18:$O$18</definedName>
    <definedName name="OSRRefE11_7x" localSheetId="57">'315'!$H$18:$O$18</definedName>
    <definedName name="OSRRefE11_7x" localSheetId="60">'316'!$H$18:$O$18</definedName>
    <definedName name="OSRRefE11_7x" localSheetId="62">'317'!$H$18:$O$18</definedName>
    <definedName name="OSRRefE11_7x" localSheetId="58">'326'!$H$18:$O$18</definedName>
    <definedName name="OSRRefE11_7x" localSheetId="51">'330'!$H$18:$O$18</definedName>
    <definedName name="OSRRefE11_7x" localSheetId="56">'331'!$H$18:$O$18</definedName>
    <definedName name="OSRRefE11_7x" localSheetId="59">'332'!$H$18:$O$18</definedName>
    <definedName name="OSRRefE11_7x" localSheetId="47">'Div 3'!$H$18:$O$18</definedName>
    <definedName name="OSRRefE11_7x" localSheetId="70">'Div 4'!$H$18:$O$18</definedName>
    <definedName name="OSRRefE11_7x" localSheetId="61">'Div 6'!$H$18:$O$18</definedName>
    <definedName name="OSRRefE11_7x" localSheetId="2">Summary!$H$18:$O$18</definedName>
    <definedName name="OSRRefE11_80x" localSheetId="2">Summary!$H$91:$O$91</definedName>
    <definedName name="OSRRefE11_81x" localSheetId="2">Summary!$H$92:$O$92</definedName>
    <definedName name="OSRRefE11_8x" localSheetId="48">'300'!$H$19:$O$19</definedName>
    <definedName name="OSRRefE11_8x" localSheetId="49">'300 &amp; 317'!$H$19:$O$19</definedName>
    <definedName name="OSRRefE11_8x" localSheetId="52">'307'!$H$19:$O$19</definedName>
    <definedName name="OSRRefE11_8x" localSheetId="53">'308'!$H$19:$O$19</definedName>
    <definedName name="OSRRefE11_8x" localSheetId="71">'310 &amp; 491'!$H$19:$O$19</definedName>
    <definedName name="OSRRefE11_8x" localSheetId="54">'311'!$H$19:$O$19</definedName>
    <definedName name="OSRRefE11_8x" localSheetId="57">'315'!$H$19:$O$19</definedName>
    <definedName name="OSRRefE11_8x" localSheetId="60">'316'!$H$19:$O$19</definedName>
    <definedName name="OSRRefE11_8x" localSheetId="62">'317'!$H$19:$O$19</definedName>
    <definedName name="OSRRefE11_8x" localSheetId="58">'326'!$H$19:$O$19</definedName>
    <definedName name="OSRRefE11_8x" localSheetId="51">'330'!$H$19:$O$19</definedName>
    <definedName name="OSRRefE11_8x" localSheetId="56">'331'!$H$19:$O$19</definedName>
    <definedName name="OSRRefE11_8x" localSheetId="59">'332'!$H$19:$O$19</definedName>
    <definedName name="OSRRefE11_8x" localSheetId="47">'Div 3'!$H$19:$O$19</definedName>
    <definedName name="OSRRefE11_8x" localSheetId="61">'Div 6'!$H$19:$O$19</definedName>
    <definedName name="OSRRefE11_8x" localSheetId="2">Summary!$H$19:$O$19</definedName>
    <definedName name="OSRRefE11_9x" localSheetId="48">'300'!$H$20:$O$20</definedName>
    <definedName name="OSRRefE11_9x" localSheetId="49">'300 &amp; 317'!$H$20:$O$20</definedName>
    <definedName name="OSRRefE11_9x" localSheetId="52">'307'!$H$20:$O$20</definedName>
    <definedName name="OSRRefE11_9x" localSheetId="53">'308'!$H$20:$O$20</definedName>
    <definedName name="OSRRefE11_9x" localSheetId="54">'311'!$H$20:$O$20</definedName>
    <definedName name="OSRRefE11_9x" localSheetId="57">'315'!$H$20:$O$20</definedName>
    <definedName name="OSRRefE11_9x" localSheetId="60">'316'!$H$20:$O$20</definedName>
    <definedName name="OSRRefE11_9x" localSheetId="62">'317'!$H$20:$O$20</definedName>
    <definedName name="OSRRefE11_9x" localSheetId="58">'326'!$H$20:$O$20</definedName>
    <definedName name="OSRRefE11_9x" localSheetId="51">'330'!$H$20:$O$20</definedName>
    <definedName name="OSRRefE11_9x" localSheetId="56">'331'!$H$20:$O$20</definedName>
    <definedName name="OSRRefE11_9x" localSheetId="59">'332'!$H$20:$O$20</definedName>
    <definedName name="OSRRefE11_9x" localSheetId="47">'Div 3'!$H$20:$O$20</definedName>
    <definedName name="OSRRefE11_9x" localSheetId="61">'Div 6'!$H$20:$O$20</definedName>
    <definedName name="OSRRefE11_9x" localSheetId="2">Summary!$H$20:$O$20</definedName>
    <definedName name="OSRRefE11x_0" localSheetId="48">'300'!$H$11:$H$71</definedName>
    <definedName name="OSRRefE11x_0" localSheetId="49">'300 &amp; 317'!$H$11:$H$85</definedName>
    <definedName name="OSRRefE11x_0" localSheetId="52">'307'!$H$11:$H$21</definedName>
    <definedName name="OSRRefE11x_0" localSheetId="53">'308'!$H$11:$H$31</definedName>
    <definedName name="OSRRefE11x_0" localSheetId="64">'309'!$H$11</definedName>
    <definedName name="OSRRefE11x_0" localSheetId="63">'310'!$H$11:$H$14</definedName>
    <definedName name="OSRRefE11x_0" localSheetId="71">'310 &amp; 491'!$H$11:$H$19</definedName>
    <definedName name="OSRRefE11x_0" localSheetId="54">'311'!$H$11:$H$30</definedName>
    <definedName name="OSRRefE11x_0" localSheetId="57">'315'!$H$11:$H$46</definedName>
    <definedName name="OSRRefE11x_0" localSheetId="60">'316'!$H$11:$H$20</definedName>
    <definedName name="OSRRefE11x_0" localSheetId="62">'317'!$H$11:$H$28</definedName>
    <definedName name="OSRRefE11x_0" localSheetId="66">'321'!$H$11:$H$12</definedName>
    <definedName name="OSRRefE11x_0" localSheetId="67">'322'!$H$11</definedName>
    <definedName name="OSRRefE11x_0" localSheetId="55">'324'!$H$11:$H$14</definedName>
    <definedName name="OSRRefE11x_0" localSheetId="58">'326'!$H$11:$H$29</definedName>
    <definedName name="OSRRefE11x_0" localSheetId="69">'327'!$H$11:$H$12</definedName>
    <definedName name="OSRRefE11x_0" localSheetId="51">'330'!$H$11:$H$21</definedName>
    <definedName name="OSRRefE11x_0" localSheetId="56">'331'!$H$11:$H$46</definedName>
    <definedName name="OSRRefE11x_0" localSheetId="59">'332'!$H$11:$H$20</definedName>
    <definedName name="OSRRefE11x_0" localSheetId="73">'405'!$H$11:$H$12</definedName>
    <definedName name="OSRRefE11x_0" localSheetId="76">'412'!$H$11</definedName>
    <definedName name="OSRRefE11x_0" localSheetId="77">'413'!$H$11:$H$12</definedName>
    <definedName name="OSRRefE11x_0" localSheetId="78">'414'!$H$11:$H$13</definedName>
    <definedName name="OSRRefE11x_0" localSheetId="79">'415'!$H$11:$H$14</definedName>
    <definedName name="OSRRefE11x_0" localSheetId="80">'418'!$H$11:$H$12</definedName>
    <definedName name="OSRRefE11x_0" localSheetId="81">'420'!$H$11</definedName>
    <definedName name="OSRRefE11x_0" localSheetId="88">'433'!$H$11:$H$14</definedName>
    <definedName name="OSRRefE11x_0" localSheetId="90">'444'!$H$11:$H$14</definedName>
    <definedName name="OSRRefE11x_0" localSheetId="91">'450'!$H$11:$H$12</definedName>
    <definedName name="OSRRefE11x_0" localSheetId="72">'491'!$H$11:$H$16</definedName>
    <definedName name="OSRRefE11x_0" localSheetId="86">'492'!$H$11:$H$14</definedName>
    <definedName name="OSRRefE11x_0" localSheetId="93">'501'!$H$11:$H$12</definedName>
    <definedName name="OSRRefE11x_0" localSheetId="47">'Div 3'!$H$11:$H$73</definedName>
    <definedName name="OSRRefE11x_0" localSheetId="70">'Div 4'!$H$11:$H$18</definedName>
    <definedName name="OSRRefE11x_0" localSheetId="92">'Div 5'!$H$11:$H$12</definedName>
    <definedName name="OSRRefE11x_0" localSheetId="61">'Div 6'!$H$11:$H$28</definedName>
    <definedName name="OSRRefE11x_0" localSheetId="2">Summary!$H$11:$H$92</definedName>
    <definedName name="OSRRefE11x_1" localSheetId="48">'300'!$I$11:$I$71</definedName>
    <definedName name="OSRRefE11x_1" localSheetId="49">'300 &amp; 317'!$I$11:$I$85</definedName>
    <definedName name="OSRRefE11x_1" localSheetId="52">'307'!$I$11:$I$21</definedName>
    <definedName name="OSRRefE11x_1" localSheetId="53">'308'!$I$11:$I$31</definedName>
    <definedName name="OSRRefE11x_1" localSheetId="64">'309'!$I$11</definedName>
    <definedName name="OSRRefE11x_1" localSheetId="63">'310'!$I$11:$I$14</definedName>
    <definedName name="OSRRefE11x_1" localSheetId="71">'310 &amp; 491'!$I$11:$I$19</definedName>
    <definedName name="OSRRefE11x_1" localSheetId="54">'311'!$I$11:$I$30</definedName>
    <definedName name="OSRRefE11x_1" localSheetId="57">'315'!$I$11:$I$46</definedName>
    <definedName name="OSRRefE11x_1" localSheetId="60">'316'!$I$11:$I$20</definedName>
    <definedName name="OSRRefE11x_1" localSheetId="62">'317'!$I$11:$I$28</definedName>
    <definedName name="OSRRefE11x_1" localSheetId="66">'321'!$I$11:$I$12</definedName>
    <definedName name="OSRRefE11x_1" localSheetId="67">'322'!$I$11</definedName>
    <definedName name="OSRRefE11x_1" localSheetId="55">'324'!$I$11:$I$14</definedName>
    <definedName name="OSRRefE11x_1" localSheetId="58">'326'!$I$11:$I$29</definedName>
    <definedName name="OSRRefE11x_1" localSheetId="69">'327'!$I$11:$I$12</definedName>
    <definedName name="OSRRefE11x_1" localSheetId="51">'330'!$I$11:$I$21</definedName>
    <definedName name="OSRRefE11x_1" localSheetId="56">'331'!$I$11:$I$46</definedName>
    <definedName name="OSRRefE11x_1" localSheetId="59">'332'!$I$11:$I$20</definedName>
    <definedName name="OSRRefE11x_1" localSheetId="73">'405'!$I$11:$I$12</definedName>
    <definedName name="OSRRefE11x_1" localSheetId="76">'412'!$I$11</definedName>
    <definedName name="OSRRefE11x_1" localSheetId="77">'413'!$I$11:$I$12</definedName>
    <definedName name="OSRRefE11x_1" localSheetId="78">'414'!$I$11:$I$13</definedName>
    <definedName name="OSRRefE11x_1" localSheetId="79">'415'!$I$11:$I$14</definedName>
    <definedName name="OSRRefE11x_1" localSheetId="80">'418'!$I$11:$I$12</definedName>
    <definedName name="OSRRefE11x_1" localSheetId="81">'420'!$I$11</definedName>
    <definedName name="OSRRefE11x_1" localSheetId="88">'433'!$I$11:$I$14</definedName>
    <definedName name="OSRRefE11x_1" localSheetId="90">'444'!$I$11:$I$14</definedName>
    <definedName name="OSRRefE11x_1" localSheetId="91">'450'!$I$11:$I$12</definedName>
    <definedName name="OSRRefE11x_1" localSheetId="72">'491'!$I$11:$I$16</definedName>
    <definedName name="OSRRefE11x_1" localSheetId="86">'492'!$I$11:$I$14</definedName>
    <definedName name="OSRRefE11x_1" localSheetId="93">'501'!$I$11:$I$12</definedName>
    <definedName name="OSRRefE11x_1" localSheetId="47">'Div 3'!$I$11:$I$73</definedName>
    <definedName name="OSRRefE11x_1" localSheetId="70">'Div 4'!$I$11:$I$18</definedName>
    <definedName name="OSRRefE11x_1" localSheetId="92">'Div 5'!$I$11:$I$12</definedName>
    <definedName name="OSRRefE11x_1" localSheetId="61">'Div 6'!$I$11:$I$28</definedName>
    <definedName name="OSRRefE11x_1" localSheetId="2">Summary!$I$11:$I$92</definedName>
    <definedName name="OSRRefE11x_2" localSheetId="48">'300'!$J$11:$J$71</definedName>
    <definedName name="OSRRefE11x_2" localSheetId="49">'300 &amp; 317'!$J$11:$J$85</definedName>
    <definedName name="OSRRefE11x_2" localSheetId="52">'307'!$J$11:$J$21</definedName>
    <definedName name="OSRRefE11x_2" localSheetId="53">'308'!$J$11:$J$31</definedName>
    <definedName name="OSRRefE11x_2" localSheetId="64">'309'!$J$11</definedName>
    <definedName name="OSRRefE11x_2" localSheetId="63">'310'!$J$11:$J$14</definedName>
    <definedName name="OSRRefE11x_2" localSheetId="71">'310 &amp; 491'!$J$11:$J$19</definedName>
    <definedName name="OSRRefE11x_2" localSheetId="54">'311'!$J$11:$J$30</definedName>
    <definedName name="OSRRefE11x_2" localSheetId="57">'315'!$J$11:$J$46</definedName>
    <definedName name="OSRRefE11x_2" localSheetId="60">'316'!$J$11:$J$20</definedName>
    <definedName name="OSRRefE11x_2" localSheetId="62">'317'!$J$11:$J$28</definedName>
    <definedName name="OSRRefE11x_2" localSheetId="66">'321'!$J$11:$J$12</definedName>
    <definedName name="OSRRefE11x_2" localSheetId="67">'322'!$J$11</definedName>
    <definedName name="OSRRefE11x_2" localSheetId="55">'324'!$J$11:$J$14</definedName>
    <definedName name="OSRRefE11x_2" localSheetId="58">'326'!$J$11:$J$29</definedName>
    <definedName name="OSRRefE11x_2" localSheetId="69">'327'!$J$11:$J$12</definedName>
    <definedName name="OSRRefE11x_2" localSheetId="51">'330'!$J$11:$J$21</definedName>
    <definedName name="OSRRefE11x_2" localSheetId="56">'331'!$J$11:$J$46</definedName>
    <definedName name="OSRRefE11x_2" localSheetId="59">'332'!$J$11:$J$20</definedName>
    <definedName name="OSRRefE11x_2" localSheetId="73">'405'!$J$11:$J$12</definedName>
    <definedName name="OSRRefE11x_2" localSheetId="76">'412'!$J$11</definedName>
    <definedName name="OSRRefE11x_2" localSheetId="77">'413'!$J$11:$J$12</definedName>
    <definedName name="OSRRefE11x_2" localSheetId="78">'414'!$J$11:$J$13</definedName>
    <definedName name="OSRRefE11x_2" localSheetId="79">'415'!$J$11:$J$14</definedName>
    <definedName name="OSRRefE11x_2" localSheetId="80">'418'!$J$11:$J$12</definedName>
    <definedName name="OSRRefE11x_2" localSheetId="81">'420'!$J$11</definedName>
    <definedName name="OSRRefE11x_2" localSheetId="88">'433'!$J$11:$J$14</definedName>
    <definedName name="OSRRefE11x_2" localSheetId="90">'444'!$J$11:$J$14</definedName>
    <definedName name="OSRRefE11x_2" localSheetId="91">'450'!$J$11:$J$12</definedName>
    <definedName name="OSRRefE11x_2" localSheetId="72">'491'!$J$11:$J$16</definedName>
    <definedName name="OSRRefE11x_2" localSheetId="86">'492'!$J$11:$J$14</definedName>
    <definedName name="OSRRefE11x_2" localSheetId="93">'501'!$J$11:$J$12</definedName>
    <definedName name="OSRRefE11x_2" localSheetId="47">'Div 3'!$J$11:$J$73</definedName>
    <definedName name="OSRRefE11x_2" localSheetId="70">'Div 4'!$J$11:$J$18</definedName>
    <definedName name="OSRRefE11x_2" localSheetId="92">'Div 5'!$J$11:$J$12</definedName>
    <definedName name="OSRRefE11x_2" localSheetId="61">'Div 6'!$J$11:$J$28</definedName>
    <definedName name="OSRRefE11x_2" localSheetId="2">Summary!$J$11:$J$92</definedName>
    <definedName name="OSRRefE11x_3" localSheetId="48">'300'!$K$11:$K$71</definedName>
    <definedName name="OSRRefE11x_3" localSheetId="49">'300 &amp; 317'!$K$11:$K$85</definedName>
    <definedName name="OSRRefE11x_3" localSheetId="52">'307'!$K$11:$K$21</definedName>
    <definedName name="OSRRefE11x_3" localSheetId="53">'308'!$K$11:$K$31</definedName>
    <definedName name="OSRRefE11x_3" localSheetId="64">'309'!$K$11</definedName>
    <definedName name="OSRRefE11x_3" localSheetId="63">'310'!$K$11:$K$14</definedName>
    <definedName name="OSRRefE11x_3" localSheetId="71">'310 &amp; 491'!$K$11:$K$19</definedName>
    <definedName name="OSRRefE11x_3" localSheetId="54">'311'!$K$11:$K$30</definedName>
    <definedName name="OSRRefE11x_3" localSheetId="57">'315'!$K$11:$K$46</definedName>
    <definedName name="OSRRefE11x_3" localSheetId="60">'316'!$K$11:$K$20</definedName>
    <definedName name="OSRRefE11x_3" localSheetId="62">'317'!$K$11:$K$28</definedName>
    <definedName name="OSRRefE11x_3" localSheetId="66">'321'!$K$11:$K$12</definedName>
    <definedName name="OSRRefE11x_3" localSheetId="67">'322'!$K$11</definedName>
    <definedName name="OSRRefE11x_3" localSheetId="55">'324'!$K$11:$K$14</definedName>
    <definedName name="OSRRefE11x_3" localSheetId="58">'326'!$K$11:$K$29</definedName>
    <definedName name="OSRRefE11x_3" localSheetId="69">'327'!$K$11:$K$12</definedName>
    <definedName name="OSRRefE11x_3" localSheetId="51">'330'!$K$11:$K$21</definedName>
    <definedName name="OSRRefE11x_3" localSheetId="56">'331'!$K$11:$K$46</definedName>
    <definedName name="OSRRefE11x_3" localSheetId="59">'332'!$K$11:$K$20</definedName>
    <definedName name="OSRRefE11x_3" localSheetId="73">'405'!$K$11:$K$12</definedName>
    <definedName name="OSRRefE11x_3" localSheetId="76">'412'!$K$11</definedName>
    <definedName name="OSRRefE11x_3" localSheetId="77">'413'!$K$11:$K$12</definedName>
    <definedName name="OSRRefE11x_3" localSheetId="78">'414'!$K$11:$K$13</definedName>
    <definedName name="OSRRefE11x_3" localSheetId="79">'415'!$K$11:$K$14</definedName>
    <definedName name="OSRRefE11x_3" localSheetId="80">'418'!$K$11:$K$12</definedName>
    <definedName name="OSRRefE11x_3" localSheetId="81">'420'!$K$11</definedName>
    <definedName name="OSRRefE11x_3" localSheetId="88">'433'!$K$11:$K$14</definedName>
    <definedName name="OSRRefE11x_3" localSheetId="90">'444'!$K$11:$K$14</definedName>
    <definedName name="OSRRefE11x_3" localSheetId="91">'450'!$K$11:$K$12</definedName>
    <definedName name="OSRRefE11x_3" localSheetId="72">'491'!$K$11:$K$16</definedName>
    <definedName name="OSRRefE11x_3" localSheetId="86">'492'!$K$11:$K$14</definedName>
    <definedName name="OSRRefE11x_3" localSheetId="93">'501'!$K$11:$K$12</definedName>
    <definedName name="OSRRefE11x_3" localSheetId="47">'Div 3'!$K$11:$K$73</definedName>
    <definedName name="OSRRefE11x_3" localSheetId="70">'Div 4'!$K$11:$K$18</definedName>
    <definedName name="OSRRefE11x_3" localSheetId="92">'Div 5'!$K$11:$K$12</definedName>
    <definedName name="OSRRefE11x_3" localSheetId="61">'Div 6'!$K$11:$K$28</definedName>
    <definedName name="OSRRefE11x_3" localSheetId="2">Summary!$K$11:$K$92</definedName>
    <definedName name="OSRRefE11x_4" localSheetId="48">'300'!$L$11:$L$71</definedName>
    <definedName name="OSRRefE11x_4" localSheetId="49">'300 &amp; 317'!$L$11:$L$85</definedName>
    <definedName name="OSRRefE11x_4" localSheetId="52">'307'!$L$11:$L$21</definedName>
    <definedName name="OSRRefE11x_4" localSheetId="53">'308'!$L$11:$L$31</definedName>
    <definedName name="OSRRefE11x_4" localSheetId="64">'309'!$L$11</definedName>
    <definedName name="OSRRefE11x_4" localSheetId="63">'310'!$L$11:$L$14</definedName>
    <definedName name="OSRRefE11x_4" localSheetId="71">'310 &amp; 491'!$L$11:$L$19</definedName>
    <definedName name="OSRRefE11x_4" localSheetId="54">'311'!$L$11:$L$30</definedName>
    <definedName name="OSRRefE11x_4" localSheetId="57">'315'!$L$11:$L$46</definedName>
    <definedName name="OSRRefE11x_4" localSheetId="60">'316'!$L$11:$L$20</definedName>
    <definedName name="OSRRefE11x_4" localSheetId="62">'317'!$L$11:$L$28</definedName>
    <definedName name="OSRRefE11x_4" localSheetId="66">'321'!$L$11:$L$12</definedName>
    <definedName name="OSRRefE11x_4" localSheetId="67">'322'!$L$11</definedName>
    <definedName name="OSRRefE11x_4" localSheetId="55">'324'!$L$11:$L$14</definedName>
    <definedName name="OSRRefE11x_4" localSheetId="58">'326'!$L$11:$L$29</definedName>
    <definedName name="OSRRefE11x_4" localSheetId="69">'327'!$L$11:$L$12</definedName>
    <definedName name="OSRRefE11x_4" localSheetId="51">'330'!$L$11:$L$21</definedName>
    <definedName name="OSRRefE11x_4" localSheetId="56">'331'!$L$11:$L$46</definedName>
    <definedName name="OSRRefE11x_4" localSheetId="59">'332'!$L$11:$L$20</definedName>
    <definedName name="OSRRefE11x_4" localSheetId="73">'405'!$L$11:$L$12</definedName>
    <definedName name="OSRRefE11x_4" localSheetId="76">'412'!$L$11</definedName>
    <definedName name="OSRRefE11x_4" localSheetId="77">'413'!$L$11:$L$12</definedName>
    <definedName name="OSRRefE11x_4" localSheetId="78">'414'!$L$11:$L$13</definedName>
    <definedName name="OSRRefE11x_4" localSheetId="79">'415'!$L$11:$L$14</definedName>
    <definedName name="OSRRefE11x_4" localSheetId="80">'418'!$L$11:$L$12</definedName>
    <definedName name="OSRRefE11x_4" localSheetId="81">'420'!$L$11</definedName>
    <definedName name="OSRRefE11x_4" localSheetId="88">'433'!$L$11:$L$14</definedName>
    <definedName name="OSRRefE11x_4" localSheetId="90">'444'!$L$11:$L$14</definedName>
    <definedName name="OSRRefE11x_4" localSheetId="91">'450'!$L$11:$L$12</definedName>
    <definedName name="OSRRefE11x_4" localSheetId="72">'491'!$L$11:$L$16</definedName>
    <definedName name="OSRRefE11x_4" localSheetId="86">'492'!$L$11:$L$14</definedName>
    <definedName name="OSRRefE11x_4" localSheetId="93">'501'!$L$11:$L$12</definedName>
    <definedName name="OSRRefE11x_4" localSheetId="47">'Div 3'!$L$11:$L$73</definedName>
    <definedName name="OSRRefE11x_4" localSheetId="70">'Div 4'!$L$11:$L$18</definedName>
    <definedName name="OSRRefE11x_4" localSheetId="92">'Div 5'!$L$11:$L$12</definedName>
    <definedName name="OSRRefE11x_4" localSheetId="61">'Div 6'!$L$11:$L$28</definedName>
    <definedName name="OSRRefE11x_4" localSheetId="2">Summary!$L$11:$L$92</definedName>
    <definedName name="OSRRefE11x_5" localSheetId="48">'300'!$M$11:$M$71</definedName>
    <definedName name="OSRRefE11x_5" localSheetId="49">'300 &amp; 317'!$M$11:$M$85</definedName>
    <definedName name="OSRRefE11x_5" localSheetId="52">'307'!$M$11:$M$21</definedName>
    <definedName name="OSRRefE11x_5" localSheetId="53">'308'!$M$11:$M$31</definedName>
    <definedName name="OSRRefE11x_5" localSheetId="64">'309'!$M$11</definedName>
    <definedName name="OSRRefE11x_5" localSheetId="63">'310'!$M$11:$M$14</definedName>
    <definedName name="OSRRefE11x_5" localSheetId="71">'310 &amp; 491'!$M$11:$M$19</definedName>
    <definedName name="OSRRefE11x_5" localSheetId="54">'311'!$M$11:$M$30</definedName>
    <definedName name="OSRRefE11x_5" localSheetId="57">'315'!$M$11:$M$46</definedName>
    <definedName name="OSRRefE11x_5" localSheetId="60">'316'!$M$11:$M$20</definedName>
    <definedName name="OSRRefE11x_5" localSheetId="62">'317'!$M$11:$M$28</definedName>
    <definedName name="OSRRefE11x_5" localSheetId="66">'321'!$M$11:$M$12</definedName>
    <definedName name="OSRRefE11x_5" localSheetId="67">'322'!$M$11</definedName>
    <definedName name="OSRRefE11x_5" localSheetId="55">'324'!$M$11:$M$14</definedName>
    <definedName name="OSRRefE11x_5" localSheetId="58">'326'!$M$11:$M$29</definedName>
    <definedName name="OSRRefE11x_5" localSheetId="69">'327'!$M$11:$M$12</definedName>
    <definedName name="OSRRefE11x_5" localSheetId="51">'330'!$M$11:$M$21</definedName>
    <definedName name="OSRRefE11x_5" localSheetId="56">'331'!$M$11:$M$46</definedName>
    <definedName name="OSRRefE11x_5" localSheetId="59">'332'!$M$11:$M$20</definedName>
    <definedName name="OSRRefE11x_5" localSheetId="73">'405'!$M$11:$M$12</definedName>
    <definedName name="OSRRefE11x_5" localSheetId="76">'412'!$M$11</definedName>
    <definedName name="OSRRefE11x_5" localSheetId="77">'413'!$M$11:$M$12</definedName>
    <definedName name="OSRRefE11x_5" localSheetId="78">'414'!$M$11:$M$13</definedName>
    <definedName name="OSRRefE11x_5" localSheetId="79">'415'!$M$11:$M$14</definedName>
    <definedName name="OSRRefE11x_5" localSheetId="80">'418'!$M$11:$M$12</definedName>
    <definedName name="OSRRefE11x_5" localSheetId="81">'420'!$M$11</definedName>
    <definedName name="OSRRefE11x_5" localSheetId="88">'433'!$M$11:$M$14</definedName>
    <definedName name="OSRRefE11x_5" localSheetId="90">'444'!$M$11:$M$14</definedName>
    <definedName name="OSRRefE11x_5" localSheetId="91">'450'!$M$11:$M$12</definedName>
    <definedName name="OSRRefE11x_5" localSheetId="72">'491'!$M$11:$M$16</definedName>
    <definedName name="OSRRefE11x_5" localSheetId="86">'492'!$M$11:$M$14</definedName>
    <definedName name="OSRRefE11x_5" localSheetId="93">'501'!$M$11:$M$12</definedName>
    <definedName name="OSRRefE11x_5" localSheetId="47">'Div 3'!$M$11:$M$73</definedName>
    <definedName name="OSRRefE11x_5" localSheetId="70">'Div 4'!$M$11:$M$18</definedName>
    <definedName name="OSRRefE11x_5" localSheetId="92">'Div 5'!$M$11:$M$12</definedName>
    <definedName name="OSRRefE11x_5" localSheetId="61">'Div 6'!$M$11:$M$28</definedName>
    <definedName name="OSRRefE11x_5" localSheetId="2">Summary!$M$11:$M$92</definedName>
    <definedName name="OSRRefE11x_6" localSheetId="48">'300'!$N$11:$N$71</definedName>
    <definedName name="OSRRefE11x_6" localSheetId="49">'300 &amp; 317'!$N$11:$N$85</definedName>
    <definedName name="OSRRefE11x_6" localSheetId="52">'307'!$N$11:$N$21</definedName>
    <definedName name="OSRRefE11x_6" localSheetId="53">'308'!$N$11:$N$31</definedName>
    <definedName name="OSRRefE11x_6" localSheetId="64">'309'!$N$11</definedName>
    <definedName name="OSRRefE11x_6" localSheetId="63">'310'!$N$11:$N$14</definedName>
    <definedName name="OSRRefE11x_6" localSheetId="71">'310 &amp; 491'!$N$11:$N$19</definedName>
    <definedName name="OSRRefE11x_6" localSheetId="54">'311'!$N$11:$N$30</definedName>
    <definedName name="OSRRefE11x_6" localSheetId="57">'315'!$N$11:$N$46</definedName>
    <definedName name="OSRRefE11x_6" localSheetId="60">'316'!$N$11:$N$20</definedName>
    <definedName name="OSRRefE11x_6" localSheetId="62">'317'!$N$11:$N$28</definedName>
    <definedName name="OSRRefE11x_6" localSheetId="66">'321'!$N$11:$N$12</definedName>
    <definedName name="OSRRefE11x_6" localSheetId="67">'322'!$N$11</definedName>
    <definedName name="OSRRefE11x_6" localSheetId="55">'324'!$N$11:$N$14</definedName>
    <definedName name="OSRRefE11x_6" localSheetId="58">'326'!$N$11:$N$29</definedName>
    <definedName name="OSRRefE11x_6" localSheetId="69">'327'!$N$11:$N$12</definedName>
    <definedName name="OSRRefE11x_6" localSheetId="51">'330'!$N$11:$N$21</definedName>
    <definedName name="OSRRefE11x_6" localSheetId="56">'331'!$N$11:$N$46</definedName>
    <definedName name="OSRRefE11x_6" localSheetId="59">'332'!$N$11:$N$20</definedName>
    <definedName name="OSRRefE11x_6" localSheetId="73">'405'!$N$11:$N$12</definedName>
    <definedName name="OSRRefE11x_6" localSheetId="76">'412'!$N$11</definedName>
    <definedName name="OSRRefE11x_6" localSheetId="77">'413'!$N$11:$N$12</definedName>
    <definedName name="OSRRefE11x_6" localSheetId="78">'414'!$N$11:$N$13</definedName>
    <definedName name="OSRRefE11x_6" localSheetId="79">'415'!$N$11:$N$14</definedName>
    <definedName name="OSRRefE11x_6" localSheetId="80">'418'!$N$11:$N$12</definedName>
    <definedName name="OSRRefE11x_6" localSheetId="81">'420'!$N$11</definedName>
    <definedName name="OSRRefE11x_6" localSheetId="88">'433'!$N$11:$N$14</definedName>
    <definedName name="OSRRefE11x_6" localSheetId="90">'444'!$N$11:$N$14</definedName>
    <definedName name="OSRRefE11x_6" localSheetId="91">'450'!$N$11:$N$12</definedName>
    <definedName name="OSRRefE11x_6" localSheetId="72">'491'!$N$11:$N$16</definedName>
    <definedName name="OSRRefE11x_6" localSheetId="86">'492'!$N$11:$N$14</definedName>
    <definedName name="OSRRefE11x_6" localSheetId="93">'501'!$N$11:$N$12</definedName>
    <definedName name="OSRRefE11x_6" localSheetId="47">'Div 3'!$N$11:$N$73</definedName>
    <definedName name="OSRRefE11x_6" localSheetId="70">'Div 4'!$N$11:$N$18</definedName>
    <definedName name="OSRRefE11x_6" localSheetId="92">'Div 5'!$N$11:$N$12</definedName>
    <definedName name="OSRRefE11x_6" localSheetId="61">'Div 6'!$N$11:$N$28</definedName>
    <definedName name="OSRRefE11x_6" localSheetId="2">Summary!$N$11:$N$92</definedName>
    <definedName name="OSRRefE11x_7" localSheetId="48">'300'!$O$11:$O$71</definedName>
    <definedName name="OSRRefE11x_7" localSheetId="49">'300 &amp; 317'!$O$11:$O$85</definedName>
    <definedName name="OSRRefE11x_7" localSheetId="52">'307'!$O$11:$O$21</definedName>
    <definedName name="OSRRefE11x_7" localSheetId="53">'308'!$O$11:$O$31</definedName>
    <definedName name="OSRRefE11x_7" localSheetId="64">'309'!$O$11</definedName>
    <definedName name="OSRRefE11x_7" localSheetId="63">'310'!$O$11:$O$14</definedName>
    <definedName name="OSRRefE11x_7" localSheetId="71">'310 &amp; 491'!$O$11:$O$19</definedName>
    <definedName name="OSRRefE11x_7" localSheetId="54">'311'!$O$11:$O$30</definedName>
    <definedName name="OSRRefE11x_7" localSheetId="57">'315'!$O$11:$O$46</definedName>
    <definedName name="OSRRefE11x_7" localSheetId="60">'316'!$O$11:$O$20</definedName>
    <definedName name="OSRRefE11x_7" localSheetId="62">'317'!$O$11:$O$28</definedName>
    <definedName name="OSRRefE11x_7" localSheetId="66">'321'!$O$11:$O$12</definedName>
    <definedName name="OSRRefE11x_7" localSheetId="67">'322'!$O$11</definedName>
    <definedName name="OSRRefE11x_7" localSheetId="55">'324'!$O$11:$O$14</definedName>
    <definedName name="OSRRefE11x_7" localSheetId="58">'326'!$O$11:$O$29</definedName>
    <definedName name="OSRRefE11x_7" localSheetId="69">'327'!$O$11:$O$12</definedName>
    <definedName name="OSRRefE11x_7" localSheetId="51">'330'!$O$11:$O$21</definedName>
    <definedName name="OSRRefE11x_7" localSheetId="56">'331'!$O$11:$O$46</definedName>
    <definedName name="OSRRefE11x_7" localSheetId="59">'332'!$O$11:$O$20</definedName>
    <definedName name="OSRRefE11x_7" localSheetId="73">'405'!$O$11:$O$12</definedName>
    <definedName name="OSRRefE11x_7" localSheetId="76">'412'!$O$11</definedName>
    <definedName name="OSRRefE11x_7" localSheetId="77">'413'!$O$11:$O$12</definedName>
    <definedName name="OSRRefE11x_7" localSheetId="78">'414'!$O$11:$O$13</definedName>
    <definedName name="OSRRefE11x_7" localSheetId="79">'415'!$O$11:$O$14</definedName>
    <definedName name="OSRRefE11x_7" localSheetId="80">'418'!$O$11:$O$12</definedName>
    <definedName name="OSRRefE11x_7" localSheetId="81">'420'!$O$11</definedName>
    <definedName name="OSRRefE11x_7" localSheetId="88">'433'!$O$11:$O$14</definedName>
    <definedName name="OSRRefE11x_7" localSheetId="90">'444'!$O$11:$O$14</definedName>
    <definedName name="OSRRefE11x_7" localSheetId="91">'450'!$O$11:$O$12</definedName>
    <definedName name="OSRRefE11x_7" localSheetId="72">'491'!$O$11:$O$16</definedName>
    <definedName name="OSRRefE11x_7" localSheetId="86">'492'!$O$11:$O$14</definedName>
    <definedName name="OSRRefE11x_7" localSheetId="93">'501'!$O$11:$O$12</definedName>
    <definedName name="OSRRefE11x_7" localSheetId="47">'Div 3'!$O$11:$O$73</definedName>
    <definedName name="OSRRefE11x_7" localSheetId="70">'Div 4'!$O$11:$O$18</definedName>
    <definedName name="OSRRefE11x_7" localSheetId="92">'Div 5'!$O$11:$O$12</definedName>
    <definedName name="OSRRefE11x_7" localSheetId="61">'Div 6'!$O$11:$O$28</definedName>
    <definedName name="OSRRefE11x_7" localSheetId="2">Summary!$O$11:$O$92</definedName>
    <definedName name="OSRRefE14_0x" localSheetId="48">'300'!$H$74:$O$74</definedName>
    <definedName name="OSRRefE14_0x" localSheetId="49">'300 &amp; 317'!$H$88:$O$88</definedName>
    <definedName name="OSRRefE14_0x" localSheetId="52">'307'!$H$24:$O$24</definedName>
    <definedName name="OSRRefE14_0x" localSheetId="53">'308'!$H$34:$O$34</definedName>
    <definedName name="OSRRefE14_0x" localSheetId="64">'309'!$H$14:$O$14</definedName>
    <definedName name="OSRRefE14_0x" localSheetId="63">'310'!$H$17:$O$17</definedName>
    <definedName name="OSRRefE14_0x" localSheetId="71">'310 &amp; 491'!$H$22:$O$22</definedName>
    <definedName name="OSRRefE14_0x" localSheetId="54">'311'!$H$33:$O$33</definedName>
    <definedName name="OSRRefE14_0x" localSheetId="65">'313'!$H$13:$O$13</definedName>
    <definedName name="OSRRefE14_0x" localSheetId="57">'315'!$H$49:$O$49</definedName>
    <definedName name="OSRRefE14_0x" localSheetId="62">'317'!$H$31:$O$31</definedName>
    <definedName name="OSRRefE14_0x" localSheetId="66">'321'!$H$15:$O$15</definedName>
    <definedName name="OSRRefE14_0x" localSheetId="67">'322'!$H$14:$O$14</definedName>
    <definedName name="OSRRefE14_0x" localSheetId="55">'324'!$H$17:$O$17</definedName>
    <definedName name="OSRRefE14_0x" localSheetId="68">'325'!$H$13:$O$13</definedName>
    <definedName name="OSRRefE14_0x" localSheetId="58">'326'!$H$32:$O$32</definedName>
    <definedName name="OSRRefE14_0x" localSheetId="69">'327'!$H$15:$O$15</definedName>
    <definedName name="OSRRefE14_0x" localSheetId="51">'330'!$H$24:$O$24</definedName>
    <definedName name="OSRRefE14_0x" localSheetId="56">'331'!$H$49:$O$49</definedName>
    <definedName name="OSRRefE14_0x" localSheetId="73">'405'!$H$15:$O$15</definedName>
    <definedName name="OSRRefE14_0x" localSheetId="76">'412'!$H$14:$O$14</definedName>
    <definedName name="OSRRefE14_0x" localSheetId="77">'413'!$H$15:$O$15</definedName>
    <definedName name="OSRRefE14_0x" localSheetId="78">'414'!$H$16:$O$16</definedName>
    <definedName name="OSRRefE14_0x" localSheetId="79">'415'!$H$17:$O$17</definedName>
    <definedName name="OSRRefE14_0x" localSheetId="80">'418'!$H$15:$O$15</definedName>
    <definedName name="OSRRefE14_0x" localSheetId="88">'433'!$H$17:$O$17</definedName>
    <definedName name="OSRRefE14_0x" localSheetId="90">'444'!$H$17:$O$17</definedName>
    <definedName name="OSRRefE14_0x" localSheetId="91">'450'!$H$15:$O$15</definedName>
    <definedName name="OSRRefE14_0x" localSheetId="72">'491'!$H$19:$O$19</definedName>
    <definedName name="OSRRefE14_0x" localSheetId="86">'492'!$H$17:$O$17</definedName>
    <definedName name="OSRRefE14_0x" localSheetId="47">'Div 3'!$H$76:$O$76</definedName>
    <definedName name="OSRRefE14_0x" localSheetId="70">'Div 4'!$H$21:$O$21</definedName>
    <definedName name="OSRRefE14_0x" localSheetId="61">'Div 6'!$H$31:$O$31</definedName>
    <definedName name="OSRRefE14_0x" localSheetId="2">Summary!$H$95:$O$95</definedName>
    <definedName name="OSRRefE14_10x" localSheetId="48">'300'!$H$84:$O$84</definedName>
    <definedName name="OSRRefE14_10x" localSheetId="49">'300 &amp; 317'!$H$98:$O$98</definedName>
    <definedName name="OSRRefE14_10x" localSheetId="53">'308'!$H$44:$O$44</definedName>
    <definedName name="OSRRefE14_10x" localSheetId="54">'311'!$H$43:$O$43</definedName>
    <definedName name="OSRRefE14_10x" localSheetId="57">'315'!$H$59:$O$59</definedName>
    <definedName name="OSRRefE14_10x" localSheetId="62">'317'!$H$41:$O$41</definedName>
    <definedName name="OSRRefE14_10x" localSheetId="56">'331'!$H$59:$O$59</definedName>
    <definedName name="OSRRefE14_10x" localSheetId="47">'Div 3'!$H$86:$O$86</definedName>
    <definedName name="OSRRefE14_10x" localSheetId="61">'Div 6'!$H$41:$O$41</definedName>
    <definedName name="OSRRefE14_10x" localSheetId="2">Summary!$H$105:$O$105</definedName>
    <definedName name="OSRRefE14_11x" localSheetId="48">'300'!$H$85:$O$85</definedName>
    <definedName name="OSRRefE14_11x" localSheetId="49">'300 &amp; 317'!$H$99:$O$99</definedName>
    <definedName name="OSRRefE14_11x" localSheetId="53">'308'!$H$45:$O$45</definedName>
    <definedName name="OSRRefE14_11x" localSheetId="54">'311'!$H$44:$O$44</definedName>
    <definedName name="OSRRefE14_11x" localSheetId="57">'315'!$H$60:$O$60</definedName>
    <definedName name="OSRRefE14_11x" localSheetId="56">'331'!$H$60:$O$60</definedName>
    <definedName name="OSRRefE14_11x" localSheetId="47">'Div 3'!$H$87:$O$87</definedName>
    <definedName name="OSRRefE14_11x" localSheetId="2">Summary!$H$106:$O$106</definedName>
    <definedName name="OSRRefE14_12x" localSheetId="48">'300'!$H$86:$O$86</definedName>
    <definedName name="OSRRefE14_12x" localSheetId="49">'300 &amp; 317'!$H$100:$O$100</definedName>
    <definedName name="OSRRefE14_12x" localSheetId="53">'308'!$H$46:$O$46</definedName>
    <definedName name="OSRRefE14_12x" localSheetId="54">'311'!$H$45:$O$45</definedName>
    <definedName name="OSRRefE14_12x" localSheetId="57">'315'!$H$61:$O$61</definedName>
    <definedName name="OSRRefE14_12x" localSheetId="56">'331'!$H$61:$O$61</definedName>
    <definedName name="OSRRefE14_12x" localSheetId="47">'Div 3'!$H$88:$O$88</definedName>
    <definedName name="OSRRefE14_12x" localSheetId="2">Summary!$H$107:$O$107</definedName>
    <definedName name="OSRRefE14_13x" localSheetId="48">'300'!$H$87:$O$87</definedName>
    <definedName name="OSRRefE14_13x" localSheetId="49">'300 &amp; 317'!$H$101:$O$101</definedName>
    <definedName name="OSRRefE14_13x" localSheetId="57">'315'!$H$62:$O$62</definedName>
    <definedName name="OSRRefE14_13x" localSheetId="56">'331'!$H$62:$O$62</definedName>
    <definedName name="OSRRefE14_13x" localSheetId="47">'Div 3'!$H$89:$O$89</definedName>
    <definedName name="OSRRefE14_13x" localSheetId="2">Summary!$H$108:$O$108</definedName>
    <definedName name="OSRRefE14_14x" localSheetId="48">'300'!$H$88:$O$88</definedName>
    <definedName name="OSRRefE14_14x" localSheetId="49">'300 &amp; 317'!$H$102:$O$102</definedName>
    <definedName name="OSRRefE14_14x" localSheetId="57">'315'!$H$63:$O$63</definedName>
    <definedName name="OSRRefE14_14x" localSheetId="56">'331'!$H$63:$O$63</definedName>
    <definedName name="OSRRefE14_14x" localSheetId="47">'Div 3'!$H$90:$O$90</definedName>
    <definedName name="OSRRefE14_14x" localSheetId="2">Summary!$H$109:$O$109</definedName>
    <definedName name="OSRRefE14_15x" localSheetId="48">'300'!$H$89:$O$89</definedName>
    <definedName name="OSRRefE14_15x" localSheetId="49">'300 &amp; 317'!$H$103:$O$103</definedName>
    <definedName name="OSRRefE14_15x" localSheetId="57">'315'!$H$64:$O$64</definedName>
    <definedName name="OSRRefE14_15x" localSheetId="56">'331'!$H$64:$O$64</definedName>
    <definedName name="OSRRefE14_15x" localSheetId="47">'Div 3'!$H$91:$O$91</definedName>
    <definedName name="OSRRefE14_15x" localSheetId="2">Summary!$H$110:$O$110</definedName>
    <definedName name="OSRRefE14_16x" localSheetId="48">'300'!$H$90:$O$90</definedName>
    <definedName name="OSRRefE14_16x" localSheetId="49">'300 &amp; 317'!$H$104:$O$104</definedName>
    <definedName name="OSRRefE14_16x" localSheetId="57">'315'!$H$65:$O$65</definedName>
    <definedName name="OSRRefE14_16x" localSheetId="56">'331'!$H$65:$O$65</definedName>
    <definedName name="OSRRefE14_16x" localSheetId="47">'Div 3'!$H$92:$O$92</definedName>
    <definedName name="OSRRefE14_16x" localSheetId="2">Summary!$H$111:$O$111</definedName>
    <definedName name="OSRRefE14_17x" localSheetId="48">'300'!$H$91:$O$91</definedName>
    <definedName name="OSRRefE14_17x" localSheetId="49">'300 &amp; 317'!$H$105:$O$105</definedName>
    <definedName name="OSRRefE14_17x" localSheetId="57">'315'!$H$66:$O$66</definedName>
    <definedName name="OSRRefE14_17x" localSheetId="56">'331'!$H$66:$O$66</definedName>
    <definedName name="OSRRefE14_17x" localSheetId="47">'Div 3'!$H$93:$O$93</definedName>
    <definedName name="OSRRefE14_17x" localSheetId="2">Summary!$H$112:$O$112</definedName>
    <definedName name="OSRRefE14_18x" localSheetId="48">'300'!$H$92:$O$92</definedName>
    <definedName name="OSRRefE14_18x" localSheetId="49">'300 &amp; 317'!$H$106:$O$106</definedName>
    <definedName name="OSRRefE14_18x" localSheetId="57">'315'!$H$67:$O$67</definedName>
    <definedName name="OSRRefE14_18x" localSheetId="56">'331'!$H$67:$O$67</definedName>
    <definedName name="OSRRefE14_18x" localSheetId="47">'Div 3'!$H$94:$O$94</definedName>
    <definedName name="OSRRefE14_18x" localSheetId="2">Summary!$H$113:$O$113</definedName>
    <definedName name="OSRRefE14_19x" localSheetId="48">'300'!$H$93:$O$93</definedName>
    <definedName name="OSRRefE14_19x" localSheetId="49">'300 &amp; 317'!$H$107:$O$107</definedName>
    <definedName name="OSRRefE14_19x" localSheetId="57">'315'!$H$68:$O$68</definedName>
    <definedName name="OSRRefE14_19x" localSheetId="56">'331'!$H$68:$O$68</definedName>
    <definedName name="OSRRefE14_19x" localSheetId="47">'Div 3'!$H$95:$O$95</definedName>
    <definedName name="OSRRefE14_19x" localSheetId="2">Summary!$H$114:$O$114</definedName>
    <definedName name="OSRRefE14_1x" localSheetId="48">'300'!$H$75:$O$75</definedName>
    <definedName name="OSRRefE14_1x" localSheetId="49">'300 &amp; 317'!$H$89:$O$89</definedName>
    <definedName name="OSRRefE14_1x" localSheetId="52">'307'!$H$25:$O$25</definedName>
    <definedName name="OSRRefE14_1x" localSheetId="53">'308'!$H$35:$O$35</definedName>
    <definedName name="OSRRefE14_1x" localSheetId="63">'310'!$H$18:$O$18</definedName>
    <definedName name="OSRRefE14_1x" localSheetId="71">'310 &amp; 491'!$H$23:$O$23</definedName>
    <definedName name="OSRRefE14_1x" localSheetId="54">'311'!$H$34:$O$34</definedName>
    <definedName name="OSRRefE14_1x" localSheetId="57">'315'!$H$50:$O$50</definedName>
    <definedName name="OSRRefE14_1x" localSheetId="62">'317'!$H$32:$O$32</definedName>
    <definedName name="OSRRefE14_1x" localSheetId="67">'322'!$H$15:$O$15</definedName>
    <definedName name="OSRRefE14_1x" localSheetId="55">'324'!$H$18:$O$18</definedName>
    <definedName name="OSRRefE14_1x" localSheetId="68">'325'!$H$14:$O$14</definedName>
    <definedName name="OSRRefE14_1x" localSheetId="58">'326'!$H$33:$O$33</definedName>
    <definedName name="OSRRefE14_1x" localSheetId="69">'327'!$H$16:$O$16</definedName>
    <definedName name="OSRRefE14_1x" localSheetId="51">'330'!$H$25:$O$25</definedName>
    <definedName name="OSRRefE14_1x" localSheetId="56">'331'!$H$50:$O$50</definedName>
    <definedName name="OSRRefE14_1x" localSheetId="79">'415'!$H$18:$O$18</definedName>
    <definedName name="OSRRefE14_1x" localSheetId="88">'433'!$H$18:$O$18</definedName>
    <definedName name="OSRRefE14_1x" localSheetId="90">'444'!$H$18:$O$18</definedName>
    <definedName name="OSRRefE14_1x" localSheetId="72">'491'!$H$20:$O$20</definedName>
    <definedName name="OSRRefE14_1x" localSheetId="86">'492'!$H$18:$O$18</definedName>
    <definedName name="OSRRefE14_1x" localSheetId="47">'Div 3'!$H$77:$O$77</definedName>
    <definedName name="OSRRefE14_1x" localSheetId="70">'Div 4'!$H$22:$O$22</definedName>
    <definedName name="OSRRefE14_1x" localSheetId="61">'Div 6'!$H$32:$O$32</definedName>
    <definedName name="OSRRefE14_1x" localSheetId="2">Summary!$H$96:$O$96</definedName>
    <definedName name="OSRRefE14_20x" localSheetId="48">'300'!$H$94:$O$94</definedName>
    <definedName name="OSRRefE14_20x" localSheetId="49">'300 &amp; 317'!$H$108:$O$108</definedName>
    <definedName name="OSRRefE14_20x" localSheetId="57">'315'!$H$69:$O$69</definedName>
    <definedName name="OSRRefE14_20x" localSheetId="56">'331'!$H$69:$O$69</definedName>
    <definedName name="OSRRefE14_20x" localSheetId="47">'Div 3'!$H$96:$O$96</definedName>
    <definedName name="OSRRefE14_20x" localSheetId="2">Summary!$H$115:$O$115</definedName>
    <definedName name="OSRRefE14_21x" localSheetId="48">'300'!$H$95:$O$95</definedName>
    <definedName name="OSRRefE14_21x" localSheetId="49">'300 &amp; 317'!$H$109:$O$109</definedName>
    <definedName name="OSRRefE14_21x" localSheetId="47">'Div 3'!$H$97:$O$97</definedName>
    <definedName name="OSRRefE14_21x" localSheetId="2">Summary!$H$116:$O$116</definedName>
    <definedName name="OSRRefE14_22x" localSheetId="48">'300'!$H$96:$O$96</definedName>
    <definedName name="OSRRefE14_22x" localSheetId="49">'300 &amp; 317'!$H$110:$O$110</definedName>
    <definedName name="OSRRefE14_22x" localSheetId="47">'Div 3'!$H$98:$O$98</definedName>
    <definedName name="OSRRefE14_22x" localSheetId="2">Summary!$H$117:$O$117</definedName>
    <definedName name="OSRRefE14_23x" localSheetId="48">'300'!$H$97:$O$97</definedName>
    <definedName name="OSRRefE14_23x" localSheetId="49">'300 &amp; 317'!$H$111:$O$111</definedName>
    <definedName name="OSRRefE14_23x" localSheetId="47">'Div 3'!$H$99:$O$99</definedName>
    <definedName name="OSRRefE14_23x" localSheetId="2">Summary!$H$118:$O$118</definedName>
    <definedName name="OSRRefE14_24x" localSheetId="48">'300'!$H$98:$O$98</definedName>
    <definedName name="OSRRefE14_24x" localSheetId="49">'300 &amp; 317'!$H$112:$O$112</definedName>
    <definedName name="OSRRefE14_24x" localSheetId="47">'Div 3'!$H$100:$O$100</definedName>
    <definedName name="OSRRefE14_24x" localSheetId="2">Summary!$H$119:$O$119</definedName>
    <definedName name="OSRRefE14_25x" localSheetId="48">'300'!$H$99:$O$99</definedName>
    <definedName name="OSRRefE14_25x" localSheetId="49">'300 &amp; 317'!$H$113:$O$113</definedName>
    <definedName name="OSRRefE14_25x" localSheetId="47">'Div 3'!$H$101:$O$101</definedName>
    <definedName name="OSRRefE14_25x" localSheetId="2">Summary!$H$120:$O$120</definedName>
    <definedName name="OSRRefE14_26x" localSheetId="48">'300'!$H$100:$O$100</definedName>
    <definedName name="OSRRefE14_26x" localSheetId="49">'300 &amp; 317'!$H$114:$O$114</definedName>
    <definedName name="OSRRefE14_26x" localSheetId="47">'Div 3'!$H$102:$O$102</definedName>
    <definedName name="OSRRefE14_26x" localSheetId="2">Summary!$H$121:$O$121</definedName>
    <definedName name="OSRRefE14_27x" localSheetId="48">'300'!$H$101:$O$101</definedName>
    <definedName name="OSRRefE14_27x" localSheetId="49">'300 &amp; 317'!$H$115:$O$115</definedName>
    <definedName name="OSRRefE14_27x" localSheetId="47">'Div 3'!$H$103:$O$103</definedName>
    <definedName name="OSRRefE14_27x" localSheetId="2">Summary!$H$122:$O$122</definedName>
    <definedName name="OSRRefE14_28x" localSheetId="48">'300'!$H$102:$O$102</definedName>
    <definedName name="OSRRefE14_28x" localSheetId="49">'300 &amp; 317'!$H$116:$O$116</definedName>
    <definedName name="OSRRefE14_28x" localSheetId="47">'Div 3'!$H$104:$O$104</definedName>
    <definedName name="OSRRefE14_28x" localSheetId="2">Summary!$H$123:$O$123</definedName>
    <definedName name="OSRRefE14_29x" localSheetId="48">'300'!$H$103:$O$103</definedName>
    <definedName name="OSRRefE14_29x" localSheetId="49">'300 &amp; 317'!$H$117:$O$117</definedName>
    <definedName name="OSRRefE14_29x" localSheetId="47">'Div 3'!$H$105:$O$105</definedName>
    <definedName name="OSRRefE14_29x" localSheetId="2">Summary!$H$124:$O$124</definedName>
    <definedName name="OSRRefE14_2x" localSheetId="48">'300'!$H$76:$O$76</definedName>
    <definedName name="OSRRefE14_2x" localSheetId="49">'300 &amp; 317'!$H$90:$O$90</definedName>
    <definedName name="OSRRefE14_2x" localSheetId="52">'307'!$H$26:$O$26</definedName>
    <definedName name="OSRRefE14_2x" localSheetId="53">'308'!$H$36:$O$36</definedName>
    <definedName name="OSRRefE14_2x" localSheetId="63">'310'!$H$19:$O$19</definedName>
    <definedName name="OSRRefE14_2x" localSheetId="71">'310 &amp; 491'!$H$24:$O$24</definedName>
    <definedName name="OSRRefE14_2x" localSheetId="54">'311'!$H$35:$O$35</definedName>
    <definedName name="OSRRefE14_2x" localSheetId="57">'315'!$H$51:$O$51</definedName>
    <definedName name="OSRRefE14_2x" localSheetId="62">'317'!$H$33:$O$33</definedName>
    <definedName name="OSRRefE14_2x" localSheetId="55">'324'!$H$19:$O$19</definedName>
    <definedName name="OSRRefE14_2x" localSheetId="58">'326'!$H$34:$O$34</definedName>
    <definedName name="OSRRefE14_2x" localSheetId="51">'330'!$H$26:$O$26</definedName>
    <definedName name="OSRRefE14_2x" localSheetId="56">'331'!$H$51:$O$51</definedName>
    <definedName name="OSRRefE14_2x" localSheetId="79">'415'!$H$19:$O$19</definedName>
    <definedName name="OSRRefE14_2x" localSheetId="88">'433'!$H$19:$O$19</definedName>
    <definedName name="OSRRefE14_2x" localSheetId="90">'444'!$H$19:$O$19</definedName>
    <definedName name="OSRRefE14_2x" localSheetId="72">'491'!$H$21:$O$21</definedName>
    <definedName name="OSRRefE14_2x" localSheetId="86">'492'!$H$19:$O$19</definedName>
    <definedName name="OSRRefE14_2x" localSheetId="47">'Div 3'!$H$78:$O$78</definedName>
    <definedName name="OSRRefE14_2x" localSheetId="70">'Div 4'!$H$23:$O$23</definedName>
    <definedName name="OSRRefE14_2x" localSheetId="61">'Div 6'!$H$33:$O$33</definedName>
    <definedName name="OSRRefE14_2x" localSheetId="2">Summary!$H$97:$O$97</definedName>
    <definedName name="OSRRefE14_30x" localSheetId="48">'300'!$H$104:$O$104</definedName>
    <definedName name="OSRRefE14_30x" localSheetId="49">'300 &amp; 317'!$H$118:$O$118</definedName>
    <definedName name="OSRRefE14_30x" localSheetId="47">'Div 3'!$H$106:$O$106</definedName>
    <definedName name="OSRRefE14_30x" localSheetId="2">Summary!$H$125:$O$125</definedName>
    <definedName name="OSRRefE14_31x" localSheetId="49">'300 &amp; 317'!$H$119:$O$119</definedName>
    <definedName name="OSRRefE14_31x" localSheetId="47">'Div 3'!$H$107:$O$107</definedName>
    <definedName name="OSRRefE14_31x" localSheetId="2">Summary!$H$126:$O$126</definedName>
    <definedName name="OSRRefE14_32x" localSheetId="49">'300 &amp; 317'!$H$120:$O$120</definedName>
    <definedName name="OSRRefE14_32x" localSheetId="47">'Div 3'!$H$108:$O$108</definedName>
    <definedName name="OSRRefE14_32x" localSheetId="2">Summary!$H$127:$O$127</definedName>
    <definedName name="OSRRefE14_33x" localSheetId="49">'300 &amp; 317'!$H$121:$O$121</definedName>
    <definedName name="OSRRefE14_33x" localSheetId="2">Summary!$H$128:$O$128</definedName>
    <definedName name="OSRRefE14_34x" localSheetId="49">'300 &amp; 317'!$H$122:$O$122</definedName>
    <definedName name="OSRRefE14_34x" localSheetId="2">Summary!$H$129:$O$129</definedName>
    <definedName name="OSRRefE14_35x" localSheetId="49">'300 &amp; 317'!$H$123:$O$123</definedName>
    <definedName name="OSRRefE14_35x" localSheetId="2">Summary!$H$130:$O$130</definedName>
    <definedName name="OSRRefE14_36x" localSheetId="49">'300 &amp; 317'!$H$124:$O$124</definedName>
    <definedName name="OSRRefE14_36x" localSheetId="2">Summary!$H$131:$O$131</definedName>
    <definedName name="OSRRefE14_37x" localSheetId="49">'300 &amp; 317'!$H$125:$O$125</definedName>
    <definedName name="OSRRefE14_37x" localSheetId="2">Summary!$H$132:$O$132</definedName>
    <definedName name="OSRRefE14_38x" localSheetId="49">'300 &amp; 317'!$H$126:$O$126</definedName>
    <definedName name="OSRRefE14_38x" localSheetId="2">Summary!$H$133:$O$133</definedName>
    <definedName name="OSRRefE14_39x" localSheetId="2">Summary!$H$134:$O$134</definedName>
    <definedName name="OSRRefE14_3x" localSheetId="48">'300'!$H$77:$O$77</definedName>
    <definedName name="OSRRefE14_3x" localSheetId="49">'300 &amp; 317'!$H$91:$O$91</definedName>
    <definedName name="OSRRefE14_3x" localSheetId="52">'307'!$H$27:$O$27</definedName>
    <definedName name="OSRRefE14_3x" localSheetId="53">'308'!$H$37:$O$37</definedName>
    <definedName name="OSRRefE14_3x" localSheetId="54">'311'!$H$36:$O$36</definedName>
    <definedName name="OSRRefE14_3x" localSheetId="57">'315'!$H$52:$O$52</definedName>
    <definedName name="OSRRefE14_3x" localSheetId="62">'317'!$H$34:$O$34</definedName>
    <definedName name="OSRRefE14_3x" localSheetId="58">'326'!$H$35:$O$35</definedName>
    <definedName name="OSRRefE14_3x" localSheetId="51">'330'!$H$27:$O$27</definedName>
    <definedName name="OSRRefE14_3x" localSheetId="56">'331'!$H$52:$O$52</definedName>
    <definedName name="OSRRefE14_3x" localSheetId="47">'Div 3'!$H$79:$O$79</definedName>
    <definedName name="OSRRefE14_3x" localSheetId="61">'Div 6'!$H$34:$O$34</definedName>
    <definedName name="OSRRefE14_3x" localSheetId="2">Summary!$H$98:$O$98</definedName>
    <definedName name="OSRRefE14_40x" localSheetId="2">Summary!$H$135:$O$135</definedName>
    <definedName name="OSRRefE14_4x" localSheetId="48">'300'!$H$78:$O$78</definedName>
    <definedName name="OSRRefE14_4x" localSheetId="49">'300 &amp; 317'!$H$92:$O$92</definedName>
    <definedName name="OSRRefE14_4x" localSheetId="52">'307'!$H$28:$O$28</definedName>
    <definedName name="OSRRefE14_4x" localSheetId="53">'308'!$H$38:$O$38</definedName>
    <definedName name="OSRRefE14_4x" localSheetId="54">'311'!$H$37:$O$37</definedName>
    <definedName name="OSRRefE14_4x" localSheetId="57">'315'!$H$53:$O$53</definedName>
    <definedName name="OSRRefE14_4x" localSheetId="62">'317'!$H$35:$O$35</definedName>
    <definedName name="OSRRefE14_4x" localSheetId="58">'326'!$H$36:$O$36</definedName>
    <definedName name="OSRRefE14_4x" localSheetId="51">'330'!$H$28:$O$28</definedName>
    <definedName name="OSRRefE14_4x" localSheetId="56">'331'!$H$53:$O$53</definedName>
    <definedName name="OSRRefE14_4x" localSheetId="47">'Div 3'!$H$80:$O$80</definedName>
    <definedName name="OSRRefE14_4x" localSheetId="61">'Div 6'!$H$35:$O$35</definedName>
    <definedName name="OSRRefE14_4x" localSheetId="2">Summary!$H$99:$O$99</definedName>
    <definedName name="OSRRefE14_5x" localSheetId="48">'300'!$H$79:$O$79</definedName>
    <definedName name="OSRRefE14_5x" localSheetId="49">'300 &amp; 317'!$H$93:$O$93</definedName>
    <definedName name="OSRRefE14_5x" localSheetId="52">'307'!$H$29:$O$29</definedName>
    <definedName name="OSRRefE14_5x" localSheetId="53">'308'!$H$39:$O$39</definedName>
    <definedName name="OSRRefE14_5x" localSheetId="54">'311'!$H$38:$O$38</definedName>
    <definedName name="OSRRefE14_5x" localSheetId="57">'315'!$H$54:$O$54</definedName>
    <definedName name="OSRRefE14_5x" localSheetId="62">'317'!$H$36:$O$36</definedName>
    <definedName name="OSRRefE14_5x" localSheetId="51">'330'!$H$29:$O$29</definedName>
    <definedName name="OSRRefE14_5x" localSheetId="56">'331'!$H$54:$O$54</definedName>
    <definedName name="OSRRefE14_5x" localSheetId="47">'Div 3'!$H$81:$O$81</definedName>
    <definedName name="OSRRefE14_5x" localSheetId="61">'Div 6'!$H$36:$O$36</definedName>
    <definedName name="OSRRefE14_5x" localSheetId="2">Summary!$H$100:$O$100</definedName>
    <definedName name="OSRRefE14_6x" localSheetId="48">'300'!$H$80:$O$80</definedName>
    <definedName name="OSRRefE14_6x" localSheetId="49">'300 &amp; 317'!$H$94:$O$94</definedName>
    <definedName name="OSRRefE14_6x" localSheetId="52">'307'!$H$30:$O$30</definedName>
    <definedName name="OSRRefE14_6x" localSheetId="53">'308'!$H$40:$O$40</definedName>
    <definedName name="OSRRefE14_6x" localSheetId="54">'311'!$H$39:$O$39</definedName>
    <definedName name="OSRRefE14_6x" localSheetId="57">'315'!$H$55:$O$55</definedName>
    <definedName name="OSRRefE14_6x" localSheetId="62">'317'!$H$37:$O$37</definedName>
    <definedName name="OSRRefE14_6x" localSheetId="51">'330'!$H$30:$O$30</definedName>
    <definedName name="OSRRefE14_6x" localSheetId="56">'331'!$H$55:$O$55</definedName>
    <definedName name="OSRRefE14_6x" localSheetId="47">'Div 3'!$H$82:$O$82</definedName>
    <definedName name="OSRRefE14_6x" localSheetId="61">'Div 6'!$H$37:$O$37</definedName>
    <definedName name="OSRRefE14_6x" localSheetId="2">Summary!$H$101:$O$101</definedName>
    <definedName name="OSRRefE14_7x" localSheetId="48">'300'!$H$81:$O$81</definedName>
    <definedName name="OSRRefE14_7x" localSheetId="49">'300 &amp; 317'!$H$95:$O$95</definedName>
    <definedName name="OSRRefE14_7x" localSheetId="52">'307'!$H$31:$O$31</definedName>
    <definedName name="OSRRefE14_7x" localSheetId="53">'308'!$H$41:$O$41</definedName>
    <definedName name="OSRRefE14_7x" localSheetId="54">'311'!$H$40:$O$40</definedName>
    <definedName name="OSRRefE14_7x" localSheetId="57">'315'!$H$56:$O$56</definedName>
    <definedName name="OSRRefE14_7x" localSheetId="62">'317'!$H$38:$O$38</definedName>
    <definedName name="OSRRefE14_7x" localSheetId="51">'330'!$H$31:$O$31</definedName>
    <definedName name="OSRRefE14_7x" localSheetId="56">'331'!$H$56:$O$56</definedName>
    <definedName name="OSRRefE14_7x" localSheetId="47">'Div 3'!$H$83:$O$83</definedName>
    <definedName name="OSRRefE14_7x" localSheetId="61">'Div 6'!$H$38:$O$38</definedName>
    <definedName name="OSRRefE14_7x" localSheetId="2">Summary!$H$102:$O$102</definedName>
    <definedName name="OSRRefE14_8x" localSheetId="48">'300'!$H$82:$O$82</definedName>
    <definedName name="OSRRefE14_8x" localSheetId="49">'300 &amp; 317'!$H$96:$O$96</definedName>
    <definedName name="OSRRefE14_8x" localSheetId="53">'308'!$H$42:$O$42</definedName>
    <definedName name="OSRRefE14_8x" localSheetId="54">'311'!$H$41:$O$41</definedName>
    <definedName name="OSRRefE14_8x" localSheetId="57">'315'!$H$57:$O$57</definedName>
    <definedName name="OSRRefE14_8x" localSheetId="62">'317'!$H$39:$O$39</definedName>
    <definedName name="OSRRefE14_8x" localSheetId="56">'331'!$H$57:$O$57</definedName>
    <definedName name="OSRRefE14_8x" localSheetId="47">'Div 3'!$H$84:$O$84</definedName>
    <definedName name="OSRRefE14_8x" localSheetId="61">'Div 6'!$H$39:$O$39</definedName>
    <definedName name="OSRRefE14_8x" localSheetId="2">Summary!$H$103:$O$103</definedName>
    <definedName name="OSRRefE14_9x" localSheetId="48">'300'!$H$83:$O$83</definedName>
    <definedName name="OSRRefE14_9x" localSheetId="49">'300 &amp; 317'!$H$97:$O$97</definedName>
    <definedName name="OSRRefE14_9x" localSheetId="53">'308'!$H$43:$O$43</definedName>
    <definedName name="OSRRefE14_9x" localSheetId="54">'311'!$H$42:$O$42</definedName>
    <definedName name="OSRRefE14_9x" localSheetId="57">'315'!$H$58:$O$58</definedName>
    <definedName name="OSRRefE14_9x" localSheetId="62">'317'!$H$40:$O$40</definedName>
    <definedName name="OSRRefE14_9x" localSheetId="56">'331'!$H$58:$O$58</definedName>
    <definedName name="OSRRefE14_9x" localSheetId="47">'Div 3'!$H$85:$O$85</definedName>
    <definedName name="OSRRefE14_9x" localSheetId="61">'Div 6'!$H$40:$O$40</definedName>
    <definedName name="OSRRefE14_9x" localSheetId="2">Summary!$H$104:$O$104</definedName>
    <definedName name="OSRRefE14x_0" localSheetId="48">'300'!$H$74:$H$104</definedName>
    <definedName name="OSRRefE14x_0" localSheetId="49">'300 &amp; 317'!$H$88:$H$126</definedName>
    <definedName name="OSRRefE14x_0" localSheetId="52">'307'!$H$24:$H$31</definedName>
    <definedName name="OSRRefE14x_0" localSheetId="53">'308'!$H$34:$H$46</definedName>
    <definedName name="OSRRefE14x_0" localSheetId="64">'309'!$H$14</definedName>
    <definedName name="OSRRefE14x_0" localSheetId="63">'310'!$H$17:$H$19</definedName>
    <definedName name="OSRRefE14x_0" localSheetId="71">'310 &amp; 491'!$H$22:$H$24</definedName>
    <definedName name="OSRRefE14x_0" localSheetId="54">'311'!$H$33:$H$45</definedName>
    <definedName name="OSRRefE14x_0" localSheetId="65">'313'!$H$13</definedName>
    <definedName name="OSRRefE14x_0" localSheetId="57">'315'!$H$49:$H$69</definedName>
    <definedName name="OSRRefE14x_0" localSheetId="62">'317'!$H$31:$H$41</definedName>
    <definedName name="OSRRefE14x_0" localSheetId="66">'321'!$H$15</definedName>
    <definedName name="OSRRefE14x_0" localSheetId="67">'322'!$H$14:$H$15</definedName>
    <definedName name="OSRRefE14x_0" localSheetId="55">'324'!$H$17:$H$19</definedName>
    <definedName name="OSRRefE14x_0" localSheetId="68">'325'!$H$13:$H$14</definedName>
    <definedName name="OSRRefE14x_0" localSheetId="58">'326'!$H$32:$H$36</definedName>
    <definedName name="OSRRefE14x_0" localSheetId="69">'327'!$H$15:$H$16</definedName>
    <definedName name="OSRRefE14x_0" localSheetId="51">'330'!$H$24:$H$31</definedName>
    <definedName name="OSRRefE14x_0" localSheetId="56">'331'!$H$49:$H$69</definedName>
    <definedName name="OSRRefE14x_0" localSheetId="73">'405'!$H$15</definedName>
    <definedName name="OSRRefE14x_0" localSheetId="76">'412'!$H$14</definedName>
    <definedName name="OSRRefE14x_0" localSheetId="77">'413'!$H$15</definedName>
    <definedName name="OSRRefE14x_0" localSheetId="78">'414'!$H$16</definedName>
    <definedName name="OSRRefE14x_0" localSheetId="79">'415'!$H$17:$H$19</definedName>
    <definedName name="OSRRefE14x_0" localSheetId="80">'418'!$H$15</definedName>
    <definedName name="OSRRefE14x_0" localSheetId="88">'433'!$H$17:$H$19</definedName>
    <definedName name="OSRRefE14x_0" localSheetId="90">'444'!$H$17:$H$19</definedName>
    <definedName name="OSRRefE14x_0" localSheetId="91">'450'!$H$15</definedName>
    <definedName name="OSRRefE14x_0" localSheetId="72">'491'!$H$19:$H$21</definedName>
    <definedName name="OSRRefE14x_0" localSheetId="86">'492'!$H$17:$H$19</definedName>
    <definedName name="OSRRefE14x_0" localSheetId="47">'Div 3'!$H$76:$H$108</definedName>
    <definedName name="OSRRefE14x_0" localSheetId="70">'Div 4'!$H$21:$H$23</definedName>
    <definedName name="OSRRefE14x_0" localSheetId="61">'Div 6'!$H$31:$H$41</definedName>
    <definedName name="OSRRefE14x_0" localSheetId="2">Summary!$H$95:$H$135</definedName>
    <definedName name="OSRRefE14x_1" localSheetId="48">'300'!$I$74:$I$104</definedName>
    <definedName name="OSRRefE14x_1" localSheetId="49">'300 &amp; 317'!$I$88:$I$126</definedName>
    <definedName name="OSRRefE14x_1" localSheetId="52">'307'!$I$24:$I$31</definedName>
    <definedName name="OSRRefE14x_1" localSheetId="53">'308'!$I$34:$I$46</definedName>
    <definedName name="OSRRefE14x_1" localSheetId="64">'309'!$I$14</definedName>
    <definedName name="OSRRefE14x_1" localSheetId="63">'310'!$I$17:$I$19</definedName>
    <definedName name="OSRRefE14x_1" localSheetId="71">'310 &amp; 491'!$I$22:$I$24</definedName>
    <definedName name="OSRRefE14x_1" localSheetId="54">'311'!$I$33:$I$45</definedName>
    <definedName name="OSRRefE14x_1" localSheetId="65">'313'!$I$13</definedName>
    <definedName name="OSRRefE14x_1" localSheetId="57">'315'!$I$49:$I$69</definedName>
    <definedName name="OSRRefE14x_1" localSheetId="62">'317'!$I$31:$I$41</definedName>
    <definedName name="OSRRefE14x_1" localSheetId="66">'321'!$I$15</definedName>
    <definedName name="OSRRefE14x_1" localSheetId="67">'322'!$I$14:$I$15</definedName>
    <definedName name="OSRRefE14x_1" localSheetId="55">'324'!$I$17:$I$19</definedName>
    <definedName name="OSRRefE14x_1" localSheetId="68">'325'!$I$13:$I$14</definedName>
    <definedName name="OSRRefE14x_1" localSheetId="58">'326'!$I$32:$I$36</definedName>
    <definedName name="OSRRefE14x_1" localSheetId="69">'327'!$I$15:$I$16</definedName>
    <definedName name="OSRRefE14x_1" localSheetId="51">'330'!$I$24:$I$31</definedName>
    <definedName name="OSRRefE14x_1" localSheetId="56">'331'!$I$49:$I$69</definedName>
    <definedName name="OSRRefE14x_1" localSheetId="73">'405'!$I$15</definedName>
    <definedName name="OSRRefE14x_1" localSheetId="76">'412'!$I$14</definedName>
    <definedName name="OSRRefE14x_1" localSheetId="77">'413'!$I$15</definedName>
    <definedName name="OSRRefE14x_1" localSheetId="78">'414'!$I$16</definedName>
    <definedName name="OSRRefE14x_1" localSheetId="79">'415'!$I$17:$I$19</definedName>
    <definedName name="OSRRefE14x_1" localSheetId="80">'418'!$I$15</definedName>
    <definedName name="OSRRefE14x_1" localSheetId="88">'433'!$I$17:$I$19</definedName>
    <definedName name="OSRRefE14x_1" localSheetId="90">'444'!$I$17:$I$19</definedName>
    <definedName name="OSRRefE14x_1" localSheetId="91">'450'!$I$15</definedName>
    <definedName name="OSRRefE14x_1" localSheetId="72">'491'!$I$19:$I$21</definedName>
    <definedName name="OSRRefE14x_1" localSheetId="86">'492'!$I$17:$I$19</definedName>
    <definedName name="OSRRefE14x_1" localSheetId="47">'Div 3'!$I$76:$I$108</definedName>
    <definedName name="OSRRefE14x_1" localSheetId="70">'Div 4'!$I$21:$I$23</definedName>
    <definedName name="OSRRefE14x_1" localSheetId="61">'Div 6'!$I$31:$I$41</definedName>
    <definedName name="OSRRefE14x_1" localSheetId="2">Summary!$I$95:$I$135</definedName>
    <definedName name="OSRRefE14x_2" localSheetId="48">'300'!$J$74:$J$104</definedName>
    <definedName name="OSRRefE14x_2" localSheetId="49">'300 &amp; 317'!$J$88:$J$126</definedName>
    <definedName name="OSRRefE14x_2" localSheetId="52">'307'!$J$24:$J$31</definedName>
    <definedName name="OSRRefE14x_2" localSheetId="53">'308'!$J$34:$J$46</definedName>
    <definedName name="OSRRefE14x_2" localSheetId="64">'309'!$J$14</definedName>
    <definedName name="OSRRefE14x_2" localSheetId="63">'310'!$J$17:$J$19</definedName>
    <definedName name="OSRRefE14x_2" localSheetId="71">'310 &amp; 491'!$J$22:$J$24</definedName>
    <definedName name="OSRRefE14x_2" localSheetId="54">'311'!$J$33:$J$45</definedName>
    <definedName name="OSRRefE14x_2" localSheetId="65">'313'!$J$13</definedName>
    <definedName name="OSRRefE14x_2" localSheetId="57">'315'!$J$49:$J$69</definedName>
    <definedName name="OSRRefE14x_2" localSheetId="62">'317'!$J$31:$J$41</definedName>
    <definedName name="OSRRefE14x_2" localSheetId="66">'321'!$J$15</definedName>
    <definedName name="OSRRefE14x_2" localSheetId="67">'322'!$J$14:$J$15</definedName>
    <definedName name="OSRRefE14x_2" localSheetId="55">'324'!$J$17:$J$19</definedName>
    <definedName name="OSRRefE14x_2" localSheetId="68">'325'!$J$13:$J$14</definedName>
    <definedName name="OSRRefE14x_2" localSheetId="58">'326'!$J$32:$J$36</definedName>
    <definedName name="OSRRefE14x_2" localSheetId="69">'327'!$J$15:$J$16</definedName>
    <definedName name="OSRRefE14x_2" localSheetId="51">'330'!$J$24:$J$31</definedName>
    <definedName name="OSRRefE14x_2" localSheetId="56">'331'!$J$49:$J$69</definedName>
    <definedName name="OSRRefE14x_2" localSheetId="73">'405'!$J$15</definedName>
    <definedName name="OSRRefE14x_2" localSheetId="76">'412'!$J$14</definedName>
    <definedName name="OSRRefE14x_2" localSheetId="77">'413'!$J$15</definedName>
    <definedName name="OSRRefE14x_2" localSheetId="78">'414'!$J$16</definedName>
    <definedName name="OSRRefE14x_2" localSheetId="79">'415'!$J$17:$J$19</definedName>
    <definedName name="OSRRefE14x_2" localSheetId="80">'418'!$J$15</definedName>
    <definedName name="OSRRefE14x_2" localSheetId="88">'433'!$J$17:$J$19</definedName>
    <definedName name="OSRRefE14x_2" localSheetId="90">'444'!$J$17:$J$19</definedName>
    <definedName name="OSRRefE14x_2" localSheetId="91">'450'!$J$15</definedName>
    <definedName name="OSRRefE14x_2" localSheetId="72">'491'!$J$19:$J$21</definedName>
    <definedName name="OSRRefE14x_2" localSheetId="86">'492'!$J$17:$J$19</definedName>
    <definedName name="OSRRefE14x_2" localSheetId="47">'Div 3'!$J$76:$J$108</definedName>
    <definedName name="OSRRefE14x_2" localSheetId="70">'Div 4'!$J$21:$J$23</definedName>
    <definedName name="OSRRefE14x_2" localSheetId="61">'Div 6'!$J$31:$J$41</definedName>
    <definedName name="OSRRefE14x_2" localSheetId="2">Summary!$J$95:$J$135</definedName>
    <definedName name="OSRRefE14x_3" localSheetId="48">'300'!$K$74:$K$104</definedName>
    <definedName name="OSRRefE14x_3" localSheetId="49">'300 &amp; 317'!$K$88:$K$126</definedName>
    <definedName name="OSRRefE14x_3" localSheetId="52">'307'!$K$24:$K$31</definedName>
    <definedName name="OSRRefE14x_3" localSheetId="53">'308'!$K$34:$K$46</definedName>
    <definedName name="OSRRefE14x_3" localSheetId="64">'309'!$K$14</definedName>
    <definedName name="OSRRefE14x_3" localSheetId="63">'310'!$K$17:$K$19</definedName>
    <definedName name="OSRRefE14x_3" localSheetId="71">'310 &amp; 491'!$K$22:$K$24</definedName>
    <definedName name="OSRRefE14x_3" localSheetId="54">'311'!$K$33:$K$45</definedName>
    <definedName name="OSRRefE14x_3" localSheetId="65">'313'!$K$13</definedName>
    <definedName name="OSRRefE14x_3" localSheetId="57">'315'!$K$49:$K$69</definedName>
    <definedName name="OSRRefE14x_3" localSheetId="62">'317'!$K$31:$K$41</definedName>
    <definedName name="OSRRefE14x_3" localSheetId="66">'321'!$K$15</definedName>
    <definedName name="OSRRefE14x_3" localSheetId="67">'322'!$K$14:$K$15</definedName>
    <definedName name="OSRRefE14x_3" localSheetId="55">'324'!$K$17:$K$19</definedName>
    <definedName name="OSRRefE14x_3" localSheetId="68">'325'!$K$13:$K$14</definedName>
    <definedName name="OSRRefE14x_3" localSheetId="58">'326'!$K$32:$K$36</definedName>
    <definedName name="OSRRefE14x_3" localSheetId="69">'327'!$K$15:$K$16</definedName>
    <definedName name="OSRRefE14x_3" localSheetId="51">'330'!$K$24:$K$31</definedName>
    <definedName name="OSRRefE14x_3" localSheetId="56">'331'!$K$49:$K$69</definedName>
    <definedName name="OSRRefE14x_3" localSheetId="73">'405'!$K$15</definedName>
    <definedName name="OSRRefE14x_3" localSheetId="76">'412'!$K$14</definedName>
    <definedName name="OSRRefE14x_3" localSheetId="77">'413'!$K$15</definedName>
    <definedName name="OSRRefE14x_3" localSheetId="78">'414'!$K$16</definedName>
    <definedName name="OSRRefE14x_3" localSheetId="79">'415'!$K$17:$K$19</definedName>
    <definedName name="OSRRefE14x_3" localSheetId="80">'418'!$K$15</definedName>
    <definedName name="OSRRefE14x_3" localSheetId="88">'433'!$K$17:$K$19</definedName>
    <definedName name="OSRRefE14x_3" localSheetId="90">'444'!$K$17:$K$19</definedName>
    <definedName name="OSRRefE14x_3" localSheetId="91">'450'!$K$15</definedName>
    <definedName name="OSRRefE14x_3" localSheetId="72">'491'!$K$19:$K$21</definedName>
    <definedName name="OSRRefE14x_3" localSheetId="86">'492'!$K$17:$K$19</definedName>
    <definedName name="OSRRefE14x_3" localSheetId="47">'Div 3'!$K$76:$K$108</definedName>
    <definedName name="OSRRefE14x_3" localSheetId="70">'Div 4'!$K$21:$K$23</definedName>
    <definedName name="OSRRefE14x_3" localSheetId="61">'Div 6'!$K$31:$K$41</definedName>
    <definedName name="OSRRefE14x_3" localSheetId="2">Summary!$K$95:$K$135</definedName>
    <definedName name="OSRRefE14x_4" localSheetId="48">'300'!$L$74:$L$104</definedName>
    <definedName name="OSRRefE14x_4" localSheetId="49">'300 &amp; 317'!$L$88:$L$126</definedName>
    <definedName name="OSRRefE14x_4" localSheetId="52">'307'!$L$24:$L$31</definedName>
    <definedName name="OSRRefE14x_4" localSheetId="53">'308'!$L$34:$L$46</definedName>
    <definedName name="OSRRefE14x_4" localSheetId="64">'309'!$L$14</definedName>
    <definedName name="OSRRefE14x_4" localSheetId="63">'310'!$L$17:$L$19</definedName>
    <definedName name="OSRRefE14x_4" localSheetId="71">'310 &amp; 491'!$L$22:$L$24</definedName>
    <definedName name="OSRRefE14x_4" localSheetId="54">'311'!$L$33:$L$45</definedName>
    <definedName name="OSRRefE14x_4" localSheetId="65">'313'!$L$13</definedName>
    <definedName name="OSRRefE14x_4" localSheetId="57">'315'!$L$49:$L$69</definedName>
    <definedName name="OSRRefE14x_4" localSheetId="62">'317'!$L$31:$L$41</definedName>
    <definedName name="OSRRefE14x_4" localSheetId="66">'321'!$L$15</definedName>
    <definedName name="OSRRefE14x_4" localSheetId="67">'322'!$L$14:$L$15</definedName>
    <definedName name="OSRRefE14x_4" localSheetId="55">'324'!$L$17:$L$19</definedName>
    <definedName name="OSRRefE14x_4" localSheetId="68">'325'!$L$13:$L$14</definedName>
    <definedName name="OSRRefE14x_4" localSheetId="58">'326'!$L$32:$L$36</definedName>
    <definedName name="OSRRefE14x_4" localSheetId="69">'327'!$L$15:$L$16</definedName>
    <definedName name="OSRRefE14x_4" localSheetId="51">'330'!$L$24:$L$31</definedName>
    <definedName name="OSRRefE14x_4" localSheetId="56">'331'!$L$49:$L$69</definedName>
    <definedName name="OSRRefE14x_4" localSheetId="73">'405'!$L$15</definedName>
    <definedName name="OSRRefE14x_4" localSheetId="76">'412'!$L$14</definedName>
    <definedName name="OSRRefE14x_4" localSheetId="77">'413'!$L$15</definedName>
    <definedName name="OSRRefE14x_4" localSheetId="78">'414'!$L$16</definedName>
    <definedName name="OSRRefE14x_4" localSheetId="79">'415'!$L$17:$L$19</definedName>
    <definedName name="OSRRefE14x_4" localSheetId="80">'418'!$L$15</definedName>
    <definedName name="OSRRefE14x_4" localSheetId="88">'433'!$L$17:$L$19</definedName>
    <definedName name="OSRRefE14x_4" localSheetId="90">'444'!$L$17:$L$19</definedName>
    <definedName name="OSRRefE14x_4" localSheetId="91">'450'!$L$15</definedName>
    <definedName name="OSRRefE14x_4" localSheetId="72">'491'!$L$19:$L$21</definedName>
    <definedName name="OSRRefE14x_4" localSheetId="86">'492'!$L$17:$L$19</definedName>
    <definedName name="OSRRefE14x_4" localSheetId="47">'Div 3'!$L$76:$L$108</definedName>
    <definedName name="OSRRefE14x_4" localSheetId="70">'Div 4'!$L$21:$L$23</definedName>
    <definedName name="OSRRefE14x_4" localSheetId="61">'Div 6'!$L$31:$L$41</definedName>
    <definedName name="OSRRefE14x_4" localSheetId="2">Summary!$L$95:$L$135</definedName>
    <definedName name="OSRRefE14x_5" localSheetId="48">'300'!$M$74:$M$104</definedName>
    <definedName name="OSRRefE14x_5" localSheetId="49">'300 &amp; 317'!$M$88:$M$126</definedName>
    <definedName name="OSRRefE14x_5" localSheetId="52">'307'!$M$24:$M$31</definedName>
    <definedName name="OSRRefE14x_5" localSheetId="53">'308'!$M$34:$M$46</definedName>
    <definedName name="OSRRefE14x_5" localSheetId="64">'309'!$M$14</definedName>
    <definedName name="OSRRefE14x_5" localSheetId="63">'310'!$M$17:$M$19</definedName>
    <definedName name="OSRRefE14x_5" localSheetId="71">'310 &amp; 491'!$M$22:$M$24</definedName>
    <definedName name="OSRRefE14x_5" localSheetId="54">'311'!$M$33:$M$45</definedName>
    <definedName name="OSRRefE14x_5" localSheetId="65">'313'!$M$13</definedName>
    <definedName name="OSRRefE14x_5" localSheetId="57">'315'!$M$49:$M$69</definedName>
    <definedName name="OSRRefE14x_5" localSheetId="62">'317'!$M$31:$M$41</definedName>
    <definedName name="OSRRefE14x_5" localSheetId="66">'321'!$M$15</definedName>
    <definedName name="OSRRefE14x_5" localSheetId="67">'322'!$M$14:$M$15</definedName>
    <definedName name="OSRRefE14x_5" localSheetId="55">'324'!$M$17:$M$19</definedName>
    <definedName name="OSRRefE14x_5" localSheetId="68">'325'!$M$13:$M$14</definedName>
    <definedName name="OSRRefE14x_5" localSheetId="58">'326'!$M$32:$M$36</definedName>
    <definedName name="OSRRefE14x_5" localSheetId="69">'327'!$M$15:$M$16</definedName>
    <definedName name="OSRRefE14x_5" localSheetId="51">'330'!$M$24:$M$31</definedName>
    <definedName name="OSRRefE14x_5" localSheetId="56">'331'!$M$49:$M$69</definedName>
    <definedName name="OSRRefE14x_5" localSheetId="73">'405'!$M$15</definedName>
    <definedName name="OSRRefE14x_5" localSheetId="76">'412'!$M$14</definedName>
    <definedName name="OSRRefE14x_5" localSheetId="77">'413'!$M$15</definedName>
    <definedName name="OSRRefE14x_5" localSheetId="78">'414'!$M$16</definedName>
    <definedName name="OSRRefE14x_5" localSheetId="79">'415'!$M$17:$M$19</definedName>
    <definedName name="OSRRefE14x_5" localSheetId="80">'418'!$M$15</definedName>
    <definedName name="OSRRefE14x_5" localSheetId="88">'433'!$M$17:$M$19</definedName>
    <definedName name="OSRRefE14x_5" localSheetId="90">'444'!$M$17:$M$19</definedName>
    <definedName name="OSRRefE14x_5" localSheetId="91">'450'!$M$15</definedName>
    <definedName name="OSRRefE14x_5" localSheetId="72">'491'!$M$19:$M$21</definedName>
    <definedName name="OSRRefE14x_5" localSheetId="86">'492'!$M$17:$M$19</definedName>
    <definedName name="OSRRefE14x_5" localSheetId="47">'Div 3'!$M$76:$M$108</definedName>
    <definedName name="OSRRefE14x_5" localSheetId="70">'Div 4'!$M$21:$M$23</definedName>
    <definedName name="OSRRefE14x_5" localSheetId="61">'Div 6'!$M$31:$M$41</definedName>
    <definedName name="OSRRefE14x_5" localSheetId="2">Summary!$M$95:$M$135</definedName>
    <definedName name="OSRRefE14x_6" localSheetId="48">'300'!$N$74:$N$104</definedName>
    <definedName name="OSRRefE14x_6" localSheetId="49">'300 &amp; 317'!$N$88:$N$126</definedName>
    <definedName name="OSRRefE14x_6" localSheetId="52">'307'!$N$24:$N$31</definedName>
    <definedName name="OSRRefE14x_6" localSheetId="53">'308'!$N$34:$N$46</definedName>
    <definedName name="OSRRefE14x_6" localSheetId="64">'309'!$N$14</definedName>
    <definedName name="OSRRefE14x_6" localSheetId="63">'310'!$N$17:$N$19</definedName>
    <definedName name="OSRRefE14x_6" localSheetId="71">'310 &amp; 491'!$N$22:$N$24</definedName>
    <definedName name="OSRRefE14x_6" localSheetId="54">'311'!$N$33:$N$45</definedName>
    <definedName name="OSRRefE14x_6" localSheetId="65">'313'!$N$13</definedName>
    <definedName name="OSRRefE14x_6" localSheetId="57">'315'!$N$49:$N$69</definedName>
    <definedName name="OSRRefE14x_6" localSheetId="62">'317'!$N$31:$N$41</definedName>
    <definedName name="OSRRefE14x_6" localSheetId="66">'321'!$N$15</definedName>
    <definedName name="OSRRefE14x_6" localSheetId="67">'322'!$N$14:$N$15</definedName>
    <definedName name="OSRRefE14x_6" localSheetId="55">'324'!$N$17:$N$19</definedName>
    <definedName name="OSRRefE14x_6" localSheetId="68">'325'!$N$13:$N$14</definedName>
    <definedName name="OSRRefE14x_6" localSheetId="58">'326'!$N$32:$N$36</definedName>
    <definedName name="OSRRefE14x_6" localSheetId="69">'327'!$N$15:$N$16</definedName>
    <definedName name="OSRRefE14x_6" localSheetId="51">'330'!$N$24:$N$31</definedName>
    <definedName name="OSRRefE14x_6" localSheetId="56">'331'!$N$49:$N$69</definedName>
    <definedName name="OSRRefE14x_6" localSheetId="73">'405'!$N$15</definedName>
    <definedName name="OSRRefE14x_6" localSheetId="76">'412'!$N$14</definedName>
    <definedName name="OSRRefE14x_6" localSheetId="77">'413'!$N$15</definedName>
    <definedName name="OSRRefE14x_6" localSheetId="78">'414'!$N$16</definedName>
    <definedName name="OSRRefE14x_6" localSheetId="79">'415'!$N$17:$N$19</definedName>
    <definedName name="OSRRefE14x_6" localSheetId="80">'418'!$N$15</definedName>
    <definedName name="OSRRefE14x_6" localSheetId="88">'433'!$N$17:$N$19</definedName>
    <definedName name="OSRRefE14x_6" localSheetId="90">'444'!$N$17:$N$19</definedName>
    <definedName name="OSRRefE14x_6" localSheetId="91">'450'!$N$15</definedName>
    <definedName name="OSRRefE14x_6" localSheetId="72">'491'!$N$19:$N$21</definedName>
    <definedName name="OSRRefE14x_6" localSheetId="86">'492'!$N$17:$N$19</definedName>
    <definedName name="OSRRefE14x_6" localSheetId="47">'Div 3'!$N$76:$N$108</definedName>
    <definedName name="OSRRefE14x_6" localSheetId="70">'Div 4'!$N$21:$N$23</definedName>
    <definedName name="OSRRefE14x_6" localSheetId="61">'Div 6'!$N$31:$N$41</definedName>
    <definedName name="OSRRefE14x_6" localSheetId="2">Summary!$N$95:$N$135</definedName>
    <definedName name="OSRRefE14x_7" localSheetId="48">'300'!$O$74:$O$104</definedName>
    <definedName name="OSRRefE14x_7" localSheetId="49">'300 &amp; 317'!$O$88:$O$126</definedName>
    <definedName name="OSRRefE14x_7" localSheetId="52">'307'!$O$24:$O$31</definedName>
    <definedName name="OSRRefE14x_7" localSheetId="53">'308'!$O$34:$O$46</definedName>
    <definedName name="OSRRefE14x_7" localSheetId="64">'309'!$O$14</definedName>
    <definedName name="OSRRefE14x_7" localSheetId="63">'310'!$O$17:$O$19</definedName>
    <definedName name="OSRRefE14x_7" localSheetId="71">'310 &amp; 491'!$O$22:$O$24</definedName>
    <definedName name="OSRRefE14x_7" localSheetId="54">'311'!$O$33:$O$45</definedName>
    <definedName name="OSRRefE14x_7" localSheetId="65">'313'!$O$13</definedName>
    <definedName name="OSRRefE14x_7" localSheetId="57">'315'!$O$49:$O$69</definedName>
    <definedName name="OSRRefE14x_7" localSheetId="62">'317'!$O$31:$O$41</definedName>
    <definedName name="OSRRefE14x_7" localSheetId="66">'321'!$O$15</definedName>
    <definedName name="OSRRefE14x_7" localSheetId="67">'322'!$O$14:$O$15</definedName>
    <definedName name="OSRRefE14x_7" localSheetId="55">'324'!$O$17:$O$19</definedName>
    <definedName name="OSRRefE14x_7" localSheetId="68">'325'!$O$13:$O$14</definedName>
    <definedName name="OSRRefE14x_7" localSheetId="58">'326'!$O$32:$O$36</definedName>
    <definedName name="OSRRefE14x_7" localSheetId="69">'327'!$O$15:$O$16</definedName>
    <definedName name="OSRRefE14x_7" localSheetId="51">'330'!$O$24:$O$31</definedName>
    <definedName name="OSRRefE14x_7" localSheetId="56">'331'!$O$49:$O$69</definedName>
    <definedName name="OSRRefE14x_7" localSheetId="73">'405'!$O$15</definedName>
    <definedName name="OSRRefE14x_7" localSheetId="76">'412'!$O$14</definedName>
    <definedName name="OSRRefE14x_7" localSheetId="77">'413'!$O$15</definedName>
    <definedName name="OSRRefE14x_7" localSheetId="78">'414'!$O$16</definedName>
    <definedName name="OSRRefE14x_7" localSheetId="79">'415'!$O$17:$O$19</definedName>
    <definedName name="OSRRefE14x_7" localSheetId="80">'418'!$O$15</definedName>
    <definedName name="OSRRefE14x_7" localSheetId="88">'433'!$O$17:$O$19</definedName>
    <definedName name="OSRRefE14x_7" localSheetId="90">'444'!$O$17:$O$19</definedName>
    <definedName name="OSRRefE14x_7" localSheetId="91">'450'!$O$15</definedName>
    <definedName name="OSRRefE14x_7" localSheetId="72">'491'!$O$19:$O$21</definedName>
    <definedName name="OSRRefE14x_7" localSheetId="86">'492'!$O$17:$O$19</definedName>
    <definedName name="OSRRefE14x_7" localSheetId="47">'Div 3'!$O$76:$O$108</definedName>
    <definedName name="OSRRefE14x_7" localSheetId="70">'Div 4'!$O$21:$O$23</definedName>
    <definedName name="OSRRefE14x_7" localSheetId="61">'Div 6'!$O$31:$O$41</definedName>
    <definedName name="OSRRefE14x_7" localSheetId="2">Summary!$O$95:$O$135</definedName>
    <definedName name="OSRRefE20_0x" localSheetId="40">'200'!$H$18:$O$18</definedName>
    <definedName name="OSRRefE20_0x" localSheetId="41">'201'!$H$18:$O$18</definedName>
    <definedName name="OSRRefE20_0x" localSheetId="42">'202'!$H$18:$O$18</definedName>
    <definedName name="OSRRefE20_0x" localSheetId="43">'203'!$H$18:$O$18</definedName>
    <definedName name="OSRRefE20_0x" localSheetId="44">'204'!$H$18:$O$18</definedName>
    <definedName name="OSRRefE20_0x" localSheetId="45">'205'!$H$18:$O$18</definedName>
    <definedName name="OSRRefE20_0x" localSheetId="46">'206'!$H$18:$O$18</definedName>
    <definedName name="OSRRefE20_0x" localSheetId="48">'300'!$H$110:$O$110</definedName>
    <definedName name="OSRRefE20_0x" localSheetId="49">'300 &amp; 317'!$H$132:$O$132</definedName>
    <definedName name="OSRRefE20_0x" localSheetId="50">'301'!$H$18:$O$18</definedName>
    <definedName name="OSRRefE20_0x" localSheetId="52">'307'!$H$37:$O$37</definedName>
    <definedName name="OSRRefE20_0x" localSheetId="53">'308'!$H$52:$O$52</definedName>
    <definedName name="OSRRefE20_0x" localSheetId="64">'309'!$H$20:$O$20</definedName>
    <definedName name="OSRRefE20_0x" localSheetId="63">'310'!$H$25:$O$25</definedName>
    <definedName name="OSRRefE20_0x" localSheetId="71">'310 &amp; 491'!$H$30:$O$30</definedName>
    <definedName name="OSRRefE20_0x" localSheetId="54">'311'!$H$51:$O$51</definedName>
    <definedName name="OSRRefE20_0x" localSheetId="65">'313'!$H$19:$O$19</definedName>
    <definedName name="OSRRefE20_0x" localSheetId="57">'315'!$H$75:$O$75</definedName>
    <definedName name="OSRRefE20_0x" localSheetId="60">'316'!$H$28:$O$28</definedName>
    <definedName name="OSRRefE20_0x" localSheetId="62">'317'!$H$47:$O$47</definedName>
    <definedName name="OSRRefE20_0x" localSheetId="66">'321'!$H$21:$O$21</definedName>
    <definedName name="OSRRefE20_0x" localSheetId="67">'322'!$H$21:$O$21</definedName>
    <definedName name="OSRRefE20_0x" localSheetId="55">'324'!$H$25:$O$25</definedName>
    <definedName name="OSRRefE20_0x" localSheetId="68">'325'!$H$20:$O$20</definedName>
    <definedName name="OSRRefE20_0x" localSheetId="58">'326'!$H$42:$O$42</definedName>
    <definedName name="OSRRefE20_0x" localSheetId="69">'327'!$H$22:$O$22</definedName>
    <definedName name="OSRRefE20_0x" localSheetId="51">'330'!$H$37:$O$37</definedName>
    <definedName name="OSRRefE20_0x" localSheetId="56">'331'!$H$75:$O$75</definedName>
    <definedName name="OSRRefE20_0x" localSheetId="59">'332'!$H$28:$O$28</definedName>
    <definedName name="OSRRefE20_0x" localSheetId="73">'405'!$H$21:$O$21</definedName>
    <definedName name="OSRRefE20_0x" localSheetId="74">'406'!$H$18:$O$18</definedName>
    <definedName name="OSRRefE20_0x" localSheetId="75">'411'!$H$18:$O$18</definedName>
    <definedName name="OSRRefE20_0x" localSheetId="76">'412'!$H$20:$O$20</definedName>
    <definedName name="OSRRefE20_0x" localSheetId="77">'413'!$H$21:$O$21</definedName>
    <definedName name="OSRRefE20_0x" localSheetId="78">'414'!$H$22:$O$22</definedName>
    <definedName name="OSRRefE20_0x" localSheetId="79">'415'!$H$25:$O$25</definedName>
    <definedName name="OSRRefE20_0x" localSheetId="80">'418'!$H$21:$O$21</definedName>
    <definedName name="OSRRefE20_0x" localSheetId="82">'423'!$H$18:$O$18</definedName>
    <definedName name="OSRRefE20_0x" localSheetId="83">'424'!$H$18:$O$18</definedName>
    <definedName name="OSRRefE20_0x" localSheetId="84">'425'!$H$18:$O$18</definedName>
    <definedName name="OSRRefE20_0x" localSheetId="87">'430'!$H$18:$O$18</definedName>
    <definedName name="OSRRefE20_0x" localSheetId="88">'433'!$H$25:$O$25</definedName>
    <definedName name="OSRRefE20_0x" localSheetId="89">'435'!$H$18:$O$18</definedName>
    <definedName name="OSRRefE20_0x" localSheetId="90">'444'!$H$25:$O$25</definedName>
    <definedName name="OSRRefE20_0x" localSheetId="91">'450'!$H$21:$O$21</definedName>
    <definedName name="OSRRefE20_0x" localSheetId="72">'491'!$H$27:$O$27</definedName>
    <definedName name="OSRRefE20_0x" localSheetId="86">'492'!$H$25:$O$25</definedName>
    <definedName name="OSRRefE20_0x" localSheetId="93">'501'!$H$20:$O$20</definedName>
    <definedName name="OSRRefE20_0x" localSheetId="39">'Div 2'!$H$18:$O$18</definedName>
    <definedName name="OSRRefE20_0x" localSheetId="47">'Div 3'!$H$114:$O$114</definedName>
    <definedName name="OSRRefE20_0x" localSheetId="70">'Div 4'!$H$29:$O$29</definedName>
    <definedName name="OSRRefE20_0x" localSheetId="92">'Div 5'!$H$20:$O$20</definedName>
    <definedName name="OSRRefE20_0x" localSheetId="61">'Div 6'!$H$47:$O$47</definedName>
    <definedName name="OSRRefE20_0x" localSheetId="2">Summary!$H$141:$O$141</definedName>
    <definedName name="OSRRefE20_10x" localSheetId="41">'201'!$H$56:$O$56</definedName>
    <definedName name="OSRRefE20_10x" localSheetId="42">'202'!$H$58:$O$58</definedName>
    <definedName name="OSRRefE20_10x" localSheetId="43">'203'!$H$58:$O$58</definedName>
    <definedName name="OSRRefE20_10x" localSheetId="48">'300'!$H$151:$O$151</definedName>
    <definedName name="OSRRefE20_10x" localSheetId="49">'300 &amp; 317'!$H$173:$O$173</definedName>
    <definedName name="OSRRefE20_10x" localSheetId="50">'301'!$H$57:$O$57</definedName>
    <definedName name="OSRRefE20_10x" localSheetId="52">'307'!$H$77:$O$77</definedName>
    <definedName name="OSRRefE20_10x" localSheetId="53">'308'!$H$93:$O$93</definedName>
    <definedName name="OSRRefE20_10x" localSheetId="63">'310'!$H$63:$O$63</definedName>
    <definedName name="OSRRefE20_10x" localSheetId="71">'310 &amp; 491'!$H$70:$O$70</definedName>
    <definedName name="OSRRefE20_10x" localSheetId="54">'311'!$H$92:$O$92</definedName>
    <definedName name="OSRRefE20_10x" localSheetId="57">'315'!$H$113:$O$113</definedName>
    <definedName name="OSRRefE20_10x" localSheetId="60">'316'!$H$71:$O$71</definedName>
    <definedName name="OSRRefE20_10x" localSheetId="62">'317'!$H$86:$O$86</definedName>
    <definedName name="OSRRefE20_10x" localSheetId="66">'321'!$H$61:$O$61</definedName>
    <definedName name="OSRRefE20_10x" localSheetId="67">'322'!$H$62:$O$62</definedName>
    <definedName name="OSRRefE20_10x" localSheetId="68">'325'!$H$57:$O$57</definedName>
    <definedName name="OSRRefE20_10x" localSheetId="58">'326'!$H$79:$O$79</definedName>
    <definedName name="OSRRefE20_10x" localSheetId="51">'330'!$H$77:$O$77</definedName>
    <definedName name="OSRRefE20_10x" localSheetId="56">'331'!$H$113:$O$113</definedName>
    <definedName name="OSRRefE20_10x" localSheetId="59">'332'!$H$71:$O$71</definedName>
    <definedName name="OSRRefE20_10x" localSheetId="73">'405'!$H$59:$O$59</definedName>
    <definedName name="OSRRefE20_10x" localSheetId="75">'411'!$H$57:$O$57</definedName>
    <definedName name="OSRRefE20_10x" localSheetId="76">'412'!$H$58:$O$58</definedName>
    <definedName name="OSRRefE20_10x" localSheetId="77">'413'!$H$61:$O$61</definedName>
    <definedName name="OSRRefE20_10x" localSheetId="78">'414'!$H$60:$O$60</definedName>
    <definedName name="OSRRefE20_10x" localSheetId="79">'415'!$H$63:$O$63</definedName>
    <definedName name="OSRRefE20_10x" localSheetId="80">'418'!$H$60:$O$60</definedName>
    <definedName name="OSRRefE20_10x" localSheetId="88">'433'!$H$63:$O$63</definedName>
    <definedName name="OSRRefE20_10x" localSheetId="90">'444'!$H$63:$O$63</definedName>
    <definedName name="OSRRefE20_10x" localSheetId="91">'450'!$H$59:$O$59</definedName>
    <definedName name="OSRRefE20_10x" localSheetId="72">'491'!$H$66:$O$66</definedName>
    <definedName name="OSRRefE20_10x" localSheetId="86">'492'!$H$63:$O$63</definedName>
    <definedName name="OSRRefE20_10x" localSheetId="93">'501'!$H$61:$O$61</definedName>
    <definedName name="OSRRefE20_10x" localSheetId="39">'Div 2'!$H$59:$O$59</definedName>
    <definedName name="OSRRefE20_10x" localSheetId="47">'Div 3'!$H$155:$O$155</definedName>
    <definedName name="OSRRefE20_10x" localSheetId="70">'Div 4'!$H$69:$O$69</definedName>
    <definedName name="OSRRefE20_10x" localSheetId="92">'Div 5'!$H$61:$O$61</definedName>
    <definedName name="OSRRefE20_10x" localSheetId="61">'Div 6'!$H$86:$O$86</definedName>
    <definedName name="OSRRefE20_10x" localSheetId="2">Summary!$H$183:$O$183</definedName>
    <definedName name="OSRRefE20_11x" localSheetId="41">'201'!$H$60:$O$60</definedName>
    <definedName name="OSRRefE20_11x" localSheetId="42">'202'!$H$60:$O$60</definedName>
    <definedName name="OSRRefE20_11x" localSheetId="43">'203'!$H$60:$O$60</definedName>
    <definedName name="OSRRefE20_11x" localSheetId="48">'300'!$H$154:$O$154</definedName>
    <definedName name="OSRRefE20_11x" localSheetId="49">'300 &amp; 317'!$H$176:$O$176</definedName>
    <definedName name="OSRRefE20_11x" localSheetId="50">'301'!$H$59:$O$59</definedName>
    <definedName name="OSRRefE20_11x" localSheetId="52">'307'!$H$82:$O$82</definedName>
    <definedName name="OSRRefE20_11x" localSheetId="53">'308'!$H$96:$O$96</definedName>
    <definedName name="OSRRefE20_11x" localSheetId="63">'310'!$H$65:$O$65</definedName>
    <definedName name="OSRRefE20_11x" localSheetId="71">'310 &amp; 491'!$H$72:$O$72</definedName>
    <definedName name="OSRRefE20_11x" localSheetId="54">'311'!$H$95:$O$95</definedName>
    <definedName name="OSRRefE20_11x" localSheetId="57">'315'!$H$115:$O$115</definedName>
    <definedName name="OSRRefE20_11x" localSheetId="60">'316'!$H$73:$O$73</definedName>
    <definedName name="OSRRefE20_11x" localSheetId="62">'317'!$H$90:$O$90</definedName>
    <definedName name="OSRRefE20_11x" localSheetId="66">'321'!$H$64:$O$64</definedName>
    <definedName name="OSRRefE20_11x" localSheetId="68">'325'!$H$59:$O$59</definedName>
    <definedName name="OSRRefE20_11x" localSheetId="58">'326'!$H$81:$O$81</definedName>
    <definedName name="OSRRefE20_11x" localSheetId="51">'330'!$H$82:$O$82</definedName>
    <definedName name="OSRRefE20_11x" localSheetId="56">'331'!$H$115:$O$115</definedName>
    <definedName name="OSRRefE20_11x" localSheetId="59">'332'!$H$73:$O$73</definedName>
    <definedName name="OSRRefE20_11x" localSheetId="73">'405'!$H$61:$O$61</definedName>
    <definedName name="OSRRefE20_11x" localSheetId="75">'411'!$H$62:$O$62</definedName>
    <definedName name="OSRRefE20_11x" localSheetId="76">'412'!$H$63:$O$63</definedName>
    <definedName name="OSRRefE20_11x" localSheetId="77">'413'!$H$69:$O$69</definedName>
    <definedName name="OSRRefE20_11x" localSheetId="78">'414'!$H$62:$O$62</definedName>
    <definedName name="OSRRefE20_11x" localSheetId="79">'415'!$H$65:$O$65</definedName>
    <definedName name="OSRRefE20_11x" localSheetId="80">'418'!$H$63:$O$63</definedName>
    <definedName name="OSRRefE20_11x" localSheetId="88">'433'!$H$65:$O$65</definedName>
    <definedName name="OSRRefE20_11x" localSheetId="90">'444'!$H$65:$O$65</definedName>
    <definedName name="OSRRefE20_11x" localSheetId="91">'450'!$H$61:$O$61</definedName>
    <definedName name="OSRRefE20_11x" localSheetId="72">'491'!$H$68:$O$68</definedName>
    <definedName name="OSRRefE20_11x" localSheetId="86">'492'!$H$65:$O$65</definedName>
    <definedName name="OSRRefE20_11x" localSheetId="93">'501'!$H$63:$O$63</definedName>
    <definedName name="OSRRefE20_11x" localSheetId="39">'Div 2'!$H$61:$O$61</definedName>
    <definedName name="OSRRefE20_11x" localSheetId="47">'Div 3'!$H$158:$O$158</definedName>
    <definedName name="OSRRefE20_11x" localSheetId="70">'Div 4'!$H$71:$O$71</definedName>
    <definedName name="OSRRefE20_11x" localSheetId="92">'Div 5'!$H$63:$O$63</definedName>
    <definedName name="OSRRefE20_11x" localSheetId="61">'Div 6'!$H$90:$O$90</definedName>
    <definedName name="OSRRefE20_11x" localSheetId="2">Summary!$H$186:$O$186</definedName>
    <definedName name="OSRRefE20_12x" localSheetId="41">'201'!$H$62:$O$62</definedName>
    <definedName name="OSRRefE20_12x" localSheetId="42">'202'!$H$62:$O$62</definedName>
    <definedName name="OSRRefE20_12x" localSheetId="43">'203'!$H$64:$O$64</definedName>
    <definedName name="OSRRefE20_12x" localSheetId="48">'300'!$H$157:$O$157</definedName>
    <definedName name="OSRRefE20_12x" localSheetId="49">'300 &amp; 317'!$H$179:$O$179</definedName>
    <definedName name="OSRRefE20_12x" localSheetId="50">'301'!$H$61:$O$61</definedName>
    <definedName name="OSRRefE20_12x" localSheetId="52">'307'!$H$85:$O$85</definedName>
    <definedName name="OSRRefE20_12x" localSheetId="53">'308'!$H$100:$O$100</definedName>
    <definedName name="OSRRefE20_12x" localSheetId="63">'310'!$H$67:$O$67</definedName>
    <definedName name="OSRRefE20_12x" localSheetId="71">'310 &amp; 491'!$H$74:$O$74</definedName>
    <definedName name="OSRRefE20_12x" localSheetId="54">'311'!$H$99:$O$99</definedName>
    <definedName name="OSRRefE20_12x" localSheetId="57">'315'!$H$117:$O$117</definedName>
    <definedName name="OSRRefE20_12x" localSheetId="62">'317'!$H$92:$O$92</definedName>
    <definedName name="OSRRefE20_12x" localSheetId="66">'321'!$H$66:$O$66</definedName>
    <definedName name="OSRRefE20_12x" localSheetId="68">'325'!$H$61:$O$61</definedName>
    <definedName name="OSRRefE20_12x" localSheetId="58">'326'!$H$83:$O$83</definedName>
    <definedName name="OSRRefE20_12x" localSheetId="51">'330'!$H$85:$O$85</definedName>
    <definedName name="OSRRefE20_12x" localSheetId="56">'331'!$H$117:$O$117</definedName>
    <definedName name="OSRRefE20_12x" localSheetId="73">'405'!$H$66:$O$66</definedName>
    <definedName name="OSRRefE20_12x" localSheetId="75">'411'!$H$64:$O$64</definedName>
    <definedName name="OSRRefE20_12x" localSheetId="76">'412'!$H$69:$O$69</definedName>
    <definedName name="OSRRefE20_12x" localSheetId="78">'414'!$H$64:$O$64</definedName>
    <definedName name="OSRRefE20_12x" localSheetId="79">'415'!$H$68:$O$68</definedName>
    <definedName name="OSRRefE20_12x" localSheetId="80">'418'!$H$73:$O$73</definedName>
    <definedName name="OSRRefE20_12x" localSheetId="88">'433'!$H$69:$O$69</definedName>
    <definedName name="OSRRefE20_12x" localSheetId="90">'444'!$H$69:$O$69</definedName>
    <definedName name="OSRRefE20_12x" localSheetId="91">'450'!$H$63:$O$63</definedName>
    <definedName name="OSRRefE20_12x" localSheetId="72">'491'!$H$70:$O$70</definedName>
    <definedName name="OSRRefE20_12x" localSheetId="86">'492'!$H$67:$O$67</definedName>
    <definedName name="OSRRefE20_12x" localSheetId="93">'501'!$H$66:$O$66</definedName>
    <definedName name="OSRRefE20_12x" localSheetId="39">'Div 2'!$H$63:$O$63</definedName>
    <definedName name="OSRRefE20_12x" localSheetId="47">'Div 3'!$H$161:$O$161</definedName>
    <definedName name="OSRRefE20_12x" localSheetId="70">'Div 4'!$H$73:$O$73</definedName>
    <definedName name="OSRRefE20_12x" localSheetId="92">'Div 5'!$H$66:$O$66</definedName>
    <definedName name="OSRRefE20_12x" localSheetId="61">'Div 6'!$H$92:$O$92</definedName>
    <definedName name="OSRRefE20_12x" localSheetId="2">Summary!$H$189:$O$189</definedName>
    <definedName name="OSRRefE20_13x" localSheetId="41">'201'!$H$64:$O$64</definedName>
    <definedName name="OSRRefE20_13x" localSheetId="43">'203'!$H$66:$O$66</definedName>
    <definedName name="OSRRefE20_13x" localSheetId="48">'300'!$H$159:$O$159</definedName>
    <definedName name="OSRRefE20_13x" localSheetId="49">'300 &amp; 317'!$H$181:$O$181</definedName>
    <definedName name="OSRRefE20_13x" localSheetId="50">'301'!$H$63:$O$63</definedName>
    <definedName name="OSRRefE20_13x" localSheetId="53">'308'!$H$103:$O$103</definedName>
    <definedName name="OSRRefE20_13x" localSheetId="63">'310'!$H$69:$O$69</definedName>
    <definedName name="OSRRefE20_13x" localSheetId="71">'310 &amp; 491'!$H$76:$O$76</definedName>
    <definedName name="OSRRefE20_13x" localSheetId="54">'311'!$H$102:$O$102</definedName>
    <definedName name="OSRRefE20_13x" localSheetId="57">'315'!$H$121:$O$121</definedName>
    <definedName name="OSRRefE20_13x" localSheetId="68">'325'!$H$67:$O$67</definedName>
    <definedName name="OSRRefE20_13x" localSheetId="58">'326'!$H$86:$O$86</definedName>
    <definedName name="OSRRefE20_13x" localSheetId="56">'331'!$H$119:$O$119</definedName>
    <definedName name="OSRRefE20_13x" localSheetId="73">'405'!$H$68:$O$68</definedName>
    <definedName name="OSRRefE20_13x" localSheetId="75">'411'!$H$71:$O$71</definedName>
    <definedName name="OSRRefE20_13x" localSheetId="76">'412'!$H$72:$O$72</definedName>
    <definedName name="OSRRefE20_13x" localSheetId="78">'414'!$H$68:$O$68</definedName>
    <definedName name="OSRRefE20_13x" localSheetId="79">'415'!$H$73:$O$73</definedName>
    <definedName name="OSRRefE20_13x" localSheetId="80">'418'!$H$76:$O$76</definedName>
    <definedName name="OSRRefE20_13x" localSheetId="88">'433'!$H$74:$O$74</definedName>
    <definedName name="OSRRefE20_13x" localSheetId="90">'444'!$H$73:$O$73</definedName>
    <definedName name="OSRRefE20_13x" localSheetId="91">'450'!$H$65:$O$65</definedName>
    <definedName name="OSRRefE20_13x" localSheetId="72">'491'!$H$72:$O$72</definedName>
    <definedName name="OSRRefE20_13x" localSheetId="86">'492'!$H$71:$O$71</definedName>
    <definedName name="OSRRefE20_13x" localSheetId="93">'501'!$H$68:$O$68</definedName>
    <definedName name="OSRRefE20_13x" localSheetId="39">'Div 2'!$H$68:$O$68</definedName>
    <definedName name="OSRRefE20_13x" localSheetId="47">'Div 3'!$H$163:$O$163</definedName>
    <definedName name="OSRRefE20_13x" localSheetId="70">'Div 4'!$H$75:$O$75</definedName>
    <definedName name="OSRRefE20_13x" localSheetId="92">'Div 5'!$H$68:$O$68</definedName>
    <definedName name="OSRRefE20_13x" localSheetId="2">Summary!$H$191:$O$191</definedName>
    <definedName name="OSRRefE20_14x" localSheetId="41">'201'!$H$68:$O$68</definedName>
    <definedName name="OSRRefE20_14x" localSheetId="48">'300'!$H$161:$O$161</definedName>
    <definedName name="OSRRefE20_14x" localSheetId="49">'300 &amp; 317'!$H$183:$O$183</definedName>
    <definedName name="OSRRefE20_14x" localSheetId="50">'301'!$H$68:$O$68</definedName>
    <definedName name="OSRRefE20_14x" localSheetId="53">'308'!$H$105:$O$105</definedName>
    <definedName name="OSRRefE20_14x" localSheetId="63">'310'!$H$72:$O$72</definedName>
    <definedName name="OSRRefE20_14x" localSheetId="71">'310 &amp; 491'!$H$78:$O$78</definedName>
    <definedName name="OSRRefE20_14x" localSheetId="54">'311'!$H$104:$O$104</definedName>
    <definedName name="OSRRefE20_14x" localSheetId="57">'315'!$H$124:$O$124</definedName>
    <definedName name="OSRRefE20_14x" localSheetId="68">'325'!$H$70:$O$70</definedName>
    <definedName name="OSRRefE20_14x" localSheetId="58">'326'!$H$90:$O$90</definedName>
    <definedName name="OSRRefE20_14x" localSheetId="56">'331'!$H$122:$O$122</definedName>
    <definedName name="OSRRefE20_14x" localSheetId="73">'405'!$H$77:$O$77</definedName>
    <definedName name="OSRRefE20_14x" localSheetId="75">'411'!$H$73:$O$73</definedName>
    <definedName name="OSRRefE20_14x" localSheetId="78">'414'!$H$70:$O$70</definedName>
    <definedName name="OSRRefE20_14x" localSheetId="79">'415'!$H$75:$O$75</definedName>
    <definedName name="OSRRefE20_14x" localSheetId="88">'433'!$H$83:$O$83</definedName>
    <definedName name="OSRRefE20_14x" localSheetId="90">'444'!$H$82:$O$82</definedName>
    <definedName name="OSRRefE20_14x" localSheetId="91">'450'!$H$69:$O$69</definedName>
    <definedName name="OSRRefE20_14x" localSheetId="72">'491'!$H$74:$O$74</definedName>
    <definedName name="OSRRefE20_14x" localSheetId="86">'492'!$H$76:$O$76</definedName>
    <definedName name="OSRRefE20_14x" localSheetId="39">'Div 2'!$H$73:$O$73</definedName>
    <definedName name="OSRRefE20_14x" localSheetId="47">'Div 3'!$H$165:$O$165</definedName>
    <definedName name="OSRRefE20_14x" localSheetId="70">'Div 4'!$H$77:$O$77</definedName>
    <definedName name="OSRRefE20_14x" localSheetId="2">Summary!$H$193:$O$193</definedName>
    <definedName name="OSRRefE20_15x" localSheetId="41">'201'!$H$70:$O$70</definedName>
    <definedName name="OSRRefE20_15x" localSheetId="48">'300'!$H$163:$O$163</definedName>
    <definedName name="OSRRefE20_15x" localSheetId="49">'300 &amp; 317'!$H$185:$O$185</definedName>
    <definedName name="OSRRefE20_15x" localSheetId="50">'301'!$H$72:$O$72</definedName>
    <definedName name="OSRRefE20_15x" localSheetId="63">'310'!$H$74:$O$74</definedName>
    <definedName name="OSRRefE20_15x" localSheetId="71">'310 &amp; 491'!$H$82:$O$82</definedName>
    <definedName name="OSRRefE20_15x" localSheetId="57">'315'!$H$132:$O$132</definedName>
    <definedName name="OSRRefE20_15x" localSheetId="58">'326'!$H$93:$O$93</definedName>
    <definedName name="OSRRefE20_15x" localSheetId="56">'331'!$H$126:$O$126</definedName>
    <definedName name="OSRRefE20_15x" localSheetId="73">'405'!$H$79:$O$79</definedName>
    <definedName name="OSRRefE20_15x" localSheetId="75">'411'!$H$75:$O$75</definedName>
    <definedName name="OSRRefE20_15x" localSheetId="79">'415'!$H$82:$O$82</definedName>
    <definedName name="OSRRefE20_15x" localSheetId="88">'433'!$H$85:$O$85</definedName>
    <definedName name="OSRRefE20_15x" localSheetId="90">'444'!$H$85:$O$85</definedName>
    <definedName name="OSRRefE20_15x" localSheetId="91">'450'!$H$76:$O$76</definedName>
    <definedName name="OSRRefE20_15x" localSheetId="72">'491'!$H$78:$O$78</definedName>
    <definedName name="OSRRefE20_15x" localSheetId="86">'492'!$H$87:$O$87</definedName>
    <definedName name="OSRRefE20_15x" localSheetId="39">'Div 2'!$H$76:$O$76</definedName>
    <definedName name="OSRRefE20_15x" localSheetId="47">'Div 3'!$H$167:$O$167</definedName>
    <definedName name="OSRRefE20_15x" localSheetId="70">'Div 4'!$H$79:$O$79</definedName>
    <definedName name="OSRRefE20_15x" localSheetId="2">Summary!$H$195:$O$195</definedName>
    <definedName name="OSRRefE20_16x" localSheetId="41">'201'!$H$72:$O$72</definedName>
    <definedName name="OSRRefE20_16x" localSheetId="48">'300'!$H$165:$O$165</definedName>
    <definedName name="OSRRefE20_16x" localSheetId="49">'300 &amp; 317'!$H$187:$O$187</definedName>
    <definedName name="OSRRefE20_16x" localSheetId="50">'301'!$H$74:$O$74</definedName>
    <definedName name="OSRRefE20_16x" localSheetId="63">'310'!$H$77:$O$77</definedName>
    <definedName name="OSRRefE20_16x" localSheetId="71">'310 &amp; 491'!$H$85:$O$85</definedName>
    <definedName name="OSRRefE20_16x" localSheetId="57">'315'!$H$134:$O$134</definedName>
    <definedName name="OSRRefE20_16x" localSheetId="58">'326'!$H$100:$O$100</definedName>
    <definedName name="OSRRefE20_16x" localSheetId="56">'331'!$H$130:$O$130</definedName>
    <definedName name="OSRRefE20_16x" localSheetId="73">'405'!$H$81:$O$81</definedName>
    <definedName name="OSRRefE20_16x" localSheetId="79">'415'!$H$85:$O$85</definedName>
    <definedName name="OSRRefE20_16x" localSheetId="91">'450'!$H$79:$O$79</definedName>
    <definedName name="OSRRefE20_16x" localSheetId="72">'491'!$H$81:$O$81</definedName>
    <definedName name="OSRRefE20_16x" localSheetId="86">'492'!$H$90:$O$90</definedName>
    <definedName name="OSRRefE20_16x" localSheetId="39">'Div 2'!$H$79:$O$79</definedName>
    <definedName name="OSRRefE20_16x" localSheetId="47">'Div 3'!$H$169:$O$169</definedName>
    <definedName name="OSRRefE20_16x" localSheetId="70">'Div 4'!$H$84:$O$84</definedName>
    <definedName name="OSRRefE20_16x" localSheetId="2">Summary!$H$197:$O$197</definedName>
    <definedName name="OSRRefE20_17x" localSheetId="48">'300'!$H$170:$O$170</definedName>
    <definedName name="OSRRefE20_17x" localSheetId="49">'300 &amp; 317'!$H$192:$O$192</definedName>
    <definedName name="OSRRefE20_17x" localSheetId="50">'301'!$H$82:$O$82</definedName>
    <definedName name="OSRRefE20_17x" localSheetId="63">'310'!$H$85:$O$85</definedName>
    <definedName name="OSRRefE20_17x" localSheetId="71">'310 &amp; 491'!$H$91:$O$91</definedName>
    <definedName name="OSRRefE20_17x" localSheetId="57">'315'!$H$136:$O$136</definedName>
    <definedName name="OSRRefE20_17x" localSheetId="58">'326'!$H$103:$O$103</definedName>
    <definedName name="OSRRefE20_17x" localSheetId="56">'331'!$H$133:$O$133</definedName>
    <definedName name="OSRRefE20_17x" localSheetId="72">'491'!$H$87:$O$87</definedName>
    <definedName name="OSRRefE20_17x" localSheetId="86">'492'!$H$92:$O$92</definedName>
    <definedName name="OSRRefE20_17x" localSheetId="39">'Div 2'!$H$84:$O$84</definedName>
    <definedName name="OSRRefE20_17x" localSheetId="47">'Div 3'!$H$171:$O$171</definedName>
    <definedName name="OSRRefE20_17x" localSheetId="70">'Div 4'!$H$87:$O$87</definedName>
    <definedName name="OSRRefE20_17x" localSheetId="2">Summary!$H$199:$O$199</definedName>
    <definedName name="OSRRefE20_18x" localSheetId="48">'300'!$H$175:$O$175</definedName>
    <definedName name="OSRRefE20_18x" localSheetId="49">'300 &amp; 317'!$H$197:$O$197</definedName>
    <definedName name="OSRRefE20_18x" localSheetId="50">'301'!$H$84:$O$84</definedName>
    <definedName name="OSRRefE20_18x" localSheetId="63">'310'!$H$88:$O$88</definedName>
    <definedName name="OSRRefE20_18x" localSheetId="71">'310 &amp; 491'!$H$94:$O$94</definedName>
    <definedName name="OSRRefE20_18x" localSheetId="58">'326'!$H$105:$O$105</definedName>
    <definedName name="OSRRefE20_18x" localSheetId="56">'331'!$H$142:$O$142</definedName>
    <definedName name="OSRRefE20_18x" localSheetId="72">'491'!$H$90:$O$90</definedName>
    <definedName name="OSRRefE20_18x" localSheetId="39">'Div 2'!$H$87:$O$87</definedName>
    <definedName name="OSRRefE20_18x" localSheetId="47">'Div 3'!$H$176:$O$176</definedName>
    <definedName name="OSRRefE20_18x" localSheetId="70">'Div 4'!$H$93:$O$93</definedName>
    <definedName name="OSRRefE20_18x" localSheetId="2">Summary!$H$201:$O$201</definedName>
    <definedName name="OSRRefE20_19x" localSheetId="48">'300'!$H$180:$O$180</definedName>
    <definedName name="OSRRefE20_19x" localSheetId="49">'300 &amp; 317'!$H$202:$O$202</definedName>
    <definedName name="OSRRefE20_19x" localSheetId="50">'301'!$H$86:$O$86</definedName>
    <definedName name="OSRRefE20_19x" localSheetId="63">'310'!$H$90:$O$90</definedName>
    <definedName name="OSRRefE20_19x" localSheetId="71">'310 &amp; 491'!$H$106:$O$106</definedName>
    <definedName name="OSRRefE20_19x" localSheetId="58">'326'!$H$108:$O$108</definedName>
    <definedName name="OSRRefE20_19x" localSheetId="56">'331'!$H$145:$O$145</definedName>
    <definedName name="OSRRefE20_19x" localSheetId="72">'491'!$H$102:$O$102</definedName>
    <definedName name="OSRRefE20_19x" localSheetId="39">'Div 2'!$H$89:$O$89</definedName>
    <definedName name="OSRRefE20_19x" localSheetId="47">'Div 3'!$H$181:$O$181</definedName>
    <definedName name="OSRRefE20_19x" localSheetId="70">'Div 4'!$H$96:$O$96</definedName>
    <definedName name="OSRRefE20_19x" localSheetId="2">Summary!$H$206:$O$206</definedName>
    <definedName name="OSRRefE20_1x" localSheetId="40">'200'!$H$20:$O$20</definedName>
    <definedName name="OSRRefE20_1x" localSheetId="41">'201'!$H$28:$O$28</definedName>
    <definedName name="OSRRefE20_1x" localSheetId="42">'202'!$H$28:$O$28</definedName>
    <definedName name="OSRRefE20_1x" localSheetId="43">'203'!$H$29:$O$29</definedName>
    <definedName name="OSRRefE20_1x" localSheetId="44">'204'!$H$29:$O$29</definedName>
    <definedName name="OSRRefE20_1x" localSheetId="45">'205'!$H$28:$O$28</definedName>
    <definedName name="OSRRefE20_1x" localSheetId="46">'206'!$H$28:$O$28</definedName>
    <definedName name="OSRRefE20_1x" localSheetId="48">'300'!$H$121:$O$121</definedName>
    <definedName name="OSRRefE20_1x" localSheetId="49">'300 &amp; 317'!$H$143:$O$143</definedName>
    <definedName name="OSRRefE20_1x" localSheetId="50">'301'!$H$28:$O$28</definedName>
    <definedName name="OSRRefE20_1x" localSheetId="52">'307'!$H$46:$O$46</definedName>
    <definedName name="OSRRefE20_1x" localSheetId="53">'308'!$H$63:$O$63</definedName>
    <definedName name="OSRRefE20_1x" localSheetId="64">'309'!$H$29:$O$29</definedName>
    <definedName name="OSRRefE20_1x" localSheetId="63">'310'!$H$35:$O$35</definedName>
    <definedName name="OSRRefE20_1x" localSheetId="71">'310 &amp; 491'!$H$40:$O$40</definedName>
    <definedName name="OSRRefE20_1x" localSheetId="54">'311'!$H$62:$O$62</definedName>
    <definedName name="OSRRefE20_1x" localSheetId="65">'313'!$H$29:$O$29</definedName>
    <definedName name="OSRRefE20_1x" localSheetId="57">'315'!$H$85:$O$85</definedName>
    <definedName name="OSRRefE20_1x" localSheetId="60">'316'!$H$38:$O$38</definedName>
    <definedName name="OSRRefE20_1x" localSheetId="62">'317'!$H$58:$O$58</definedName>
    <definedName name="OSRRefE20_1x" localSheetId="66">'321'!$H$31:$O$31</definedName>
    <definedName name="OSRRefE20_1x" localSheetId="67">'322'!$H$30:$O$30</definedName>
    <definedName name="OSRRefE20_1x" localSheetId="55">'324'!$H$34:$O$34</definedName>
    <definedName name="OSRRefE20_1x" localSheetId="68">'325'!$H$29:$O$29</definedName>
    <definedName name="OSRRefE20_1x" localSheetId="58">'326'!$H$52:$O$52</definedName>
    <definedName name="OSRRefE20_1x" localSheetId="51">'330'!$H$46:$O$46</definedName>
    <definedName name="OSRRefE20_1x" localSheetId="56">'331'!$H$85:$O$85</definedName>
    <definedName name="OSRRefE20_1x" localSheetId="59">'332'!$H$38:$O$38</definedName>
    <definedName name="OSRRefE20_1x" localSheetId="73">'405'!$H$30:$O$30</definedName>
    <definedName name="OSRRefE20_1x" localSheetId="74">'406'!$H$20:$O$20</definedName>
    <definedName name="OSRRefE20_1x" localSheetId="75">'411'!$H$28:$O$28</definedName>
    <definedName name="OSRRefE20_1x" localSheetId="76">'412'!$H$29:$O$29</definedName>
    <definedName name="OSRRefE20_1x" localSheetId="77">'413'!$H$31:$O$31</definedName>
    <definedName name="OSRRefE20_1x" localSheetId="78">'414'!$H$32:$O$32</definedName>
    <definedName name="OSRRefE20_1x" localSheetId="79">'415'!$H$35:$O$35</definedName>
    <definedName name="OSRRefE20_1x" localSheetId="80">'418'!$H$30:$O$30</definedName>
    <definedName name="OSRRefE20_1x" localSheetId="82">'423'!$H$27:$O$27</definedName>
    <definedName name="OSRRefE20_1x" localSheetId="83">'424'!$H$20:$O$20</definedName>
    <definedName name="OSRRefE20_1x" localSheetId="84">'425'!$H$24:$O$24</definedName>
    <definedName name="OSRRefE20_1x" localSheetId="87">'430'!$H$28:$O$28</definedName>
    <definedName name="OSRRefE20_1x" localSheetId="88">'433'!$H$36:$O$36</definedName>
    <definedName name="OSRRefE20_1x" localSheetId="90">'444'!$H$36:$O$36</definedName>
    <definedName name="OSRRefE20_1x" localSheetId="91">'450'!$H$32:$O$32</definedName>
    <definedName name="OSRRefE20_1x" localSheetId="72">'491'!$H$37:$O$37</definedName>
    <definedName name="OSRRefE20_1x" localSheetId="86">'492'!$H$36:$O$36</definedName>
    <definedName name="OSRRefE20_1x" localSheetId="93">'501'!$H$31:$O$31</definedName>
    <definedName name="OSRRefE20_1x" localSheetId="39">'Div 2'!$H$30:$O$30</definedName>
    <definedName name="OSRRefE20_1x" localSheetId="47">'Div 3'!$H$125:$O$125</definedName>
    <definedName name="OSRRefE20_1x" localSheetId="70">'Div 4'!$H$40:$O$40</definedName>
    <definedName name="OSRRefE20_1x" localSheetId="92">'Div 5'!$H$31:$O$31</definedName>
    <definedName name="OSRRefE20_1x" localSheetId="61">'Div 6'!$H$58:$O$58</definedName>
    <definedName name="OSRRefE20_1x" localSheetId="2">Summary!$H$152:$O$152</definedName>
    <definedName name="OSRRefE20_20x" localSheetId="48">'300'!$H$183:$O$183</definedName>
    <definedName name="OSRRefE20_20x" localSheetId="49">'300 &amp; 317'!$H$205:$O$205</definedName>
    <definedName name="OSRRefE20_20x" localSheetId="50">'301'!$H$88:$O$88</definedName>
    <definedName name="OSRRefE20_20x" localSheetId="71">'310 &amp; 491'!$H$109:$O$109</definedName>
    <definedName name="OSRRefE20_20x" localSheetId="56">'331'!$H$147:$O$147</definedName>
    <definedName name="OSRRefE20_20x" localSheetId="72">'491'!$H$105:$O$105</definedName>
    <definedName name="OSRRefE20_20x" localSheetId="47">'Div 3'!$H$186:$O$186</definedName>
    <definedName name="OSRRefE20_20x" localSheetId="70">'Div 4'!$H$108:$O$108</definedName>
    <definedName name="OSRRefE20_20x" localSheetId="2">Summary!$H$211:$O$211</definedName>
    <definedName name="OSRRefE20_21x" localSheetId="48">'300'!$H$193:$O$193</definedName>
    <definedName name="OSRRefE20_21x" localSheetId="49">'300 &amp; 317'!$H$215:$O$215</definedName>
    <definedName name="OSRRefE20_21x" localSheetId="71">'310 &amp; 491'!$H$111:$O$111</definedName>
    <definedName name="OSRRefE20_21x" localSheetId="56">'331'!$H$150:$O$150</definedName>
    <definedName name="OSRRefE20_21x" localSheetId="72">'491'!$H$107:$O$107</definedName>
    <definedName name="OSRRefE20_21x" localSheetId="47">'Div 3'!$H$189:$O$189</definedName>
    <definedName name="OSRRefE20_21x" localSheetId="70">'Div 4'!$H$111:$O$111</definedName>
    <definedName name="OSRRefE20_21x" localSheetId="2">Summary!$H$217:$O$217</definedName>
    <definedName name="OSRRefE20_22x" localSheetId="48">'300'!$H$196:$O$196</definedName>
    <definedName name="OSRRefE20_22x" localSheetId="49">'300 &amp; 317'!$H$218:$O$218</definedName>
    <definedName name="OSRRefE20_22x" localSheetId="71">'310 &amp; 491'!$H$113:$O$113</definedName>
    <definedName name="OSRRefE20_22x" localSheetId="72">'491'!$H$109:$O$109</definedName>
    <definedName name="OSRRefE20_22x" localSheetId="47">'Div 3'!$H$199:$O$199</definedName>
    <definedName name="OSRRefE20_22x" localSheetId="70">'Div 4'!$H$113:$O$113</definedName>
    <definedName name="OSRRefE20_22x" localSheetId="2">Summary!$H$220:$O$220</definedName>
    <definedName name="OSRRefE20_23x" localSheetId="48">'300'!$H$198:$O$198</definedName>
    <definedName name="OSRRefE20_23x" localSheetId="49">'300 &amp; 317'!$H$220:$O$220</definedName>
    <definedName name="OSRRefE20_23x" localSheetId="47">'Div 3'!$H$202:$O$202</definedName>
    <definedName name="OSRRefE20_23x" localSheetId="70">'Div 4'!$H$116:$O$116</definedName>
    <definedName name="OSRRefE20_23x" localSheetId="2">Summary!$H$232:$O$232</definedName>
    <definedName name="OSRRefE20_24x" localSheetId="48">'300'!$H$202:$O$202</definedName>
    <definedName name="OSRRefE20_24x" localSheetId="49">'300 &amp; 317'!$H$224:$O$224</definedName>
    <definedName name="OSRRefE20_24x" localSheetId="47">'Div 3'!$H$204:$O$204</definedName>
    <definedName name="OSRRefE20_24x" localSheetId="2">Summary!$H$235:$O$235</definedName>
    <definedName name="OSRRefE20_25x" localSheetId="47">'Div 3'!$H$208:$O$208</definedName>
    <definedName name="OSRRefE20_25x" localSheetId="2">Summary!$H$237:$O$237</definedName>
    <definedName name="OSRRefE20_26x" localSheetId="2">Summary!$H$241:$O$241</definedName>
    <definedName name="OSRRefE20_2x" localSheetId="40">'200'!$H$22:$O$22</definedName>
    <definedName name="OSRRefE20_2x" localSheetId="41">'201'!$H$39:$O$39</definedName>
    <definedName name="OSRRefE20_2x" localSheetId="42">'202'!$H$39:$O$39</definedName>
    <definedName name="OSRRefE20_2x" localSheetId="43">'203'!$H$40:$O$40</definedName>
    <definedName name="OSRRefE20_2x" localSheetId="44">'204'!$H$40:$O$40</definedName>
    <definedName name="OSRRefE20_2x" localSheetId="45">'205'!$H$39:$O$39</definedName>
    <definedName name="OSRRefE20_2x" localSheetId="46">'206'!$H$39:$O$39</definedName>
    <definedName name="OSRRefE20_2x" localSheetId="48">'300'!$H$132:$O$132</definedName>
    <definedName name="OSRRefE20_2x" localSheetId="49">'300 &amp; 317'!$H$154:$O$154</definedName>
    <definedName name="OSRRefE20_2x" localSheetId="50">'301'!$H$39:$O$39</definedName>
    <definedName name="OSRRefE20_2x" localSheetId="52">'307'!$H$57:$O$57</definedName>
    <definedName name="OSRRefE20_2x" localSheetId="53">'308'!$H$74:$O$74</definedName>
    <definedName name="OSRRefE20_2x" localSheetId="64">'309'!$H$40:$O$40</definedName>
    <definedName name="OSRRefE20_2x" localSheetId="63">'310'!$H$46:$O$46</definedName>
    <definedName name="OSRRefE20_2x" localSheetId="71">'310 &amp; 491'!$H$51:$O$51</definedName>
    <definedName name="OSRRefE20_2x" localSheetId="54">'311'!$H$73:$O$73</definedName>
    <definedName name="OSRRefE20_2x" localSheetId="65">'313'!$H$40:$O$40</definedName>
    <definedName name="OSRRefE20_2x" localSheetId="57">'315'!$H$96:$O$96</definedName>
    <definedName name="OSRRefE20_2x" localSheetId="60">'316'!$H$49:$O$49</definedName>
    <definedName name="OSRRefE20_2x" localSheetId="62">'317'!$H$69:$O$69</definedName>
    <definedName name="OSRRefE20_2x" localSheetId="66">'321'!$H$42:$O$42</definedName>
    <definedName name="OSRRefE20_2x" localSheetId="67">'322'!$H$41:$O$41</definedName>
    <definedName name="OSRRefE20_2x" localSheetId="68">'325'!$H$40:$O$40</definedName>
    <definedName name="OSRRefE20_2x" localSheetId="58">'326'!$H$63:$O$63</definedName>
    <definedName name="OSRRefE20_2x" localSheetId="51">'330'!$H$57:$O$57</definedName>
    <definedName name="OSRRefE20_2x" localSheetId="56">'331'!$H$96:$O$96</definedName>
    <definedName name="OSRRefE20_2x" localSheetId="59">'332'!$H$49:$O$49</definedName>
    <definedName name="OSRRefE20_2x" localSheetId="73">'405'!$H$41:$O$41</definedName>
    <definedName name="OSRRefE20_2x" localSheetId="74">'406'!$H$22:$O$22</definedName>
    <definedName name="OSRRefE20_2x" localSheetId="75">'411'!$H$39:$O$39</definedName>
    <definedName name="OSRRefE20_2x" localSheetId="76">'412'!$H$40:$O$40</definedName>
    <definedName name="OSRRefE20_2x" localSheetId="77">'413'!$H$42:$O$42</definedName>
    <definedName name="OSRRefE20_2x" localSheetId="78">'414'!$H$43:$O$43</definedName>
    <definedName name="OSRRefE20_2x" localSheetId="79">'415'!$H$46:$O$46</definedName>
    <definedName name="OSRRefE20_2x" localSheetId="80">'418'!$H$41:$O$41</definedName>
    <definedName name="OSRRefE20_2x" localSheetId="82">'423'!$H$38:$O$38</definedName>
    <definedName name="OSRRefE20_2x" localSheetId="83">'424'!$H$22:$O$22</definedName>
    <definedName name="OSRRefE20_2x" localSheetId="84">'425'!$H$26:$O$26</definedName>
    <definedName name="OSRRefE20_2x" localSheetId="87">'430'!$H$39:$O$39</definedName>
    <definedName name="OSRRefE20_2x" localSheetId="88">'433'!$H$47:$O$47</definedName>
    <definedName name="OSRRefE20_2x" localSheetId="90">'444'!$H$47:$O$47</definedName>
    <definedName name="OSRRefE20_2x" localSheetId="91">'450'!$H$43:$O$43</definedName>
    <definedName name="OSRRefE20_2x" localSheetId="72">'491'!$H$48:$O$48</definedName>
    <definedName name="OSRRefE20_2x" localSheetId="86">'492'!$H$47:$O$47</definedName>
    <definedName name="OSRRefE20_2x" localSheetId="93">'501'!$H$42:$O$42</definedName>
    <definedName name="OSRRefE20_2x" localSheetId="39">'Div 2'!$H$41:$O$41</definedName>
    <definedName name="OSRRefE20_2x" localSheetId="47">'Div 3'!$H$136:$O$136</definedName>
    <definedName name="OSRRefE20_2x" localSheetId="70">'Div 4'!$H$51:$O$51</definedName>
    <definedName name="OSRRefE20_2x" localSheetId="92">'Div 5'!$H$42:$O$42</definedName>
    <definedName name="OSRRefE20_2x" localSheetId="61">'Div 6'!$H$69:$O$69</definedName>
    <definedName name="OSRRefE20_2x" localSheetId="2">Summary!$H$163:$O$163</definedName>
    <definedName name="OSRRefE20_3x" localSheetId="40">'200'!$H$24:$O$24</definedName>
    <definedName name="OSRRefE20_3x" localSheetId="41">'201'!$H$41:$O$41</definedName>
    <definedName name="OSRRefE20_3x" localSheetId="42">'202'!$H$41:$O$41</definedName>
    <definedName name="OSRRefE20_3x" localSheetId="43">'203'!$H$42:$O$42</definedName>
    <definedName name="OSRRefE20_3x" localSheetId="44">'204'!$H$42:$O$42</definedName>
    <definedName name="OSRRefE20_3x" localSheetId="45">'205'!$H$41:$O$41</definedName>
    <definedName name="OSRRefE20_3x" localSheetId="46">'206'!$H$41:$O$41</definedName>
    <definedName name="OSRRefE20_3x" localSheetId="48">'300'!$H$134:$O$134</definedName>
    <definedName name="OSRRefE20_3x" localSheetId="49">'300 &amp; 317'!$H$156:$O$156</definedName>
    <definedName name="OSRRefE20_3x" localSheetId="50">'301'!$H$42:$O$42</definedName>
    <definedName name="OSRRefE20_3x" localSheetId="52">'307'!$H$59:$O$59</definedName>
    <definedName name="OSRRefE20_3x" localSheetId="53">'308'!$H$76:$O$76</definedName>
    <definedName name="OSRRefE20_3x" localSheetId="64">'309'!$H$42:$O$42</definedName>
    <definedName name="OSRRefE20_3x" localSheetId="63">'310'!$H$48:$O$48</definedName>
    <definedName name="OSRRefE20_3x" localSheetId="71">'310 &amp; 491'!$H$53:$O$53</definedName>
    <definedName name="OSRRefE20_3x" localSheetId="54">'311'!$H$75:$O$75</definedName>
    <definedName name="OSRRefE20_3x" localSheetId="65">'313'!$H$42:$O$42</definedName>
    <definedName name="OSRRefE20_3x" localSheetId="57">'315'!$H$98:$O$98</definedName>
    <definedName name="OSRRefE20_3x" localSheetId="60">'316'!$H$51:$O$51</definedName>
    <definedName name="OSRRefE20_3x" localSheetId="62">'317'!$H$71:$O$71</definedName>
    <definedName name="OSRRefE20_3x" localSheetId="66">'321'!$H$44:$O$44</definedName>
    <definedName name="OSRRefE20_3x" localSheetId="67">'322'!$H$43:$O$43</definedName>
    <definedName name="OSRRefE20_3x" localSheetId="68">'325'!$H$42:$O$42</definedName>
    <definedName name="OSRRefE20_3x" localSheetId="58">'326'!$H$65:$O$65</definedName>
    <definedName name="OSRRefE20_3x" localSheetId="51">'330'!$H$59:$O$59</definedName>
    <definedName name="OSRRefE20_3x" localSheetId="56">'331'!$H$98:$O$98</definedName>
    <definedName name="OSRRefE20_3x" localSheetId="59">'332'!$H$51:$O$51</definedName>
    <definedName name="OSRRefE20_3x" localSheetId="73">'405'!$H$43:$O$43</definedName>
    <definedName name="OSRRefE20_3x" localSheetId="74">'406'!$H$24:$O$24</definedName>
    <definedName name="OSRRefE20_3x" localSheetId="75">'411'!$H$41:$O$41</definedName>
    <definedName name="OSRRefE20_3x" localSheetId="76">'412'!$H$42:$O$42</definedName>
    <definedName name="OSRRefE20_3x" localSheetId="77">'413'!$H$44:$O$44</definedName>
    <definedName name="OSRRefE20_3x" localSheetId="78">'414'!$H$45:$O$45</definedName>
    <definedName name="OSRRefE20_3x" localSheetId="79">'415'!$H$48:$O$48</definedName>
    <definedName name="OSRRefE20_3x" localSheetId="80">'418'!$H$43:$O$43</definedName>
    <definedName name="OSRRefE20_3x" localSheetId="82">'423'!$H$40:$O$40</definedName>
    <definedName name="OSRRefE20_3x" localSheetId="83">'424'!$H$24:$O$24</definedName>
    <definedName name="OSRRefE20_3x" localSheetId="84">'425'!$H$28:$O$28</definedName>
    <definedName name="OSRRefE20_3x" localSheetId="87">'430'!$H$41:$O$41</definedName>
    <definedName name="OSRRefE20_3x" localSheetId="88">'433'!$H$49:$O$49</definedName>
    <definedName name="OSRRefE20_3x" localSheetId="90">'444'!$H$49:$O$49</definedName>
    <definedName name="OSRRefE20_3x" localSheetId="91">'450'!$H$45:$O$45</definedName>
    <definedName name="OSRRefE20_3x" localSheetId="72">'491'!$H$50:$O$50</definedName>
    <definedName name="OSRRefE20_3x" localSheetId="86">'492'!$H$49:$O$49</definedName>
    <definedName name="OSRRefE20_3x" localSheetId="93">'501'!$H$44:$O$44</definedName>
    <definedName name="OSRRefE20_3x" localSheetId="39">'Div 2'!$H$43:$O$43</definedName>
    <definedName name="OSRRefE20_3x" localSheetId="47">'Div 3'!$H$138:$O$138</definedName>
    <definedName name="OSRRefE20_3x" localSheetId="70">'Div 4'!$H$53:$O$53</definedName>
    <definedName name="OSRRefE20_3x" localSheetId="92">'Div 5'!$H$44:$O$44</definedName>
    <definedName name="OSRRefE20_3x" localSheetId="61">'Div 6'!$H$71:$O$71</definedName>
    <definedName name="OSRRefE20_3x" localSheetId="2">Summary!$H$165:$O$165</definedName>
    <definedName name="OSRRefE20_4x" localSheetId="40">'200'!$H$26:$O$26</definedName>
    <definedName name="OSRRefE20_4x" localSheetId="41">'201'!$H$43:$O$43</definedName>
    <definedName name="OSRRefE20_4x" localSheetId="42">'202'!$H$43:$O$43</definedName>
    <definedName name="OSRRefE20_4x" localSheetId="43">'203'!$H$44:$O$44</definedName>
    <definedName name="OSRRefE20_4x" localSheetId="44">'204'!$H$44:$O$44</definedName>
    <definedName name="OSRRefE20_4x" localSheetId="45">'205'!$H$43:$O$43</definedName>
    <definedName name="OSRRefE20_4x" localSheetId="46">'206'!$H$43:$O$43</definedName>
    <definedName name="OSRRefE20_4x" localSheetId="48">'300'!$H$137:$O$137</definedName>
    <definedName name="OSRRefE20_4x" localSheetId="49">'300 &amp; 317'!$H$159:$O$159</definedName>
    <definedName name="OSRRefE20_4x" localSheetId="50">'301'!$H$44:$O$44</definedName>
    <definedName name="OSRRefE20_4x" localSheetId="52">'307'!$H$61:$O$61</definedName>
    <definedName name="OSRRefE20_4x" localSheetId="53">'308'!$H$78:$O$78</definedName>
    <definedName name="OSRRefE20_4x" localSheetId="64">'309'!$H$44:$O$44</definedName>
    <definedName name="OSRRefE20_4x" localSheetId="63">'310'!$H$50:$O$50</definedName>
    <definedName name="OSRRefE20_4x" localSheetId="71">'310 &amp; 491'!$H$55:$O$55</definedName>
    <definedName name="OSRRefE20_4x" localSheetId="54">'311'!$H$77:$O$77</definedName>
    <definedName name="OSRRefE20_4x" localSheetId="65">'313'!$H$44:$O$44</definedName>
    <definedName name="OSRRefE20_4x" localSheetId="57">'315'!$H$100:$O$100</definedName>
    <definedName name="OSRRefE20_4x" localSheetId="60">'316'!$H$53:$O$53</definedName>
    <definedName name="OSRRefE20_4x" localSheetId="62">'317'!$H$73:$O$73</definedName>
    <definedName name="OSRRefE20_4x" localSheetId="66">'321'!$H$46:$O$46</definedName>
    <definedName name="OSRRefE20_4x" localSheetId="67">'322'!$H$45:$O$45</definedName>
    <definedName name="OSRRefE20_4x" localSheetId="68">'325'!$H$44:$O$44</definedName>
    <definedName name="OSRRefE20_4x" localSheetId="58">'326'!$H$67:$O$67</definedName>
    <definedName name="OSRRefE20_4x" localSheetId="51">'330'!$H$61:$O$61</definedName>
    <definedName name="OSRRefE20_4x" localSheetId="56">'331'!$H$100:$O$100</definedName>
    <definedName name="OSRRefE20_4x" localSheetId="59">'332'!$H$53:$O$53</definedName>
    <definedName name="OSRRefE20_4x" localSheetId="73">'405'!$H$45:$O$45</definedName>
    <definedName name="OSRRefE20_4x" localSheetId="74">'406'!$H$26:$O$26</definedName>
    <definedName name="OSRRefE20_4x" localSheetId="75">'411'!$H$43:$O$43</definedName>
    <definedName name="OSRRefE20_4x" localSheetId="76">'412'!$H$44:$O$44</definedName>
    <definedName name="OSRRefE20_4x" localSheetId="77">'413'!$H$46:$O$46</definedName>
    <definedName name="OSRRefE20_4x" localSheetId="78">'414'!$H$47:$O$47</definedName>
    <definedName name="OSRRefE20_4x" localSheetId="79">'415'!$H$50:$O$50</definedName>
    <definedName name="OSRRefE20_4x" localSheetId="80">'418'!$H$45:$O$45</definedName>
    <definedName name="OSRRefE20_4x" localSheetId="82">'423'!$H$43:$O$43</definedName>
    <definedName name="OSRRefE20_4x" localSheetId="84">'425'!$H$30:$O$30</definedName>
    <definedName name="OSRRefE20_4x" localSheetId="87">'430'!$H$43:$O$43</definedName>
    <definedName name="OSRRefE20_4x" localSheetId="88">'433'!$H$51:$O$51</definedName>
    <definedName name="OSRRefE20_4x" localSheetId="90">'444'!$H$51:$O$51</definedName>
    <definedName name="OSRRefE20_4x" localSheetId="91">'450'!$H$47:$O$47</definedName>
    <definedName name="OSRRefE20_4x" localSheetId="72">'491'!$H$52:$O$52</definedName>
    <definedName name="OSRRefE20_4x" localSheetId="86">'492'!$H$51:$O$51</definedName>
    <definedName name="OSRRefE20_4x" localSheetId="93">'501'!$H$46:$O$46</definedName>
    <definedName name="OSRRefE20_4x" localSheetId="39">'Div 2'!$H$45:$O$45</definedName>
    <definedName name="OSRRefE20_4x" localSheetId="47">'Div 3'!$H$141:$O$141</definedName>
    <definedName name="OSRRefE20_4x" localSheetId="70">'Div 4'!$H$55:$O$55</definedName>
    <definedName name="OSRRefE20_4x" localSheetId="92">'Div 5'!$H$46:$O$46</definedName>
    <definedName name="OSRRefE20_4x" localSheetId="61">'Div 6'!$H$73:$O$73</definedName>
    <definedName name="OSRRefE20_4x" localSheetId="2">Summary!$H$168:$O$168</definedName>
    <definedName name="OSRRefE20_5x" localSheetId="41">'201'!$H$46:$O$46</definedName>
    <definedName name="OSRRefE20_5x" localSheetId="42">'202'!$H$46:$O$46</definedName>
    <definedName name="OSRRefE20_5x" localSheetId="43">'203'!$H$46:$O$46</definedName>
    <definedName name="OSRRefE20_5x" localSheetId="44">'204'!$H$48:$O$48</definedName>
    <definedName name="OSRRefE20_5x" localSheetId="45">'205'!$H$47:$O$47</definedName>
    <definedName name="OSRRefE20_5x" localSheetId="46">'206'!$H$45:$O$45</definedName>
    <definedName name="OSRRefE20_5x" localSheetId="48">'300'!$H$139:$O$139</definedName>
    <definedName name="OSRRefE20_5x" localSheetId="49">'300 &amp; 317'!$H$161:$O$161</definedName>
    <definedName name="OSRRefE20_5x" localSheetId="50">'301'!$H$47:$O$47</definedName>
    <definedName name="OSRRefE20_5x" localSheetId="52">'307'!$H$63:$O$63</definedName>
    <definedName name="OSRRefE20_5x" localSheetId="53">'308'!$H$80:$O$80</definedName>
    <definedName name="OSRRefE20_5x" localSheetId="64">'309'!$H$46:$O$46</definedName>
    <definedName name="OSRRefE20_5x" localSheetId="63">'310'!$H$52:$O$52</definedName>
    <definedName name="OSRRefE20_5x" localSheetId="71">'310 &amp; 491'!$H$57:$O$57</definedName>
    <definedName name="OSRRefE20_5x" localSheetId="54">'311'!$H$79:$O$79</definedName>
    <definedName name="OSRRefE20_5x" localSheetId="65">'313'!$H$46:$O$46</definedName>
    <definedName name="OSRRefE20_5x" localSheetId="57">'315'!$H$102:$O$102</definedName>
    <definedName name="OSRRefE20_5x" localSheetId="60">'316'!$H$55:$O$55</definedName>
    <definedName name="OSRRefE20_5x" localSheetId="62">'317'!$H$75:$O$75</definedName>
    <definedName name="OSRRefE20_5x" localSheetId="66">'321'!$H$48:$O$48</definedName>
    <definedName name="OSRRefE20_5x" localSheetId="67">'322'!$H$47:$O$47</definedName>
    <definedName name="OSRRefE20_5x" localSheetId="68">'325'!$H$46:$O$46</definedName>
    <definedName name="OSRRefE20_5x" localSheetId="58">'326'!$H$69:$O$69</definedName>
    <definedName name="OSRRefE20_5x" localSheetId="51">'330'!$H$63:$O$63</definedName>
    <definedName name="OSRRefE20_5x" localSheetId="56">'331'!$H$102:$O$102</definedName>
    <definedName name="OSRRefE20_5x" localSheetId="59">'332'!$H$55:$O$55</definedName>
    <definedName name="OSRRefE20_5x" localSheetId="73">'405'!$H$48:$O$48</definedName>
    <definedName name="OSRRefE20_5x" localSheetId="75">'411'!$H$46:$O$46</definedName>
    <definedName name="OSRRefE20_5x" localSheetId="76">'412'!$H$47:$O$47</definedName>
    <definedName name="OSRRefE20_5x" localSheetId="77">'413'!$H$48:$O$48</definedName>
    <definedName name="OSRRefE20_5x" localSheetId="78">'414'!$H$49:$O$49</definedName>
    <definedName name="OSRRefE20_5x" localSheetId="79">'415'!$H$52:$O$52</definedName>
    <definedName name="OSRRefE20_5x" localSheetId="80">'418'!$H$48:$O$48</definedName>
    <definedName name="OSRRefE20_5x" localSheetId="82">'423'!$H$45:$O$45</definedName>
    <definedName name="OSRRefE20_5x" localSheetId="87">'430'!$H$47:$O$47</definedName>
    <definedName name="OSRRefE20_5x" localSheetId="88">'433'!$H$53:$O$53</definedName>
    <definedName name="OSRRefE20_5x" localSheetId="90">'444'!$H$53:$O$53</definedName>
    <definedName name="OSRRefE20_5x" localSheetId="91">'450'!$H$49:$O$49</definedName>
    <definedName name="OSRRefE20_5x" localSheetId="72">'491'!$H$54:$O$54</definedName>
    <definedName name="OSRRefE20_5x" localSheetId="86">'492'!$H$53:$O$53</definedName>
    <definedName name="OSRRefE20_5x" localSheetId="93">'501'!$H$48:$O$48</definedName>
    <definedName name="OSRRefE20_5x" localSheetId="39">'Div 2'!$H$47:$O$47</definedName>
    <definedName name="OSRRefE20_5x" localSheetId="47">'Div 3'!$H$143:$O$143</definedName>
    <definedName name="OSRRefE20_5x" localSheetId="70">'Div 4'!$H$57:$O$57</definedName>
    <definedName name="OSRRefE20_5x" localSheetId="92">'Div 5'!$H$48:$O$48</definedName>
    <definedName name="OSRRefE20_5x" localSheetId="61">'Div 6'!$H$75:$O$75</definedName>
    <definedName name="OSRRefE20_5x" localSheetId="2">Summary!$H$170:$O$170</definedName>
    <definedName name="OSRRefE20_6x" localSheetId="41">'201'!$H$48:$O$48</definedName>
    <definedName name="OSRRefE20_6x" localSheetId="42">'202'!$H$48:$O$48</definedName>
    <definedName name="OSRRefE20_6x" localSheetId="43">'203'!$H$48:$O$48</definedName>
    <definedName name="OSRRefE20_6x" localSheetId="44">'204'!$H$50:$O$50</definedName>
    <definedName name="OSRRefE20_6x" localSheetId="45">'205'!$H$49:$O$49</definedName>
    <definedName name="OSRRefE20_6x" localSheetId="46">'206'!$H$47:$O$47</definedName>
    <definedName name="OSRRefE20_6x" localSheetId="48">'300'!$H$142:$O$142</definedName>
    <definedName name="OSRRefE20_6x" localSheetId="49">'300 &amp; 317'!$H$164:$O$164</definedName>
    <definedName name="OSRRefE20_6x" localSheetId="50">'301'!$H$49:$O$49</definedName>
    <definedName name="OSRRefE20_6x" localSheetId="52">'307'!$H$66:$O$66</definedName>
    <definedName name="OSRRefE20_6x" localSheetId="53">'308'!$H$82:$O$82</definedName>
    <definedName name="OSRRefE20_6x" localSheetId="64">'309'!$H$49:$O$49</definedName>
    <definedName name="OSRRefE20_6x" localSheetId="63">'310'!$H$55:$O$55</definedName>
    <definedName name="OSRRefE20_6x" localSheetId="71">'310 &amp; 491'!$H$61:$O$61</definedName>
    <definedName name="OSRRefE20_6x" localSheetId="54">'311'!$H$81:$O$81</definedName>
    <definedName name="OSRRefE20_6x" localSheetId="65">'313'!$H$48:$O$48</definedName>
    <definedName name="OSRRefE20_6x" localSheetId="57">'315'!$H$104:$O$104</definedName>
    <definedName name="OSRRefE20_6x" localSheetId="60">'316'!$H$57:$O$57</definedName>
    <definedName name="OSRRefE20_6x" localSheetId="62">'317'!$H$77:$O$77</definedName>
    <definedName name="OSRRefE20_6x" localSheetId="66">'321'!$H$50:$O$50</definedName>
    <definedName name="OSRRefE20_6x" localSheetId="67">'322'!$H$49:$O$49</definedName>
    <definedName name="OSRRefE20_6x" localSheetId="68">'325'!$H$49:$O$49</definedName>
    <definedName name="OSRRefE20_6x" localSheetId="58">'326'!$H$71:$O$71</definedName>
    <definedName name="OSRRefE20_6x" localSheetId="51">'330'!$H$66:$O$66</definedName>
    <definedName name="OSRRefE20_6x" localSheetId="56">'331'!$H$104:$O$104</definedName>
    <definedName name="OSRRefE20_6x" localSheetId="59">'332'!$H$57:$O$57</definedName>
    <definedName name="OSRRefE20_6x" localSheetId="73">'405'!$H$50:$O$50</definedName>
    <definedName name="OSRRefE20_6x" localSheetId="75">'411'!$H$48:$O$48</definedName>
    <definedName name="OSRRefE20_6x" localSheetId="76">'412'!$H$49:$O$49</definedName>
    <definedName name="OSRRefE20_6x" localSheetId="77">'413'!$H$50:$O$50</definedName>
    <definedName name="OSRRefE20_6x" localSheetId="78">'414'!$H$51:$O$51</definedName>
    <definedName name="OSRRefE20_6x" localSheetId="79">'415'!$H$55:$O$55</definedName>
    <definedName name="OSRRefE20_6x" localSheetId="80">'418'!$H$50:$O$50</definedName>
    <definedName name="OSRRefE20_6x" localSheetId="82">'423'!$H$47:$O$47</definedName>
    <definedName name="OSRRefE20_6x" localSheetId="87">'430'!$H$50:$O$50</definedName>
    <definedName name="OSRRefE20_6x" localSheetId="88">'433'!$H$55:$O$55</definedName>
    <definedName name="OSRRefE20_6x" localSheetId="90">'444'!$H$55:$O$55</definedName>
    <definedName name="OSRRefE20_6x" localSheetId="91">'450'!$H$51:$O$51</definedName>
    <definedName name="OSRRefE20_6x" localSheetId="72">'491'!$H$58:$O$58</definedName>
    <definedName name="OSRRefE20_6x" localSheetId="86">'492'!$H$55:$O$55</definedName>
    <definedName name="OSRRefE20_6x" localSheetId="93">'501'!$H$51:$O$51</definedName>
    <definedName name="OSRRefE20_6x" localSheetId="39">'Div 2'!$H$49:$O$49</definedName>
    <definedName name="OSRRefE20_6x" localSheetId="47">'Div 3'!$H$146:$O$146</definedName>
    <definedName name="OSRRefE20_6x" localSheetId="70">'Div 4'!$H$61:$O$61</definedName>
    <definedName name="OSRRefE20_6x" localSheetId="92">'Div 5'!$H$51:$O$51</definedName>
    <definedName name="OSRRefE20_6x" localSheetId="61">'Div 6'!$H$77:$O$77</definedName>
    <definedName name="OSRRefE20_6x" localSheetId="2">Summary!$H$174:$O$174</definedName>
    <definedName name="OSRRefE20_7x" localSheetId="41">'201'!$H$50:$O$50</definedName>
    <definedName name="OSRRefE20_7x" localSheetId="42">'202'!$H$50:$O$50</definedName>
    <definedName name="OSRRefE20_7x" localSheetId="43">'203'!$H$50:$O$50</definedName>
    <definedName name="OSRRefE20_7x" localSheetId="44">'204'!$H$52:$O$52</definedName>
    <definedName name="OSRRefE20_7x" localSheetId="45">'205'!$H$51:$O$51</definedName>
    <definedName name="OSRRefE20_7x" localSheetId="48">'300'!$H$145:$O$145</definedName>
    <definedName name="OSRRefE20_7x" localSheetId="49">'300 &amp; 317'!$H$167:$O$167</definedName>
    <definedName name="OSRRefE20_7x" localSheetId="50">'301'!$H$51:$O$51</definedName>
    <definedName name="OSRRefE20_7x" localSheetId="52">'307'!$H$69:$O$69</definedName>
    <definedName name="OSRRefE20_7x" localSheetId="53">'308'!$H$84:$O$84</definedName>
    <definedName name="OSRRefE20_7x" localSheetId="64">'309'!$H$52:$O$52</definedName>
    <definedName name="OSRRefE20_7x" localSheetId="63">'310'!$H$57:$O$57</definedName>
    <definedName name="OSRRefE20_7x" localSheetId="71">'310 &amp; 491'!$H$63:$O$63</definedName>
    <definedName name="OSRRefE20_7x" localSheetId="54">'311'!$H$83:$O$83</definedName>
    <definedName name="OSRRefE20_7x" localSheetId="65">'313'!$H$50:$O$50</definedName>
    <definedName name="OSRRefE20_7x" localSheetId="57">'315'!$H$106:$O$106</definedName>
    <definedName name="OSRRefE20_7x" localSheetId="60">'316'!$H$60:$O$60</definedName>
    <definedName name="OSRRefE20_7x" localSheetId="62">'317'!$H$80:$O$80</definedName>
    <definedName name="OSRRefE20_7x" localSheetId="66">'321'!$H$53:$O$53</definedName>
    <definedName name="OSRRefE20_7x" localSheetId="67">'322'!$H$52:$O$52</definedName>
    <definedName name="OSRRefE20_7x" localSheetId="68">'325'!$H$51:$O$51</definedName>
    <definedName name="OSRRefE20_7x" localSheetId="58">'326'!$H$73:$O$73</definedName>
    <definedName name="OSRRefE20_7x" localSheetId="51">'330'!$H$69:$O$69</definedName>
    <definedName name="OSRRefE20_7x" localSheetId="56">'331'!$H$106:$O$106</definedName>
    <definedName name="OSRRefE20_7x" localSheetId="59">'332'!$H$60:$O$60</definedName>
    <definedName name="OSRRefE20_7x" localSheetId="73">'405'!$H$52:$O$52</definedName>
    <definedName name="OSRRefE20_7x" localSheetId="75">'411'!$H$50:$O$50</definedName>
    <definedName name="OSRRefE20_7x" localSheetId="76">'412'!$H$51:$O$51</definedName>
    <definedName name="OSRRefE20_7x" localSheetId="77">'413'!$H$52:$O$52</definedName>
    <definedName name="OSRRefE20_7x" localSheetId="78">'414'!$H$53:$O$53</definedName>
    <definedName name="OSRRefE20_7x" localSheetId="79">'415'!$H$57:$O$57</definedName>
    <definedName name="OSRRefE20_7x" localSheetId="80">'418'!$H$52:$O$52</definedName>
    <definedName name="OSRRefE20_7x" localSheetId="87">'430'!$H$52:$O$52</definedName>
    <definedName name="OSRRefE20_7x" localSheetId="88">'433'!$H$57:$O$57</definedName>
    <definedName name="OSRRefE20_7x" localSheetId="90">'444'!$H$57:$O$57</definedName>
    <definedName name="OSRRefE20_7x" localSheetId="91">'450'!$H$53:$O$53</definedName>
    <definedName name="OSRRefE20_7x" localSheetId="72">'491'!$H$60:$O$60</definedName>
    <definedName name="OSRRefE20_7x" localSheetId="86">'492'!$H$57:$O$57</definedName>
    <definedName name="OSRRefE20_7x" localSheetId="93">'501'!$H$53:$O$53</definedName>
    <definedName name="OSRRefE20_7x" localSheetId="39">'Div 2'!$H$52:$O$52</definedName>
    <definedName name="OSRRefE20_7x" localSheetId="47">'Div 3'!$H$149:$O$149</definedName>
    <definedName name="OSRRefE20_7x" localSheetId="70">'Div 4'!$H$63:$O$63</definedName>
    <definedName name="OSRRefE20_7x" localSheetId="92">'Div 5'!$H$53:$O$53</definedName>
    <definedName name="OSRRefE20_7x" localSheetId="61">'Div 6'!$H$80:$O$80</definedName>
    <definedName name="OSRRefE20_7x" localSheetId="2">Summary!$H$177:$O$177</definedName>
    <definedName name="OSRRefE20_8x" localSheetId="41">'201'!$H$52:$O$52</definedName>
    <definedName name="OSRRefE20_8x" localSheetId="42">'202'!$H$53:$O$53</definedName>
    <definedName name="OSRRefE20_8x" localSheetId="43">'203'!$H$52:$O$52</definedName>
    <definedName name="OSRRefE20_8x" localSheetId="44">'204'!$H$55:$O$55</definedName>
    <definedName name="OSRRefE20_8x" localSheetId="48">'300'!$H$147:$O$147</definedName>
    <definedName name="OSRRefE20_8x" localSheetId="49">'300 &amp; 317'!$H$169:$O$169</definedName>
    <definedName name="OSRRefE20_8x" localSheetId="50">'301'!$H$53:$O$53</definedName>
    <definedName name="OSRRefE20_8x" localSheetId="52">'307'!$H$71:$O$71</definedName>
    <definedName name="OSRRefE20_8x" localSheetId="53">'308'!$H$87:$O$87</definedName>
    <definedName name="OSRRefE20_8x" localSheetId="64">'309'!$H$56:$O$56</definedName>
    <definedName name="OSRRefE20_8x" localSheetId="63">'310'!$H$59:$O$59</definedName>
    <definedName name="OSRRefE20_8x" localSheetId="71">'310 &amp; 491'!$H$65:$O$65</definedName>
    <definedName name="OSRRefE20_8x" localSheetId="54">'311'!$H$86:$O$86</definedName>
    <definedName name="OSRRefE20_8x" localSheetId="57">'315'!$H$109:$O$109</definedName>
    <definedName name="OSRRefE20_8x" localSheetId="60">'316'!$H$63:$O$63</definedName>
    <definedName name="OSRRefE20_8x" localSheetId="62">'317'!$H$82:$O$82</definedName>
    <definedName name="OSRRefE20_8x" localSheetId="66">'321'!$H$55:$O$55</definedName>
    <definedName name="OSRRefE20_8x" localSheetId="67">'322'!$H$55:$O$55</definedName>
    <definedName name="OSRRefE20_8x" localSheetId="68">'325'!$H$53:$O$53</definedName>
    <definedName name="OSRRefE20_8x" localSheetId="58">'326'!$H$75:$O$75</definedName>
    <definedName name="OSRRefE20_8x" localSheetId="51">'330'!$H$71:$O$71</definedName>
    <definedName name="OSRRefE20_8x" localSheetId="56">'331'!$H$109:$O$109</definedName>
    <definedName name="OSRRefE20_8x" localSheetId="59">'332'!$H$63:$O$63</definedName>
    <definedName name="OSRRefE20_8x" localSheetId="73">'405'!$H$54:$O$54</definedName>
    <definedName name="OSRRefE20_8x" localSheetId="75">'411'!$H$52:$O$52</definedName>
    <definedName name="OSRRefE20_8x" localSheetId="76">'412'!$H$53:$O$53</definedName>
    <definedName name="OSRRefE20_8x" localSheetId="77">'413'!$H$54:$O$54</definedName>
    <definedName name="OSRRefE20_8x" localSheetId="78">'414'!$H$55:$O$55</definedName>
    <definedName name="OSRRefE20_8x" localSheetId="79">'415'!$H$59:$O$59</definedName>
    <definedName name="OSRRefE20_8x" localSheetId="80">'418'!$H$54:$O$54</definedName>
    <definedName name="OSRRefE20_8x" localSheetId="88">'433'!$H$59:$O$59</definedName>
    <definedName name="OSRRefE20_8x" localSheetId="90">'444'!$H$59:$O$59</definedName>
    <definedName name="OSRRefE20_8x" localSheetId="91">'450'!$H$55:$O$55</definedName>
    <definedName name="OSRRefE20_8x" localSheetId="72">'491'!$H$62:$O$62</definedName>
    <definedName name="OSRRefE20_8x" localSheetId="86">'492'!$H$59:$O$59</definedName>
    <definedName name="OSRRefE20_8x" localSheetId="93">'501'!$H$55:$O$55</definedName>
    <definedName name="OSRRefE20_8x" localSheetId="39">'Div 2'!$H$54:$O$54</definedName>
    <definedName name="OSRRefE20_8x" localSheetId="47">'Div 3'!$H$151:$O$151</definedName>
    <definedName name="OSRRefE20_8x" localSheetId="70">'Div 4'!$H$65:$O$65</definedName>
    <definedName name="OSRRefE20_8x" localSheetId="92">'Div 5'!$H$55:$O$55</definedName>
    <definedName name="OSRRefE20_8x" localSheetId="61">'Div 6'!$H$82:$O$82</definedName>
    <definedName name="OSRRefE20_8x" localSheetId="2">Summary!$H$179:$O$179</definedName>
    <definedName name="OSRRefE20_9x" localSheetId="41">'201'!$H$54:$O$54</definedName>
    <definedName name="OSRRefE20_9x" localSheetId="42">'202'!$H$55:$O$55</definedName>
    <definedName name="OSRRefE20_9x" localSheetId="43">'203'!$H$56:$O$56</definedName>
    <definedName name="OSRRefE20_9x" localSheetId="48">'300'!$H$149:$O$149</definedName>
    <definedName name="OSRRefE20_9x" localSheetId="49">'300 &amp; 317'!$H$171:$O$171</definedName>
    <definedName name="OSRRefE20_9x" localSheetId="50">'301'!$H$55:$O$55</definedName>
    <definedName name="OSRRefE20_9x" localSheetId="52">'307'!$H$74:$O$74</definedName>
    <definedName name="OSRRefE20_9x" localSheetId="53">'308'!$H$89:$O$89</definedName>
    <definedName name="OSRRefE20_9x" localSheetId="63">'310'!$H$61:$O$61</definedName>
    <definedName name="OSRRefE20_9x" localSheetId="71">'310 &amp; 491'!$H$68:$O$68</definedName>
    <definedName name="OSRRefE20_9x" localSheetId="54">'311'!$H$88:$O$88</definedName>
    <definedName name="OSRRefE20_9x" localSheetId="57">'315'!$H$111:$O$111</definedName>
    <definedName name="OSRRefE20_9x" localSheetId="60">'316'!$H$65:$O$65</definedName>
    <definedName name="OSRRefE20_9x" localSheetId="62">'317'!$H$84:$O$84</definedName>
    <definedName name="OSRRefE20_9x" localSheetId="66">'321'!$H$58:$O$58</definedName>
    <definedName name="OSRRefE20_9x" localSheetId="67">'322'!$H$60:$O$60</definedName>
    <definedName name="OSRRefE20_9x" localSheetId="68">'325'!$H$55:$O$55</definedName>
    <definedName name="OSRRefE20_9x" localSheetId="58">'326'!$H$77:$O$77</definedName>
    <definedName name="OSRRefE20_9x" localSheetId="51">'330'!$H$74:$O$74</definedName>
    <definedName name="OSRRefE20_9x" localSheetId="56">'331'!$H$111:$O$111</definedName>
    <definedName name="OSRRefE20_9x" localSheetId="59">'332'!$H$65:$O$65</definedName>
    <definedName name="OSRRefE20_9x" localSheetId="73">'405'!$H$56:$O$56</definedName>
    <definedName name="OSRRefE20_9x" localSheetId="75">'411'!$H$54:$O$54</definedName>
    <definedName name="OSRRefE20_9x" localSheetId="76">'412'!$H$56:$O$56</definedName>
    <definedName name="OSRRefE20_9x" localSheetId="77">'413'!$H$58:$O$58</definedName>
    <definedName name="OSRRefE20_9x" localSheetId="78">'414'!$H$58:$O$58</definedName>
    <definedName name="OSRRefE20_9x" localSheetId="79">'415'!$H$61:$O$61</definedName>
    <definedName name="OSRRefE20_9x" localSheetId="80">'418'!$H$57:$O$57</definedName>
    <definedName name="OSRRefE20_9x" localSheetId="88">'433'!$H$61:$O$61</definedName>
    <definedName name="OSRRefE20_9x" localSheetId="90">'444'!$H$61:$O$61</definedName>
    <definedName name="OSRRefE20_9x" localSheetId="91">'450'!$H$57:$O$57</definedName>
    <definedName name="OSRRefE20_9x" localSheetId="72">'491'!$H$64:$O$64</definedName>
    <definedName name="OSRRefE20_9x" localSheetId="86">'492'!$H$61:$O$61</definedName>
    <definedName name="OSRRefE20_9x" localSheetId="93">'501'!$H$57:$O$57</definedName>
    <definedName name="OSRRefE20_9x" localSheetId="39">'Div 2'!$H$56:$O$56</definedName>
    <definedName name="OSRRefE20_9x" localSheetId="47">'Div 3'!$H$153:$O$153</definedName>
    <definedName name="OSRRefE20_9x" localSheetId="70">'Div 4'!$H$67:$O$67</definedName>
    <definedName name="OSRRefE20_9x" localSheetId="92">'Div 5'!$H$57:$O$57</definedName>
    <definedName name="OSRRefE20_9x" localSheetId="61">'Div 6'!$H$84:$O$84</definedName>
    <definedName name="OSRRefE20_9x" localSheetId="2">Summary!$H$181:$O$181</definedName>
    <definedName name="OSRRefE20x_0" localSheetId="40">'200'!$H$18,'200'!$H$20,'200'!$H$22,'200'!$H$24,'200'!$H$26</definedName>
    <definedName name="OSRRefE20x_0" localSheetId="41">'201'!$H$18,'201'!$H$28,'201'!$H$39,'201'!$H$41,'201'!$H$43,'201'!$H$46,'201'!$H$48,'201'!$H$50,'201'!$H$52,'201'!$H$54,'201'!$H$56,'201'!$H$60,'201'!$H$62,'201'!$H$64,'201'!$H$68,'201'!$H$70,'201'!$H$72</definedName>
    <definedName name="OSRRefE20x_0" localSheetId="42">'202'!$H$18,'202'!$H$28,'202'!$H$39,'202'!$H$41,'202'!$H$43,'202'!$H$46,'202'!$H$48,'202'!$H$50,'202'!$H$53,'202'!$H$55,'202'!$H$58,'202'!$H$60,'202'!$H$62</definedName>
    <definedName name="OSRRefE20x_0" localSheetId="43">'203'!$H$18,'203'!$H$29,'203'!$H$40,'203'!$H$42,'203'!$H$44,'203'!$H$46,'203'!$H$48,'203'!$H$50,'203'!$H$52,'203'!$H$56,'203'!$H$58,'203'!$H$60,'203'!$H$64,'203'!$H$66</definedName>
    <definedName name="OSRRefE20x_0" localSheetId="44">'204'!$H$18,'204'!$H$29,'204'!$H$40,'204'!$H$42,'204'!$H$44,'204'!$H$48,'204'!$H$50,'204'!$H$52,'204'!$H$55</definedName>
    <definedName name="OSRRefE20x_0" localSheetId="45">'205'!$H$18,'205'!$H$28,'205'!$H$39,'205'!$H$41,'205'!$H$43,'205'!$H$47,'205'!$H$49,'205'!$H$51</definedName>
    <definedName name="OSRRefE20x_0" localSheetId="46">'206'!$H$18,'206'!$H$28,'206'!$H$39,'206'!$H$41,'206'!$H$43,'206'!$H$45,'206'!$H$47</definedName>
    <definedName name="OSRRefE20x_0" localSheetId="48">'300'!$H$110,'300'!$H$121,'300'!$H$132,'300'!$H$134,'300'!$H$137,'300'!$H$139,'300'!$H$142,'300'!$H$145,'300'!$H$147,'300'!$H$149,'300'!$H$151,'300'!$H$154,'300'!$H$157,'300'!$H$159,'300'!$H$161,'300'!$H$163,'300'!$H$165,'300'!$H$170,'300'!$H$175,'300'!$H$180,'300'!$H$183,'300'!$H$193,'300'!$H$196,'300'!$H$198,'300'!$H$202</definedName>
    <definedName name="OSRRefE20x_0" localSheetId="49">'300 &amp; 317'!$H$132,'300 &amp; 317'!$H$143,'300 &amp; 317'!$H$154,'300 &amp; 317'!$H$156,'300 &amp; 317'!$H$159,'300 &amp; 317'!$H$161,'300 &amp; 317'!$H$164,'300 &amp; 317'!$H$167,'300 &amp; 317'!$H$169,'300 &amp; 317'!$H$171,'300 &amp; 317'!$H$173,'300 &amp; 317'!$H$176,'300 &amp; 317'!$H$179,'300 &amp; 317'!$H$181,'300 &amp; 317'!$H$183,'300 &amp; 317'!$H$185,'300 &amp; 317'!$H$187,'300 &amp; 317'!$H$192,'300 &amp; 317'!$H$197,'300 &amp; 317'!$H$202,'300 &amp; 317'!$H$205,'300 &amp; 317'!$H$215,'300 &amp; 317'!$H$218,'300 &amp; 317'!$H$220,'300 &amp; 317'!$H$224</definedName>
    <definedName name="OSRRefE20x_0" localSheetId="50">'301'!$H$18,'301'!$H$28,'301'!$H$39,'301'!$H$42,'301'!$H$44,'301'!$H$47,'301'!$H$49,'301'!$H$51,'301'!$H$53,'301'!$H$55,'301'!$H$57,'301'!$H$59,'301'!$H$61,'301'!$H$63,'301'!$H$68,'301'!$H$72,'301'!$H$74,'301'!$H$82,'301'!$H$84,'301'!$H$86,'301'!$H$88</definedName>
    <definedName name="OSRRefE20x_0" localSheetId="52">'307'!$H$37,'307'!$H$46,'307'!$H$57,'307'!$H$59,'307'!$H$61,'307'!$H$63,'307'!$H$66,'307'!$H$69,'307'!$H$71,'307'!$H$74,'307'!$H$77,'307'!$H$82,'307'!$H$85</definedName>
    <definedName name="OSRRefE20x_0" localSheetId="53">'308'!$H$52,'308'!$H$63,'308'!$H$74,'308'!$H$76,'308'!$H$78,'308'!$H$80,'308'!$H$82,'308'!$H$84,'308'!$H$87,'308'!$H$89,'308'!$H$93,'308'!$H$96,'308'!$H$100,'308'!$H$103,'308'!$H$105</definedName>
    <definedName name="OSRRefE20x_0" localSheetId="64">'309'!$H$20,'309'!$H$29,'309'!$H$40,'309'!$H$42,'309'!$H$44,'309'!$H$46,'309'!$H$49,'309'!$H$52,'309'!$H$56</definedName>
    <definedName name="OSRRefE20x_0" localSheetId="63">'310'!$H$25,'310'!$H$35,'310'!$H$46,'310'!$H$48,'310'!$H$50,'310'!$H$52,'310'!$H$55,'310'!$H$57,'310'!$H$59,'310'!$H$61,'310'!$H$63,'310'!$H$65,'310'!$H$67,'310'!$H$69,'310'!$H$72,'310'!$H$74,'310'!$H$77,'310'!$H$85,'310'!$H$88,'310'!$H$90</definedName>
    <definedName name="OSRRefE20x_0" localSheetId="71">'310 &amp; 491'!$H$30,'310 &amp; 491'!$H$40,'310 &amp; 491'!$H$51,'310 &amp; 491'!$H$53,'310 &amp; 491'!$H$55,'310 &amp; 491'!$H$57,'310 &amp; 491'!$H$61,'310 &amp; 491'!$H$63,'310 &amp; 491'!$H$65,'310 &amp; 491'!$H$68,'310 &amp; 491'!$H$70,'310 &amp; 491'!$H$72,'310 &amp; 491'!$H$74,'310 &amp; 491'!$H$76,'310 &amp; 491'!$H$78,'310 &amp; 491'!$H$82,'310 &amp; 491'!$H$85,'310 &amp; 491'!$H$91,'310 &amp; 491'!$H$94,'310 &amp; 491'!$H$106,'310 &amp; 491'!$H$109,'310 &amp; 491'!$H$111,'310 &amp; 491'!$H$113</definedName>
    <definedName name="OSRRefE20x_0" localSheetId="54">'311'!$H$51,'311'!$H$62,'311'!$H$73,'311'!$H$75,'311'!$H$77,'311'!$H$79,'311'!$H$81,'311'!$H$83,'311'!$H$86,'311'!$H$88,'311'!$H$92,'311'!$H$95,'311'!$H$99,'311'!$H$102,'311'!$H$104</definedName>
    <definedName name="OSRRefE20x_0" localSheetId="65">'313'!$H$19,'313'!$H$29,'313'!$H$40,'313'!$H$42,'313'!$H$44,'313'!$H$46,'313'!$H$48,'313'!$H$50</definedName>
    <definedName name="OSRRefE20x_0" localSheetId="57">'315'!$H$75,'315'!$H$85,'315'!$H$96,'315'!$H$98,'315'!$H$100,'315'!$H$102,'315'!$H$104,'315'!$H$106,'315'!$H$109,'315'!$H$111,'315'!$H$113,'315'!$H$115,'315'!$H$117,'315'!$H$121,'315'!$H$124,'315'!$H$132,'315'!$H$134,'315'!$H$136</definedName>
    <definedName name="OSRRefE20x_0" localSheetId="60">'316'!$H$28,'316'!$H$38,'316'!$H$49,'316'!$H$51,'316'!$H$53,'316'!$H$55,'316'!$H$57,'316'!$H$60,'316'!$H$63,'316'!$H$65,'316'!$H$71,'316'!$H$73</definedName>
    <definedName name="OSRRefE20x_0" localSheetId="62">'317'!$H$47,'317'!$H$58,'317'!$H$69,'317'!$H$71,'317'!$H$73,'317'!$H$75,'317'!$H$77,'317'!$H$80,'317'!$H$82,'317'!$H$84,'317'!$H$86,'317'!$H$90,'317'!$H$92</definedName>
    <definedName name="OSRRefE20x_0" localSheetId="66">'321'!$H$21,'321'!$H$31,'321'!$H$42,'321'!$H$44,'321'!$H$46,'321'!$H$48,'321'!$H$50,'321'!$H$53,'321'!$H$55,'321'!$H$58,'321'!$H$61,'321'!$H$64,'321'!$H$66</definedName>
    <definedName name="OSRRefE20x_0" localSheetId="67">'322'!$H$21,'322'!$H$30,'322'!$H$41,'322'!$H$43,'322'!$H$45,'322'!$H$47,'322'!$H$49,'322'!$H$52,'322'!$H$55,'322'!$H$60,'322'!$H$62</definedName>
    <definedName name="OSRRefE20x_0" localSheetId="55">'324'!$H$25,'324'!$H$34</definedName>
    <definedName name="OSRRefE20x_0" localSheetId="68">'325'!$H$20,'325'!$H$29,'325'!$H$40,'325'!$H$42,'325'!$H$44,'325'!$H$46,'325'!$H$49,'325'!$H$51,'325'!$H$53,'325'!$H$55,'325'!$H$57,'325'!$H$59,'325'!$H$61,'325'!$H$67,'325'!$H$70</definedName>
    <definedName name="OSRRefE20x_0" localSheetId="58">'326'!$H$42,'326'!$H$52,'326'!$H$63,'326'!$H$65,'326'!$H$67,'326'!$H$69,'326'!$H$71,'326'!$H$73,'326'!$H$75,'326'!$H$77,'326'!$H$79,'326'!$H$81,'326'!$H$83,'326'!$H$86,'326'!$H$90,'326'!$H$93,'326'!$H$100,'326'!$H$103,'326'!$H$105,'326'!$H$108</definedName>
    <definedName name="OSRRefE20x_0" localSheetId="69">'327'!$H$22</definedName>
    <definedName name="OSRRefE20x_0" localSheetId="51">'330'!$H$37,'330'!$H$46,'330'!$H$57,'330'!$H$59,'330'!$H$61,'330'!$H$63,'330'!$H$66,'330'!$H$69,'330'!$H$71,'330'!$H$74,'330'!$H$77,'330'!$H$82,'330'!$H$85</definedName>
    <definedName name="OSRRefE20x_0" localSheetId="56">'331'!$H$75,'331'!$H$85,'331'!$H$96,'331'!$H$98,'331'!$H$100,'331'!$H$102,'331'!$H$104,'331'!$H$106,'331'!$H$109,'331'!$H$111,'331'!$H$113,'331'!$H$115,'331'!$H$117,'331'!$H$119,'331'!$H$122,'331'!$H$126,'331'!$H$130,'331'!$H$133,'331'!$H$142,'331'!$H$145,'331'!$H$147,'331'!$H$150</definedName>
    <definedName name="OSRRefE20x_0" localSheetId="59">'332'!$H$28,'332'!$H$38,'332'!$H$49,'332'!$H$51,'332'!$H$53,'332'!$H$55,'332'!$H$57,'332'!$H$60,'332'!$H$63,'332'!$H$65,'332'!$H$71,'332'!$H$73</definedName>
    <definedName name="OSRRefE20x_0" localSheetId="73">'405'!$H$21,'405'!$H$30,'405'!$H$41,'405'!$H$43,'405'!$H$45,'405'!$H$48,'405'!$H$50,'405'!$H$52,'405'!$H$54,'405'!$H$56,'405'!$H$59,'405'!$H$61,'405'!$H$66,'405'!$H$68,'405'!$H$77,'405'!$H$79,'405'!$H$81</definedName>
    <definedName name="OSRRefE20x_0" localSheetId="74">'406'!$H$18,'406'!$H$20,'406'!$H$22,'406'!$H$24,'406'!$H$26</definedName>
    <definedName name="OSRRefE20x_0" localSheetId="75">'411'!$H$18,'411'!$H$28,'411'!$H$39,'411'!$H$41,'411'!$H$43,'411'!$H$46,'411'!$H$48,'411'!$H$50,'411'!$H$52,'411'!$H$54,'411'!$H$57,'411'!$H$62,'411'!$H$64,'411'!$H$71,'411'!$H$73,'411'!$H$75</definedName>
    <definedName name="OSRRefE20x_0" localSheetId="76">'412'!$H$20,'412'!$H$29,'412'!$H$40,'412'!$H$42,'412'!$H$44,'412'!$H$47,'412'!$H$49,'412'!$H$51,'412'!$H$53,'412'!$H$56,'412'!$H$58,'412'!$H$63,'412'!$H$69,'412'!$H$72</definedName>
    <definedName name="OSRRefE20x_0" localSheetId="77">'413'!$H$21,'413'!$H$31,'413'!$H$42,'413'!$H$44,'413'!$H$46,'413'!$H$48,'413'!$H$50,'413'!$H$52,'413'!$H$54,'413'!$H$58,'413'!$H$61,'413'!$H$69</definedName>
    <definedName name="OSRRefE20x_0" localSheetId="78">'414'!$H$22,'414'!$H$32,'414'!$H$43,'414'!$H$45,'414'!$H$47,'414'!$H$49,'414'!$H$51,'414'!$H$53,'414'!$H$55,'414'!$H$58,'414'!$H$60,'414'!$H$62,'414'!$H$64,'414'!$H$68,'414'!$H$70</definedName>
    <definedName name="OSRRefE20x_0" localSheetId="79">'415'!$H$25,'415'!$H$35,'415'!$H$46,'415'!$H$48,'415'!$H$50,'415'!$H$52,'415'!$H$55,'415'!$H$57,'415'!$H$59,'415'!$H$61,'415'!$H$63,'415'!$H$65,'415'!$H$68,'415'!$H$73,'415'!$H$75,'415'!$H$82,'415'!$H$85</definedName>
    <definedName name="OSRRefE20x_0" localSheetId="80">'418'!$H$21,'418'!$H$30,'418'!$H$41,'418'!$H$43,'418'!$H$45,'418'!$H$48,'418'!$H$50,'418'!$H$52,'418'!$H$54,'418'!$H$57,'418'!$H$60,'418'!$H$63,'418'!$H$73,'418'!$H$76</definedName>
    <definedName name="OSRRefE20x_0" localSheetId="82">'423'!$H$18,'423'!$H$27,'423'!$H$38,'423'!$H$40,'423'!$H$43,'423'!$H$45,'423'!$H$47</definedName>
    <definedName name="OSRRefE20x_0" localSheetId="83">'424'!$H$18,'424'!$H$20,'424'!$H$22,'424'!$H$24</definedName>
    <definedName name="OSRRefE20x_0" localSheetId="84">'425'!$H$18,'425'!$H$24,'425'!$H$26,'425'!$H$28,'425'!$H$30</definedName>
    <definedName name="OSRRefE20x_0" localSheetId="87">'430'!$H$18,'430'!$H$28,'430'!$H$39,'430'!$H$41,'430'!$H$43,'430'!$H$47,'430'!$H$50,'430'!$H$52</definedName>
    <definedName name="OSRRefE20x_0" localSheetId="88">'433'!$H$25,'433'!$H$36,'433'!$H$47,'433'!$H$49,'433'!$H$51,'433'!$H$53,'433'!$H$55,'433'!$H$57,'433'!$H$59,'433'!$H$61,'433'!$H$63,'433'!$H$65,'433'!$H$69,'433'!$H$74,'433'!$H$83,'433'!$H$85</definedName>
    <definedName name="OSRRefE20x_0" localSheetId="89">'435'!$H$18</definedName>
    <definedName name="OSRRefE20x_0" localSheetId="90">'444'!$H$25,'444'!$H$36,'444'!$H$47,'444'!$H$49,'444'!$H$51,'444'!$H$53,'444'!$H$55,'444'!$H$57,'444'!$H$59,'444'!$H$61,'444'!$H$63,'444'!$H$65,'444'!$H$69,'444'!$H$73,'444'!$H$82,'444'!$H$85</definedName>
    <definedName name="OSRRefE20x_0" localSheetId="91">'450'!$H$21,'450'!$H$32,'450'!$H$43,'450'!$H$45,'450'!$H$47,'450'!$H$49,'450'!$H$51,'450'!$H$53,'450'!$H$55,'450'!$H$57,'450'!$H$59,'450'!$H$61,'450'!$H$63,'450'!$H$65,'450'!$H$69,'450'!$H$76,'450'!$H$79</definedName>
    <definedName name="OSRRefE20x_0" localSheetId="72">'491'!$H$27,'491'!$H$37,'491'!$H$48,'491'!$H$50,'491'!$H$52,'491'!$H$54,'491'!$H$58,'491'!$H$60,'491'!$H$62,'491'!$H$64,'491'!$H$66,'491'!$H$68,'491'!$H$70,'491'!$H$72,'491'!$H$74,'491'!$H$78,'491'!$H$81,'491'!$H$87,'491'!$H$90,'491'!$H$102,'491'!$H$105,'491'!$H$107,'491'!$H$109</definedName>
    <definedName name="OSRRefE20x_0" localSheetId="86">'492'!$H$25,'492'!$H$36,'492'!$H$47,'492'!$H$49,'492'!$H$51,'492'!$H$53,'492'!$H$55,'492'!$H$57,'492'!$H$59,'492'!$H$61,'492'!$H$63,'492'!$H$65,'492'!$H$67,'492'!$H$71,'492'!$H$76,'492'!$H$87,'492'!$H$90,'492'!$H$92</definedName>
    <definedName name="OSRRefE20x_0" localSheetId="93">'501'!$H$20,'501'!$H$31,'501'!$H$42,'501'!$H$44,'501'!$H$46,'501'!$H$48,'501'!$H$51,'501'!$H$53,'501'!$H$55,'501'!$H$57,'501'!$H$61,'501'!$H$63,'501'!$H$66,'501'!$H$68</definedName>
    <definedName name="OSRRefE20x_0" localSheetId="39">'Div 2'!$H$18,'Div 2'!$H$30,'Div 2'!$H$41,'Div 2'!$H$43,'Div 2'!$H$45,'Div 2'!$H$47,'Div 2'!$H$49,'Div 2'!$H$52,'Div 2'!$H$54,'Div 2'!$H$56,'Div 2'!$H$59,'Div 2'!$H$61,'Div 2'!$H$63,'Div 2'!$H$68,'Div 2'!$H$73,'Div 2'!$H$76,'Div 2'!$H$79,'Div 2'!$H$84,'Div 2'!$H$87,'Div 2'!$H$89</definedName>
    <definedName name="OSRRefE20x_0" localSheetId="47">'Div 3'!$H$114,'Div 3'!$H$125,'Div 3'!$H$136,'Div 3'!$H$138,'Div 3'!$H$141,'Div 3'!$H$143,'Div 3'!$H$146,'Div 3'!$H$149,'Div 3'!$H$151,'Div 3'!$H$153,'Div 3'!$H$155,'Div 3'!$H$158,'Div 3'!$H$161,'Div 3'!$H$163,'Div 3'!$H$165,'Div 3'!$H$167,'Div 3'!$H$169,'Div 3'!$H$171,'Div 3'!$H$176,'Div 3'!$H$181,'Div 3'!$H$186,'Div 3'!$H$189,'Div 3'!$H$199,'Div 3'!$H$202,'Div 3'!$H$204,'Div 3'!$H$208</definedName>
    <definedName name="OSRRefE20x_0" localSheetId="70">'Div 4'!$H$29,'Div 4'!$H$40,'Div 4'!$H$51,'Div 4'!$H$53,'Div 4'!$H$55,'Div 4'!$H$57,'Div 4'!$H$61,'Div 4'!$H$63,'Div 4'!$H$65,'Div 4'!$H$67,'Div 4'!$H$69,'Div 4'!$H$71,'Div 4'!$H$73,'Div 4'!$H$75,'Div 4'!$H$77,'Div 4'!$H$79,'Div 4'!$H$84,'Div 4'!$H$87,'Div 4'!$H$93,'Div 4'!$H$96,'Div 4'!$H$108,'Div 4'!$H$111,'Div 4'!$H$113,'Div 4'!$H$116</definedName>
    <definedName name="OSRRefE20x_0" localSheetId="92">'Div 5'!$H$20,'Div 5'!$H$31,'Div 5'!$H$42,'Div 5'!$H$44,'Div 5'!$H$46,'Div 5'!$H$48,'Div 5'!$H$51,'Div 5'!$H$53,'Div 5'!$H$55,'Div 5'!$H$57,'Div 5'!$H$61,'Div 5'!$H$63,'Div 5'!$H$66,'Div 5'!$H$68</definedName>
    <definedName name="OSRRefE20x_0" localSheetId="61">'Div 6'!$H$47,'Div 6'!$H$58,'Div 6'!$H$69,'Div 6'!$H$71,'Div 6'!$H$73,'Div 6'!$H$75,'Div 6'!$H$77,'Div 6'!$H$80,'Div 6'!$H$82,'Div 6'!$H$84,'Div 6'!$H$86,'Div 6'!$H$90,'Div 6'!$H$92</definedName>
    <definedName name="OSRRefE20x_0" localSheetId="2">Summary!$H$141,Summary!$H$152,Summary!$H$163,Summary!$H$165,Summary!$H$168,Summary!$H$170,Summary!$H$174,Summary!$H$177,Summary!$H$179,Summary!$H$181,Summary!$H$183,Summary!$H$186,Summary!$H$189,Summary!$H$191,Summary!$H$193,Summary!$H$195,Summary!$H$197,Summary!$H$199,Summary!$H$201,Summary!$H$206,Summary!$H$211,Summary!$H$217,Summary!$H$220,Summary!$H$232,Summary!$H$235,Summary!$H$237,Summary!$H$241</definedName>
    <definedName name="OSRRefE20x_1" localSheetId="40">'200'!$I$18,'200'!$I$20,'200'!$I$22,'200'!$I$24,'200'!$I$26</definedName>
    <definedName name="OSRRefE20x_1" localSheetId="41">'201'!$I$18,'201'!$I$28,'201'!$I$39,'201'!$I$41,'201'!$I$43,'201'!$I$46,'201'!$I$48,'201'!$I$50,'201'!$I$52,'201'!$I$54,'201'!$I$56,'201'!$I$60,'201'!$I$62,'201'!$I$64,'201'!$I$68,'201'!$I$70,'201'!$I$72</definedName>
    <definedName name="OSRRefE20x_1" localSheetId="42">'202'!$I$18,'202'!$I$28,'202'!$I$39,'202'!$I$41,'202'!$I$43,'202'!$I$46,'202'!$I$48,'202'!$I$50,'202'!$I$53,'202'!$I$55,'202'!$I$58,'202'!$I$60,'202'!$I$62</definedName>
    <definedName name="OSRRefE20x_1" localSheetId="43">'203'!$I$18,'203'!$I$29,'203'!$I$40,'203'!$I$42,'203'!$I$44,'203'!$I$46,'203'!$I$48,'203'!$I$50,'203'!$I$52,'203'!$I$56,'203'!$I$58,'203'!$I$60,'203'!$I$64,'203'!$I$66</definedName>
    <definedName name="OSRRefE20x_1" localSheetId="44">'204'!$I$18,'204'!$I$29,'204'!$I$40,'204'!$I$42,'204'!$I$44,'204'!$I$48,'204'!$I$50,'204'!$I$52,'204'!$I$55</definedName>
    <definedName name="OSRRefE20x_1" localSheetId="45">'205'!$I$18,'205'!$I$28,'205'!$I$39,'205'!$I$41,'205'!$I$43,'205'!$I$47,'205'!$I$49,'205'!$I$51</definedName>
    <definedName name="OSRRefE20x_1" localSheetId="46">'206'!$I$18,'206'!$I$28,'206'!$I$39,'206'!$I$41,'206'!$I$43,'206'!$I$45,'206'!$I$47</definedName>
    <definedName name="OSRRefE20x_1" localSheetId="48">'300'!$I$110,'300'!$I$121,'300'!$I$132,'300'!$I$134,'300'!$I$137,'300'!$I$139,'300'!$I$142,'300'!$I$145,'300'!$I$147,'300'!$I$149,'300'!$I$151,'300'!$I$154,'300'!$I$157,'300'!$I$159,'300'!$I$161,'300'!$I$163,'300'!$I$165,'300'!$I$170,'300'!$I$175,'300'!$I$180,'300'!$I$183,'300'!$I$193,'300'!$I$196,'300'!$I$198,'300'!$I$202</definedName>
    <definedName name="OSRRefE20x_1" localSheetId="49">'300 &amp; 317'!$I$132,'300 &amp; 317'!$I$143,'300 &amp; 317'!$I$154,'300 &amp; 317'!$I$156,'300 &amp; 317'!$I$159,'300 &amp; 317'!$I$161,'300 &amp; 317'!$I$164,'300 &amp; 317'!$I$167,'300 &amp; 317'!$I$169,'300 &amp; 317'!$I$171,'300 &amp; 317'!$I$173,'300 &amp; 317'!$I$176,'300 &amp; 317'!$I$179,'300 &amp; 317'!$I$181,'300 &amp; 317'!$I$183,'300 &amp; 317'!$I$185,'300 &amp; 317'!$I$187,'300 &amp; 317'!$I$192,'300 &amp; 317'!$I$197,'300 &amp; 317'!$I$202,'300 &amp; 317'!$I$205,'300 &amp; 317'!$I$215,'300 &amp; 317'!$I$218,'300 &amp; 317'!$I$220,'300 &amp; 317'!$I$224</definedName>
    <definedName name="OSRRefE20x_1" localSheetId="50">'301'!$I$18,'301'!$I$28,'301'!$I$39,'301'!$I$42,'301'!$I$44,'301'!$I$47,'301'!$I$49,'301'!$I$51,'301'!$I$53,'301'!$I$55,'301'!$I$57,'301'!$I$59,'301'!$I$61,'301'!$I$63,'301'!$I$68,'301'!$I$72,'301'!$I$74,'301'!$I$82,'301'!$I$84,'301'!$I$86,'301'!$I$88</definedName>
    <definedName name="OSRRefE20x_1" localSheetId="52">'307'!$I$37,'307'!$I$46,'307'!$I$57,'307'!$I$59,'307'!$I$61,'307'!$I$63,'307'!$I$66,'307'!$I$69,'307'!$I$71,'307'!$I$74,'307'!$I$77,'307'!$I$82,'307'!$I$85</definedName>
    <definedName name="OSRRefE20x_1" localSheetId="53">'308'!$I$52,'308'!$I$63,'308'!$I$74,'308'!$I$76,'308'!$I$78,'308'!$I$80,'308'!$I$82,'308'!$I$84,'308'!$I$87,'308'!$I$89,'308'!$I$93,'308'!$I$96,'308'!$I$100,'308'!$I$103,'308'!$I$105</definedName>
    <definedName name="OSRRefE20x_1" localSheetId="64">'309'!$I$20,'309'!$I$29,'309'!$I$40,'309'!$I$42,'309'!$I$44,'309'!$I$46,'309'!$I$49,'309'!$I$52,'309'!$I$56</definedName>
    <definedName name="OSRRefE20x_1" localSheetId="63">'310'!$I$25,'310'!$I$35,'310'!$I$46,'310'!$I$48,'310'!$I$50,'310'!$I$52,'310'!$I$55,'310'!$I$57,'310'!$I$59,'310'!$I$61,'310'!$I$63,'310'!$I$65,'310'!$I$67,'310'!$I$69,'310'!$I$72,'310'!$I$74,'310'!$I$77,'310'!$I$85,'310'!$I$88,'310'!$I$90</definedName>
    <definedName name="OSRRefE20x_1" localSheetId="71">'310 &amp; 491'!$I$30,'310 &amp; 491'!$I$40,'310 &amp; 491'!$I$51,'310 &amp; 491'!$I$53,'310 &amp; 491'!$I$55,'310 &amp; 491'!$I$57,'310 &amp; 491'!$I$61,'310 &amp; 491'!$I$63,'310 &amp; 491'!$I$65,'310 &amp; 491'!$I$68,'310 &amp; 491'!$I$70,'310 &amp; 491'!$I$72,'310 &amp; 491'!$I$74,'310 &amp; 491'!$I$76,'310 &amp; 491'!$I$78,'310 &amp; 491'!$I$82,'310 &amp; 491'!$I$85,'310 &amp; 491'!$I$91,'310 &amp; 491'!$I$94,'310 &amp; 491'!$I$106,'310 &amp; 491'!$I$109,'310 &amp; 491'!$I$111,'310 &amp; 491'!$I$113</definedName>
    <definedName name="OSRRefE20x_1" localSheetId="54">'311'!$I$51,'311'!$I$62,'311'!$I$73,'311'!$I$75,'311'!$I$77,'311'!$I$79,'311'!$I$81,'311'!$I$83,'311'!$I$86,'311'!$I$88,'311'!$I$92,'311'!$I$95,'311'!$I$99,'311'!$I$102,'311'!$I$104</definedName>
    <definedName name="OSRRefE20x_1" localSheetId="65">'313'!$I$19,'313'!$I$29,'313'!$I$40,'313'!$I$42,'313'!$I$44,'313'!$I$46,'313'!$I$48,'313'!$I$50</definedName>
    <definedName name="OSRRefE20x_1" localSheetId="57">'315'!$I$75,'315'!$I$85,'315'!$I$96,'315'!$I$98,'315'!$I$100,'315'!$I$102,'315'!$I$104,'315'!$I$106,'315'!$I$109,'315'!$I$111,'315'!$I$113,'315'!$I$115,'315'!$I$117,'315'!$I$121,'315'!$I$124,'315'!$I$132,'315'!$I$134,'315'!$I$136</definedName>
    <definedName name="OSRRefE20x_1" localSheetId="60">'316'!$I$28,'316'!$I$38,'316'!$I$49,'316'!$I$51,'316'!$I$53,'316'!$I$55,'316'!$I$57,'316'!$I$60,'316'!$I$63,'316'!$I$65,'316'!$I$71,'316'!$I$73</definedName>
    <definedName name="OSRRefE20x_1" localSheetId="62">'317'!$I$47,'317'!$I$58,'317'!$I$69,'317'!$I$71,'317'!$I$73,'317'!$I$75,'317'!$I$77,'317'!$I$80,'317'!$I$82,'317'!$I$84,'317'!$I$86,'317'!$I$90,'317'!$I$92</definedName>
    <definedName name="OSRRefE20x_1" localSheetId="66">'321'!$I$21,'321'!$I$31,'321'!$I$42,'321'!$I$44,'321'!$I$46,'321'!$I$48,'321'!$I$50,'321'!$I$53,'321'!$I$55,'321'!$I$58,'321'!$I$61,'321'!$I$64,'321'!$I$66</definedName>
    <definedName name="OSRRefE20x_1" localSheetId="67">'322'!$I$21,'322'!$I$30,'322'!$I$41,'322'!$I$43,'322'!$I$45,'322'!$I$47,'322'!$I$49,'322'!$I$52,'322'!$I$55,'322'!$I$60,'322'!$I$62</definedName>
    <definedName name="OSRRefE20x_1" localSheetId="55">'324'!$I$25,'324'!$I$34</definedName>
    <definedName name="OSRRefE20x_1" localSheetId="68">'325'!$I$20,'325'!$I$29,'325'!$I$40,'325'!$I$42,'325'!$I$44,'325'!$I$46,'325'!$I$49,'325'!$I$51,'325'!$I$53,'325'!$I$55,'325'!$I$57,'325'!$I$59,'325'!$I$61,'325'!$I$67,'325'!$I$70</definedName>
    <definedName name="OSRRefE20x_1" localSheetId="58">'326'!$I$42,'326'!$I$52,'326'!$I$63,'326'!$I$65,'326'!$I$67,'326'!$I$69,'326'!$I$71,'326'!$I$73,'326'!$I$75,'326'!$I$77,'326'!$I$79,'326'!$I$81,'326'!$I$83,'326'!$I$86,'326'!$I$90,'326'!$I$93,'326'!$I$100,'326'!$I$103,'326'!$I$105,'326'!$I$108</definedName>
    <definedName name="OSRRefE20x_1" localSheetId="69">'327'!$I$22</definedName>
    <definedName name="OSRRefE20x_1" localSheetId="51">'330'!$I$37,'330'!$I$46,'330'!$I$57,'330'!$I$59,'330'!$I$61,'330'!$I$63,'330'!$I$66,'330'!$I$69,'330'!$I$71,'330'!$I$74,'330'!$I$77,'330'!$I$82,'330'!$I$85</definedName>
    <definedName name="OSRRefE20x_1" localSheetId="56">'331'!$I$75,'331'!$I$85,'331'!$I$96,'331'!$I$98,'331'!$I$100,'331'!$I$102,'331'!$I$104,'331'!$I$106,'331'!$I$109,'331'!$I$111,'331'!$I$113,'331'!$I$115,'331'!$I$117,'331'!$I$119,'331'!$I$122,'331'!$I$126,'331'!$I$130,'331'!$I$133,'331'!$I$142,'331'!$I$145,'331'!$I$147,'331'!$I$150</definedName>
    <definedName name="OSRRefE20x_1" localSheetId="59">'332'!$I$28,'332'!$I$38,'332'!$I$49,'332'!$I$51,'332'!$I$53,'332'!$I$55,'332'!$I$57,'332'!$I$60,'332'!$I$63,'332'!$I$65,'332'!$I$71,'332'!$I$73</definedName>
    <definedName name="OSRRefE20x_1" localSheetId="73">'405'!$I$21,'405'!$I$30,'405'!$I$41,'405'!$I$43,'405'!$I$45,'405'!$I$48,'405'!$I$50,'405'!$I$52,'405'!$I$54,'405'!$I$56,'405'!$I$59,'405'!$I$61,'405'!$I$66,'405'!$I$68,'405'!$I$77,'405'!$I$79,'405'!$I$81</definedName>
    <definedName name="OSRRefE20x_1" localSheetId="74">'406'!$I$18,'406'!$I$20,'406'!$I$22,'406'!$I$24,'406'!$I$26</definedName>
    <definedName name="OSRRefE20x_1" localSheetId="75">'411'!$I$18,'411'!$I$28,'411'!$I$39,'411'!$I$41,'411'!$I$43,'411'!$I$46,'411'!$I$48,'411'!$I$50,'411'!$I$52,'411'!$I$54,'411'!$I$57,'411'!$I$62,'411'!$I$64,'411'!$I$71,'411'!$I$73,'411'!$I$75</definedName>
    <definedName name="OSRRefE20x_1" localSheetId="76">'412'!$I$20,'412'!$I$29,'412'!$I$40,'412'!$I$42,'412'!$I$44,'412'!$I$47,'412'!$I$49,'412'!$I$51,'412'!$I$53,'412'!$I$56,'412'!$I$58,'412'!$I$63,'412'!$I$69,'412'!$I$72</definedName>
    <definedName name="OSRRefE20x_1" localSheetId="77">'413'!$I$21,'413'!$I$31,'413'!$I$42,'413'!$I$44,'413'!$I$46,'413'!$I$48,'413'!$I$50,'413'!$I$52,'413'!$I$54,'413'!$I$58,'413'!$I$61,'413'!$I$69</definedName>
    <definedName name="OSRRefE20x_1" localSheetId="78">'414'!$I$22,'414'!$I$32,'414'!$I$43,'414'!$I$45,'414'!$I$47,'414'!$I$49,'414'!$I$51,'414'!$I$53,'414'!$I$55,'414'!$I$58,'414'!$I$60,'414'!$I$62,'414'!$I$64,'414'!$I$68,'414'!$I$70</definedName>
    <definedName name="OSRRefE20x_1" localSheetId="79">'415'!$I$25,'415'!$I$35,'415'!$I$46,'415'!$I$48,'415'!$I$50,'415'!$I$52,'415'!$I$55,'415'!$I$57,'415'!$I$59,'415'!$I$61,'415'!$I$63,'415'!$I$65,'415'!$I$68,'415'!$I$73,'415'!$I$75,'415'!$I$82,'415'!$I$85</definedName>
    <definedName name="OSRRefE20x_1" localSheetId="80">'418'!$I$21,'418'!$I$30,'418'!$I$41,'418'!$I$43,'418'!$I$45,'418'!$I$48,'418'!$I$50,'418'!$I$52,'418'!$I$54,'418'!$I$57,'418'!$I$60,'418'!$I$63,'418'!$I$73,'418'!$I$76</definedName>
    <definedName name="OSRRefE20x_1" localSheetId="82">'423'!$I$18,'423'!$I$27,'423'!$I$38,'423'!$I$40,'423'!$I$43,'423'!$I$45,'423'!$I$47</definedName>
    <definedName name="OSRRefE20x_1" localSheetId="83">'424'!$I$18,'424'!$I$20,'424'!$I$22,'424'!$I$24</definedName>
    <definedName name="OSRRefE20x_1" localSheetId="84">'425'!$I$18,'425'!$I$24,'425'!$I$26,'425'!$I$28,'425'!$I$30</definedName>
    <definedName name="OSRRefE20x_1" localSheetId="87">'430'!$I$18,'430'!$I$28,'430'!$I$39,'430'!$I$41,'430'!$I$43,'430'!$I$47,'430'!$I$50,'430'!$I$52</definedName>
    <definedName name="OSRRefE20x_1" localSheetId="88">'433'!$I$25,'433'!$I$36,'433'!$I$47,'433'!$I$49,'433'!$I$51,'433'!$I$53,'433'!$I$55,'433'!$I$57,'433'!$I$59,'433'!$I$61,'433'!$I$63,'433'!$I$65,'433'!$I$69,'433'!$I$74,'433'!$I$83,'433'!$I$85</definedName>
    <definedName name="OSRRefE20x_1" localSheetId="89">'435'!$I$18</definedName>
    <definedName name="OSRRefE20x_1" localSheetId="90">'444'!$I$25,'444'!$I$36,'444'!$I$47,'444'!$I$49,'444'!$I$51,'444'!$I$53,'444'!$I$55,'444'!$I$57,'444'!$I$59,'444'!$I$61,'444'!$I$63,'444'!$I$65,'444'!$I$69,'444'!$I$73,'444'!$I$82,'444'!$I$85</definedName>
    <definedName name="OSRRefE20x_1" localSheetId="91">'450'!$I$21,'450'!$I$32,'450'!$I$43,'450'!$I$45,'450'!$I$47,'450'!$I$49,'450'!$I$51,'450'!$I$53,'450'!$I$55,'450'!$I$57,'450'!$I$59,'450'!$I$61,'450'!$I$63,'450'!$I$65,'450'!$I$69,'450'!$I$76,'450'!$I$79</definedName>
    <definedName name="OSRRefE20x_1" localSheetId="72">'491'!$I$27,'491'!$I$37,'491'!$I$48,'491'!$I$50,'491'!$I$52,'491'!$I$54,'491'!$I$58,'491'!$I$60,'491'!$I$62,'491'!$I$64,'491'!$I$66,'491'!$I$68,'491'!$I$70,'491'!$I$72,'491'!$I$74,'491'!$I$78,'491'!$I$81,'491'!$I$87,'491'!$I$90,'491'!$I$102,'491'!$I$105,'491'!$I$107,'491'!$I$109</definedName>
    <definedName name="OSRRefE20x_1" localSheetId="86">'492'!$I$25,'492'!$I$36,'492'!$I$47,'492'!$I$49,'492'!$I$51,'492'!$I$53,'492'!$I$55,'492'!$I$57,'492'!$I$59,'492'!$I$61,'492'!$I$63,'492'!$I$65,'492'!$I$67,'492'!$I$71,'492'!$I$76,'492'!$I$87,'492'!$I$90,'492'!$I$92</definedName>
    <definedName name="OSRRefE20x_1" localSheetId="93">'501'!$I$20,'501'!$I$31,'501'!$I$42,'501'!$I$44,'501'!$I$46,'501'!$I$48,'501'!$I$51,'501'!$I$53,'501'!$I$55,'501'!$I$57,'501'!$I$61,'501'!$I$63,'501'!$I$66,'501'!$I$68</definedName>
    <definedName name="OSRRefE20x_1" localSheetId="39">'Div 2'!$I$18,'Div 2'!$I$30,'Div 2'!$I$41,'Div 2'!$I$43,'Div 2'!$I$45,'Div 2'!$I$47,'Div 2'!$I$49,'Div 2'!$I$52,'Div 2'!$I$54,'Div 2'!$I$56,'Div 2'!$I$59,'Div 2'!$I$61,'Div 2'!$I$63,'Div 2'!$I$68,'Div 2'!$I$73,'Div 2'!$I$76,'Div 2'!$I$79,'Div 2'!$I$84,'Div 2'!$I$87,'Div 2'!$I$89</definedName>
    <definedName name="OSRRefE20x_1" localSheetId="47">'Div 3'!$I$114,'Div 3'!$I$125,'Div 3'!$I$136,'Div 3'!$I$138,'Div 3'!$I$141,'Div 3'!$I$143,'Div 3'!$I$146,'Div 3'!$I$149,'Div 3'!$I$151,'Div 3'!$I$153,'Div 3'!$I$155,'Div 3'!$I$158,'Div 3'!$I$161,'Div 3'!$I$163,'Div 3'!$I$165,'Div 3'!$I$167,'Div 3'!$I$169,'Div 3'!$I$171,'Div 3'!$I$176,'Div 3'!$I$181,'Div 3'!$I$186,'Div 3'!$I$189,'Div 3'!$I$199,'Div 3'!$I$202,'Div 3'!$I$204,'Div 3'!$I$208</definedName>
    <definedName name="OSRRefE20x_1" localSheetId="70">'Div 4'!$I$29,'Div 4'!$I$40,'Div 4'!$I$51,'Div 4'!$I$53,'Div 4'!$I$55,'Div 4'!$I$57,'Div 4'!$I$61,'Div 4'!$I$63,'Div 4'!$I$65,'Div 4'!$I$67,'Div 4'!$I$69,'Div 4'!$I$71,'Div 4'!$I$73,'Div 4'!$I$75,'Div 4'!$I$77,'Div 4'!$I$79,'Div 4'!$I$84,'Div 4'!$I$87,'Div 4'!$I$93,'Div 4'!$I$96,'Div 4'!$I$108,'Div 4'!$I$111,'Div 4'!$I$113,'Div 4'!$I$116</definedName>
    <definedName name="OSRRefE20x_1" localSheetId="92">'Div 5'!$I$20,'Div 5'!$I$31,'Div 5'!$I$42,'Div 5'!$I$44,'Div 5'!$I$46,'Div 5'!$I$48,'Div 5'!$I$51,'Div 5'!$I$53,'Div 5'!$I$55,'Div 5'!$I$57,'Div 5'!$I$61,'Div 5'!$I$63,'Div 5'!$I$66,'Div 5'!$I$68</definedName>
    <definedName name="OSRRefE20x_1" localSheetId="61">'Div 6'!$I$47,'Div 6'!$I$58,'Div 6'!$I$69,'Div 6'!$I$71,'Div 6'!$I$73,'Div 6'!$I$75,'Div 6'!$I$77,'Div 6'!$I$80,'Div 6'!$I$82,'Div 6'!$I$84,'Div 6'!$I$86,'Div 6'!$I$90,'Div 6'!$I$92</definedName>
    <definedName name="OSRRefE20x_1" localSheetId="2">Summary!$I$141,Summary!$I$152,Summary!$I$163,Summary!$I$165,Summary!$I$168,Summary!$I$170,Summary!$I$174,Summary!$I$177,Summary!$I$179,Summary!$I$181,Summary!$I$183,Summary!$I$186,Summary!$I$189,Summary!$I$191,Summary!$I$193,Summary!$I$195,Summary!$I$197,Summary!$I$199,Summary!$I$201,Summary!$I$206,Summary!$I$211,Summary!$I$217,Summary!$I$220,Summary!$I$232,Summary!$I$235,Summary!$I$237,Summary!$I$241</definedName>
    <definedName name="OSRRefE20x_2" localSheetId="40">'200'!$J$18,'200'!$J$20,'200'!$J$22,'200'!$J$24,'200'!$J$26</definedName>
    <definedName name="OSRRefE20x_2" localSheetId="41">'201'!$J$18,'201'!$J$28,'201'!$J$39,'201'!$J$41,'201'!$J$43,'201'!$J$46,'201'!$J$48,'201'!$J$50,'201'!$J$52,'201'!$J$54,'201'!$J$56,'201'!$J$60,'201'!$J$62,'201'!$J$64,'201'!$J$68,'201'!$J$70,'201'!$J$72</definedName>
    <definedName name="OSRRefE20x_2" localSheetId="42">'202'!$J$18,'202'!$J$28,'202'!$J$39,'202'!$J$41,'202'!$J$43,'202'!$J$46,'202'!$J$48,'202'!$J$50,'202'!$J$53,'202'!$J$55,'202'!$J$58,'202'!$J$60,'202'!$J$62</definedName>
    <definedName name="OSRRefE20x_2" localSheetId="43">'203'!$J$18,'203'!$J$29,'203'!$J$40,'203'!$J$42,'203'!$J$44,'203'!$J$46,'203'!$J$48,'203'!$J$50,'203'!$J$52,'203'!$J$56,'203'!$J$58,'203'!$J$60,'203'!$J$64,'203'!$J$66</definedName>
    <definedName name="OSRRefE20x_2" localSheetId="44">'204'!$J$18,'204'!$J$29,'204'!$J$40,'204'!$J$42,'204'!$J$44,'204'!$J$48,'204'!$J$50,'204'!$J$52,'204'!$J$55</definedName>
    <definedName name="OSRRefE20x_2" localSheetId="45">'205'!$J$18,'205'!$J$28,'205'!$J$39,'205'!$J$41,'205'!$J$43,'205'!$J$47,'205'!$J$49,'205'!$J$51</definedName>
    <definedName name="OSRRefE20x_2" localSheetId="46">'206'!$J$18,'206'!$J$28,'206'!$J$39,'206'!$J$41,'206'!$J$43,'206'!$J$45,'206'!$J$47</definedName>
    <definedName name="OSRRefE20x_2" localSheetId="48">'300'!$J$110,'300'!$J$121,'300'!$J$132,'300'!$J$134,'300'!$J$137,'300'!$J$139,'300'!$J$142,'300'!$J$145,'300'!$J$147,'300'!$J$149,'300'!$J$151,'300'!$J$154,'300'!$J$157,'300'!$J$159,'300'!$J$161,'300'!$J$163,'300'!$J$165,'300'!$J$170,'300'!$J$175,'300'!$J$180,'300'!$J$183,'300'!$J$193,'300'!$J$196,'300'!$J$198,'300'!$J$202</definedName>
    <definedName name="OSRRefE20x_2" localSheetId="49">'300 &amp; 317'!$J$132,'300 &amp; 317'!$J$143,'300 &amp; 317'!$J$154,'300 &amp; 317'!$J$156,'300 &amp; 317'!$J$159,'300 &amp; 317'!$J$161,'300 &amp; 317'!$J$164,'300 &amp; 317'!$J$167,'300 &amp; 317'!$J$169,'300 &amp; 317'!$J$171,'300 &amp; 317'!$J$173,'300 &amp; 317'!$J$176,'300 &amp; 317'!$J$179,'300 &amp; 317'!$J$181,'300 &amp; 317'!$J$183,'300 &amp; 317'!$J$185,'300 &amp; 317'!$J$187,'300 &amp; 317'!$J$192,'300 &amp; 317'!$J$197,'300 &amp; 317'!$J$202,'300 &amp; 317'!$J$205,'300 &amp; 317'!$J$215,'300 &amp; 317'!$J$218,'300 &amp; 317'!$J$220,'300 &amp; 317'!$J$224</definedName>
    <definedName name="OSRRefE20x_2" localSheetId="50">'301'!$J$18,'301'!$J$28,'301'!$J$39,'301'!$J$42,'301'!$J$44,'301'!$J$47,'301'!$J$49,'301'!$J$51,'301'!$J$53,'301'!$J$55,'301'!$J$57,'301'!$J$59,'301'!$J$61,'301'!$J$63,'301'!$J$68,'301'!$J$72,'301'!$J$74,'301'!$J$82,'301'!$J$84,'301'!$J$86,'301'!$J$88</definedName>
    <definedName name="OSRRefE20x_2" localSheetId="52">'307'!$J$37,'307'!$J$46,'307'!$J$57,'307'!$J$59,'307'!$J$61,'307'!$J$63,'307'!$J$66,'307'!$J$69,'307'!$J$71,'307'!$J$74,'307'!$J$77,'307'!$J$82,'307'!$J$85</definedName>
    <definedName name="OSRRefE20x_2" localSheetId="53">'308'!$J$52,'308'!$J$63,'308'!$J$74,'308'!$J$76,'308'!$J$78,'308'!$J$80,'308'!$J$82,'308'!$J$84,'308'!$J$87,'308'!$J$89,'308'!$J$93,'308'!$J$96,'308'!$J$100,'308'!$J$103,'308'!$J$105</definedName>
    <definedName name="OSRRefE20x_2" localSheetId="64">'309'!$J$20,'309'!$J$29,'309'!$J$40,'309'!$J$42,'309'!$J$44,'309'!$J$46,'309'!$J$49,'309'!$J$52,'309'!$J$56</definedName>
    <definedName name="OSRRefE20x_2" localSheetId="63">'310'!$J$25,'310'!$J$35,'310'!$J$46,'310'!$J$48,'310'!$J$50,'310'!$J$52,'310'!$J$55,'310'!$J$57,'310'!$J$59,'310'!$J$61,'310'!$J$63,'310'!$J$65,'310'!$J$67,'310'!$J$69,'310'!$J$72,'310'!$J$74,'310'!$J$77,'310'!$J$85,'310'!$J$88,'310'!$J$90</definedName>
    <definedName name="OSRRefE20x_2" localSheetId="71">'310 &amp; 491'!$J$30,'310 &amp; 491'!$J$40,'310 &amp; 491'!$J$51,'310 &amp; 491'!$J$53,'310 &amp; 491'!$J$55,'310 &amp; 491'!$J$57,'310 &amp; 491'!$J$61,'310 &amp; 491'!$J$63,'310 &amp; 491'!$J$65,'310 &amp; 491'!$J$68,'310 &amp; 491'!$J$70,'310 &amp; 491'!$J$72,'310 &amp; 491'!$J$74,'310 &amp; 491'!$J$76,'310 &amp; 491'!$J$78,'310 &amp; 491'!$J$82,'310 &amp; 491'!$J$85,'310 &amp; 491'!$J$91,'310 &amp; 491'!$J$94,'310 &amp; 491'!$J$106,'310 &amp; 491'!$J$109,'310 &amp; 491'!$J$111,'310 &amp; 491'!$J$113</definedName>
    <definedName name="OSRRefE20x_2" localSheetId="54">'311'!$J$51,'311'!$J$62,'311'!$J$73,'311'!$J$75,'311'!$J$77,'311'!$J$79,'311'!$J$81,'311'!$J$83,'311'!$J$86,'311'!$J$88,'311'!$J$92,'311'!$J$95,'311'!$J$99,'311'!$J$102,'311'!$J$104</definedName>
    <definedName name="OSRRefE20x_2" localSheetId="65">'313'!$J$19,'313'!$J$29,'313'!$J$40,'313'!$J$42,'313'!$J$44,'313'!$J$46,'313'!$J$48,'313'!$J$50</definedName>
    <definedName name="OSRRefE20x_2" localSheetId="57">'315'!$J$75,'315'!$J$85,'315'!$J$96,'315'!$J$98,'315'!$J$100,'315'!$J$102,'315'!$J$104,'315'!$J$106,'315'!$J$109,'315'!$J$111,'315'!$J$113,'315'!$J$115,'315'!$J$117,'315'!$J$121,'315'!$J$124,'315'!$J$132,'315'!$J$134,'315'!$J$136</definedName>
    <definedName name="OSRRefE20x_2" localSheetId="60">'316'!$J$28,'316'!$J$38,'316'!$J$49,'316'!$J$51,'316'!$J$53,'316'!$J$55,'316'!$J$57,'316'!$J$60,'316'!$J$63,'316'!$J$65,'316'!$J$71,'316'!$J$73</definedName>
    <definedName name="OSRRefE20x_2" localSheetId="62">'317'!$J$47,'317'!$J$58,'317'!$J$69,'317'!$J$71,'317'!$J$73,'317'!$J$75,'317'!$J$77,'317'!$J$80,'317'!$J$82,'317'!$J$84,'317'!$J$86,'317'!$J$90,'317'!$J$92</definedName>
    <definedName name="OSRRefE20x_2" localSheetId="66">'321'!$J$21,'321'!$J$31,'321'!$J$42,'321'!$J$44,'321'!$J$46,'321'!$J$48,'321'!$J$50,'321'!$J$53,'321'!$J$55,'321'!$J$58,'321'!$J$61,'321'!$J$64,'321'!$J$66</definedName>
    <definedName name="OSRRefE20x_2" localSheetId="67">'322'!$J$21,'322'!$J$30,'322'!$J$41,'322'!$J$43,'322'!$J$45,'322'!$J$47,'322'!$J$49,'322'!$J$52,'322'!$J$55,'322'!$J$60,'322'!$J$62</definedName>
    <definedName name="OSRRefE20x_2" localSheetId="55">'324'!$J$25,'324'!$J$34</definedName>
    <definedName name="OSRRefE20x_2" localSheetId="68">'325'!$J$20,'325'!$J$29,'325'!$J$40,'325'!$J$42,'325'!$J$44,'325'!$J$46,'325'!$J$49,'325'!$J$51,'325'!$J$53,'325'!$J$55,'325'!$J$57,'325'!$J$59,'325'!$J$61,'325'!$J$67,'325'!$J$70</definedName>
    <definedName name="OSRRefE20x_2" localSheetId="58">'326'!$J$42,'326'!$J$52,'326'!$J$63,'326'!$J$65,'326'!$J$67,'326'!$J$69,'326'!$J$71,'326'!$J$73,'326'!$J$75,'326'!$J$77,'326'!$J$79,'326'!$J$81,'326'!$J$83,'326'!$J$86,'326'!$J$90,'326'!$J$93,'326'!$J$100,'326'!$J$103,'326'!$J$105,'326'!$J$108</definedName>
    <definedName name="OSRRefE20x_2" localSheetId="69">'327'!$J$22</definedName>
    <definedName name="OSRRefE20x_2" localSheetId="51">'330'!$J$37,'330'!$J$46,'330'!$J$57,'330'!$J$59,'330'!$J$61,'330'!$J$63,'330'!$J$66,'330'!$J$69,'330'!$J$71,'330'!$J$74,'330'!$J$77,'330'!$J$82,'330'!$J$85</definedName>
    <definedName name="OSRRefE20x_2" localSheetId="56">'331'!$J$75,'331'!$J$85,'331'!$J$96,'331'!$J$98,'331'!$J$100,'331'!$J$102,'331'!$J$104,'331'!$J$106,'331'!$J$109,'331'!$J$111,'331'!$J$113,'331'!$J$115,'331'!$J$117,'331'!$J$119,'331'!$J$122,'331'!$J$126,'331'!$J$130,'331'!$J$133,'331'!$J$142,'331'!$J$145,'331'!$J$147,'331'!$J$150</definedName>
    <definedName name="OSRRefE20x_2" localSheetId="59">'332'!$J$28,'332'!$J$38,'332'!$J$49,'332'!$J$51,'332'!$J$53,'332'!$J$55,'332'!$J$57,'332'!$J$60,'332'!$J$63,'332'!$J$65,'332'!$J$71,'332'!$J$73</definedName>
    <definedName name="OSRRefE20x_2" localSheetId="73">'405'!$J$21,'405'!$J$30,'405'!$J$41,'405'!$J$43,'405'!$J$45,'405'!$J$48,'405'!$J$50,'405'!$J$52,'405'!$J$54,'405'!$J$56,'405'!$J$59,'405'!$J$61,'405'!$J$66,'405'!$J$68,'405'!$J$77,'405'!$J$79,'405'!$J$81</definedName>
    <definedName name="OSRRefE20x_2" localSheetId="74">'406'!$J$18,'406'!$J$20,'406'!$J$22,'406'!$J$24,'406'!$J$26</definedName>
    <definedName name="OSRRefE20x_2" localSheetId="75">'411'!$J$18,'411'!$J$28,'411'!$J$39,'411'!$J$41,'411'!$J$43,'411'!$J$46,'411'!$J$48,'411'!$J$50,'411'!$J$52,'411'!$J$54,'411'!$J$57,'411'!$J$62,'411'!$J$64,'411'!$J$71,'411'!$J$73,'411'!$J$75</definedName>
    <definedName name="OSRRefE20x_2" localSheetId="76">'412'!$J$20,'412'!$J$29,'412'!$J$40,'412'!$J$42,'412'!$J$44,'412'!$J$47,'412'!$J$49,'412'!$J$51,'412'!$J$53,'412'!$J$56,'412'!$J$58,'412'!$J$63,'412'!$J$69,'412'!$J$72</definedName>
    <definedName name="OSRRefE20x_2" localSheetId="77">'413'!$J$21,'413'!$J$31,'413'!$J$42,'413'!$J$44,'413'!$J$46,'413'!$J$48,'413'!$J$50,'413'!$J$52,'413'!$J$54,'413'!$J$58,'413'!$J$61,'413'!$J$69</definedName>
    <definedName name="OSRRefE20x_2" localSheetId="78">'414'!$J$22,'414'!$J$32,'414'!$J$43,'414'!$J$45,'414'!$J$47,'414'!$J$49,'414'!$J$51,'414'!$J$53,'414'!$J$55,'414'!$J$58,'414'!$J$60,'414'!$J$62,'414'!$J$64,'414'!$J$68,'414'!$J$70</definedName>
    <definedName name="OSRRefE20x_2" localSheetId="79">'415'!$J$25,'415'!$J$35,'415'!$J$46,'415'!$J$48,'415'!$J$50,'415'!$J$52,'415'!$J$55,'415'!$J$57,'415'!$J$59,'415'!$J$61,'415'!$J$63,'415'!$J$65,'415'!$J$68,'415'!$J$73,'415'!$J$75,'415'!$J$82,'415'!$J$85</definedName>
    <definedName name="OSRRefE20x_2" localSheetId="80">'418'!$J$21,'418'!$J$30,'418'!$J$41,'418'!$J$43,'418'!$J$45,'418'!$J$48,'418'!$J$50,'418'!$J$52,'418'!$J$54,'418'!$J$57,'418'!$J$60,'418'!$J$63,'418'!$J$73,'418'!$J$76</definedName>
    <definedName name="OSRRefE20x_2" localSheetId="82">'423'!$J$18,'423'!$J$27,'423'!$J$38,'423'!$J$40,'423'!$J$43,'423'!$J$45,'423'!$J$47</definedName>
    <definedName name="OSRRefE20x_2" localSheetId="83">'424'!$J$18,'424'!$J$20,'424'!$J$22,'424'!$J$24</definedName>
    <definedName name="OSRRefE20x_2" localSheetId="84">'425'!$J$18,'425'!$J$24,'425'!$J$26,'425'!$J$28,'425'!$J$30</definedName>
    <definedName name="OSRRefE20x_2" localSheetId="87">'430'!$J$18,'430'!$J$28,'430'!$J$39,'430'!$J$41,'430'!$J$43,'430'!$J$47,'430'!$J$50,'430'!$J$52</definedName>
    <definedName name="OSRRefE20x_2" localSheetId="88">'433'!$J$25,'433'!$J$36,'433'!$J$47,'433'!$J$49,'433'!$J$51,'433'!$J$53,'433'!$J$55,'433'!$J$57,'433'!$J$59,'433'!$J$61,'433'!$J$63,'433'!$J$65,'433'!$J$69,'433'!$J$74,'433'!$J$83,'433'!$J$85</definedName>
    <definedName name="OSRRefE20x_2" localSheetId="89">'435'!$J$18</definedName>
    <definedName name="OSRRefE20x_2" localSheetId="90">'444'!$J$25,'444'!$J$36,'444'!$J$47,'444'!$J$49,'444'!$J$51,'444'!$J$53,'444'!$J$55,'444'!$J$57,'444'!$J$59,'444'!$J$61,'444'!$J$63,'444'!$J$65,'444'!$J$69,'444'!$J$73,'444'!$J$82,'444'!$J$85</definedName>
    <definedName name="OSRRefE20x_2" localSheetId="91">'450'!$J$21,'450'!$J$32,'450'!$J$43,'450'!$J$45,'450'!$J$47,'450'!$J$49,'450'!$J$51,'450'!$J$53,'450'!$J$55,'450'!$J$57,'450'!$J$59,'450'!$J$61,'450'!$J$63,'450'!$J$65,'450'!$J$69,'450'!$J$76,'450'!$J$79</definedName>
    <definedName name="OSRRefE20x_2" localSheetId="72">'491'!$J$27,'491'!$J$37,'491'!$J$48,'491'!$J$50,'491'!$J$52,'491'!$J$54,'491'!$J$58,'491'!$J$60,'491'!$J$62,'491'!$J$64,'491'!$J$66,'491'!$J$68,'491'!$J$70,'491'!$J$72,'491'!$J$74,'491'!$J$78,'491'!$J$81,'491'!$J$87,'491'!$J$90,'491'!$J$102,'491'!$J$105,'491'!$J$107,'491'!$J$109</definedName>
    <definedName name="OSRRefE20x_2" localSheetId="86">'492'!$J$25,'492'!$J$36,'492'!$J$47,'492'!$J$49,'492'!$J$51,'492'!$J$53,'492'!$J$55,'492'!$J$57,'492'!$J$59,'492'!$J$61,'492'!$J$63,'492'!$J$65,'492'!$J$67,'492'!$J$71,'492'!$J$76,'492'!$J$87,'492'!$J$90,'492'!$J$92</definedName>
    <definedName name="OSRRefE20x_2" localSheetId="93">'501'!$J$20,'501'!$J$31,'501'!$J$42,'501'!$J$44,'501'!$J$46,'501'!$J$48,'501'!$J$51,'501'!$J$53,'501'!$J$55,'501'!$J$57,'501'!$J$61,'501'!$J$63,'501'!$J$66,'501'!$J$68</definedName>
    <definedName name="OSRRefE20x_2" localSheetId="39">'Div 2'!$J$18,'Div 2'!$J$30,'Div 2'!$J$41,'Div 2'!$J$43,'Div 2'!$J$45,'Div 2'!$J$47,'Div 2'!$J$49,'Div 2'!$J$52,'Div 2'!$J$54,'Div 2'!$J$56,'Div 2'!$J$59,'Div 2'!$J$61,'Div 2'!$J$63,'Div 2'!$J$68,'Div 2'!$J$73,'Div 2'!$J$76,'Div 2'!$J$79,'Div 2'!$J$84,'Div 2'!$J$87,'Div 2'!$J$89</definedName>
    <definedName name="OSRRefE20x_2" localSheetId="47">'Div 3'!$J$114,'Div 3'!$J$125,'Div 3'!$J$136,'Div 3'!$J$138,'Div 3'!$J$141,'Div 3'!$J$143,'Div 3'!$J$146,'Div 3'!$J$149,'Div 3'!$J$151,'Div 3'!$J$153,'Div 3'!$J$155,'Div 3'!$J$158,'Div 3'!$J$161,'Div 3'!$J$163,'Div 3'!$J$165,'Div 3'!$J$167,'Div 3'!$J$169,'Div 3'!$J$171,'Div 3'!$J$176,'Div 3'!$J$181,'Div 3'!$J$186,'Div 3'!$J$189,'Div 3'!$J$199,'Div 3'!$J$202,'Div 3'!$J$204,'Div 3'!$J$208</definedName>
    <definedName name="OSRRefE20x_2" localSheetId="70">'Div 4'!$J$29,'Div 4'!$J$40,'Div 4'!$J$51,'Div 4'!$J$53,'Div 4'!$J$55,'Div 4'!$J$57,'Div 4'!$J$61,'Div 4'!$J$63,'Div 4'!$J$65,'Div 4'!$J$67,'Div 4'!$J$69,'Div 4'!$J$71,'Div 4'!$J$73,'Div 4'!$J$75,'Div 4'!$J$77,'Div 4'!$J$79,'Div 4'!$J$84,'Div 4'!$J$87,'Div 4'!$J$93,'Div 4'!$J$96,'Div 4'!$J$108,'Div 4'!$J$111,'Div 4'!$J$113,'Div 4'!$J$116</definedName>
    <definedName name="OSRRefE20x_2" localSheetId="92">'Div 5'!$J$20,'Div 5'!$J$31,'Div 5'!$J$42,'Div 5'!$J$44,'Div 5'!$J$46,'Div 5'!$J$48,'Div 5'!$J$51,'Div 5'!$J$53,'Div 5'!$J$55,'Div 5'!$J$57,'Div 5'!$J$61,'Div 5'!$J$63,'Div 5'!$J$66,'Div 5'!$J$68</definedName>
    <definedName name="OSRRefE20x_2" localSheetId="61">'Div 6'!$J$47,'Div 6'!$J$58,'Div 6'!$J$69,'Div 6'!$J$71,'Div 6'!$J$73,'Div 6'!$J$75,'Div 6'!$J$77,'Div 6'!$J$80,'Div 6'!$J$82,'Div 6'!$J$84,'Div 6'!$J$86,'Div 6'!$J$90,'Div 6'!$J$92</definedName>
    <definedName name="OSRRefE20x_2" localSheetId="2">Summary!$J$141,Summary!$J$152,Summary!$J$163,Summary!$J$165,Summary!$J$168,Summary!$J$170,Summary!$J$174,Summary!$J$177,Summary!$J$179,Summary!$J$181,Summary!$J$183,Summary!$J$186,Summary!$J$189,Summary!$J$191,Summary!$J$193,Summary!$J$195,Summary!$J$197,Summary!$J$199,Summary!$J$201,Summary!$J$206,Summary!$J$211,Summary!$J$217,Summary!$J$220,Summary!$J$232,Summary!$J$235,Summary!$J$237,Summary!$J$241</definedName>
    <definedName name="OSRRefE20x_3" localSheetId="40">'200'!$K$18,'200'!$K$20,'200'!$K$22,'200'!$K$24,'200'!$K$26</definedName>
    <definedName name="OSRRefE20x_3" localSheetId="41">'201'!$K$18,'201'!$K$28,'201'!$K$39,'201'!$K$41,'201'!$K$43,'201'!$K$46,'201'!$K$48,'201'!$K$50,'201'!$K$52,'201'!$K$54,'201'!$K$56,'201'!$K$60,'201'!$K$62,'201'!$K$64,'201'!$K$68,'201'!$K$70,'201'!$K$72</definedName>
    <definedName name="OSRRefE20x_3" localSheetId="42">'202'!$K$18,'202'!$K$28,'202'!$K$39,'202'!$K$41,'202'!$K$43,'202'!$K$46,'202'!$K$48,'202'!$K$50,'202'!$K$53,'202'!$K$55,'202'!$K$58,'202'!$K$60,'202'!$K$62</definedName>
    <definedName name="OSRRefE20x_3" localSheetId="43">'203'!$K$18,'203'!$K$29,'203'!$K$40,'203'!$K$42,'203'!$K$44,'203'!$K$46,'203'!$K$48,'203'!$K$50,'203'!$K$52,'203'!$K$56,'203'!$K$58,'203'!$K$60,'203'!$K$64,'203'!$K$66</definedName>
    <definedName name="OSRRefE20x_3" localSheetId="44">'204'!$K$18,'204'!$K$29,'204'!$K$40,'204'!$K$42,'204'!$K$44,'204'!$K$48,'204'!$K$50,'204'!$K$52,'204'!$K$55</definedName>
    <definedName name="OSRRefE20x_3" localSheetId="45">'205'!$K$18,'205'!$K$28,'205'!$K$39,'205'!$K$41,'205'!$K$43,'205'!$K$47,'205'!$K$49,'205'!$K$51</definedName>
    <definedName name="OSRRefE20x_3" localSheetId="46">'206'!$K$18,'206'!$K$28,'206'!$K$39,'206'!$K$41,'206'!$K$43,'206'!$K$45,'206'!$K$47</definedName>
    <definedName name="OSRRefE20x_3" localSheetId="48">'300'!$K$110,'300'!$K$121,'300'!$K$132,'300'!$K$134,'300'!$K$137,'300'!$K$139,'300'!$K$142,'300'!$K$145,'300'!$K$147,'300'!$K$149,'300'!$K$151,'300'!$K$154,'300'!$K$157,'300'!$K$159,'300'!$K$161,'300'!$K$163,'300'!$K$165,'300'!$K$170,'300'!$K$175,'300'!$K$180,'300'!$K$183,'300'!$K$193,'300'!$K$196,'300'!$K$198,'300'!$K$202</definedName>
    <definedName name="OSRRefE20x_3" localSheetId="49">'300 &amp; 317'!$K$132,'300 &amp; 317'!$K$143,'300 &amp; 317'!$K$154,'300 &amp; 317'!$K$156,'300 &amp; 317'!$K$159,'300 &amp; 317'!$K$161,'300 &amp; 317'!$K$164,'300 &amp; 317'!$K$167,'300 &amp; 317'!$K$169,'300 &amp; 317'!$K$171,'300 &amp; 317'!$K$173,'300 &amp; 317'!$K$176,'300 &amp; 317'!$K$179,'300 &amp; 317'!$K$181,'300 &amp; 317'!$K$183,'300 &amp; 317'!$K$185,'300 &amp; 317'!$K$187,'300 &amp; 317'!$K$192,'300 &amp; 317'!$K$197,'300 &amp; 317'!$K$202,'300 &amp; 317'!$K$205,'300 &amp; 317'!$K$215,'300 &amp; 317'!$K$218,'300 &amp; 317'!$K$220,'300 &amp; 317'!$K$224</definedName>
    <definedName name="OSRRefE20x_3" localSheetId="50">'301'!$K$18,'301'!$K$28,'301'!$K$39,'301'!$K$42,'301'!$K$44,'301'!$K$47,'301'!$K$49,'301'!$K$51,'301'!$K$53,'301'!$K$55,'301'!$K$57,'301'!$K$59,'301'!$K$61,'301'!$K$63,'301'!$K$68,'301'!$K$72,'301'!$K$74,'301'!$K$82,'301'!$K$84,'301'!$K$86,'301'!$K$88</definedName>
    <definedName name="OSRRefE20x_3" localSheetId="52">'307'!$K$37,'307'!$K$46,'307'!$K$57,'307'!$K$59,'307'!$K$61,'307'!$K$63,'307'!$K$66,'307'!$K$69,'307'!$K$71,'307'!$K$74,'307'!$K$77,'307'!$K$82,'307'!$K$85</definedName>
    <definedName name="OSRRefE20x_3" localSheetId="53">'308'!$K$52,'308'!$K$63,'308'!$K$74,'308'!$K$76,'308'!$K$78,'308'!$K$80,'308'!$K$82,'308'!$K$84,'308'!$K$87,'308'!$K$89,'308'!$K$93,'308'!$K$96,'308'!$K$100,'308'!$K$103,'308'!$K$105</definedName>
    <definedName name="OSRRefE20x_3" localSheetId="64">'309'!$K$20,'309'!$K$29,'309'!$K$40,'309'!$K$42,'309'!$K$44,'309'!$K$46,'309'!$K$49,'309'!$K$52,'309'!$K$56</definedName>
    <definedName name="OSRRefE20x_3" localSheetId="63">'310'!$K$25,'310'!$K$35,'310'!$K$46,'310'!$K$48,'310'!$K$50,'310'!$K$52,'310'!$K$55,'310'!$K$57,'310'!$K$59,'310'!$K$61,'310'!$K$63,'310'!$K$65,'310'!$K$67,'310'!$K$69,'310'!$K$72,'310'!$K$74,'310'!$K$77,'310'!$K$85,'310'!$K$88,'310'!$K$90</definedName>
    <definedName name="OSRRefE20x_3" localSheetId="71">'310 &amp; 491'!$K$30,'310 &amp; 491'!$K$40,'310 &amp; 491'!$K$51,'310 &amp; 491'!$K$53,'310 &amp; 491'!$K$55,'310 &amp; 491'!$K$57,'310 &amp; 491'!$K$61,'310 &amp; 491'!$K$63,'310 &amp; 491'!$K$65,'310 &amp; 491'!$K$68,'310 &amp; 491'!$K$70,'310 &amp; 491'!$K$72,'310 &amp; 491'!$K$74,'310 &amp; 491'!$K$76,'310 &amp; 491'!$K$78,'310 &amp; 491'!$K$82,'310 &amp; 491'!$K$85,'310 &amp; 491'!$K$91,'310 &amp; 491'!$K$94,'310 &amp; 491'!$K$106,'310 &amp; 491'!$K$109,'310 &amp; 491'!$K$111,'310 &amp; 491'!$K$113</definedName>
    <definedName name="OSRRefE20x_3" localSheetId="54">'311'!$K$51,'311'!$K$62,'311'!$K$73,'311'!$K$75,'311'!$K$77,'311'!$K$79,'311'!$K$81,'311'!$K$83,'311'!$K$86,'311'!$K$88,'311'!$K$92,'311'!$K$95,'311'!$K$99,'311'!$K$102,'311'!$K$104</definedName>
    <definedName name="OSRRefE20x_3" localSheetId="65">'313'!$K$19,'313'!$K$29,'313'!$K$40,'313'!$K$42,'313'!$K$44,'313'!$K$46,'313'!$K$48,'313'!$K$50</definedName>
    <definedName name="OSRRefE20x_3" localSheetId="57">'315'!$K$75,'315'!$K$85,'315'!$K$96,'315'!$K$98,'315'!$K$100,'315'!$K$102,'315'!$K$104,'315'!$K$106,'315'!$K$109,'315'!$K$111,'315'!$K$113,'315'!$K$115,'315'!$K$117,'315'!$K$121,'315'!$K$124,'315'!$K$132,'315'!$K$134,'315'!$K$136</definedName>
    <definedName name="OSRRefE20x_3" localSheetId="60">'316'!$K$28,'316'!$K$38,'316'!$K$49,'316'!$K$51,'316'!$K$53,'316'!$K$55,'316'!$K$57,'316'!$K$60,'316'!$K$63,'316'!$K$65,'316'!$K$71,'316'!$K$73</definedName>
    <definedName name="OSRRefE20x_3" localSheetId="62">'317'!$K$47,'317'!$K$58,'317'!$K$69,'317'!$K$71,'317'!$K$73,'317'!$K$75,'317'!$K$77,'317'!$K$80,'317'!$K$82,'317'!$K$84,'317'!$K$86,'317'!$K$90,'317'!$K$92</definedName>
    <definedName name="OSRRefE20x_3" localSheetId="66">'321'!$K$21,'321'!$K$31,'321'!$K$42,'321'!$K$44,'321'!$K$46,'321'!$K$48,'321'!$K$50,'321'!$K$53,'321'!$K$55,'321'!$K$58,'321'!$K$61,'321'!$K$64,'321'!$K$66</definedName>
    <definedName name="OSRRefE20x_3" localSheetId="67">'322'!$K$21,'322'!$K$30,'322'!$K$41,'322'!$K$43,'322'!$K$45,'322'!$K$47,'322'!$K$49,'322'!$K$52,'322'!$K$55,'322'!$K$60,'322'!$K$62</definedName>
    <definedName name="OSRRefE20x_3" localSheetId="55">'324'!$K$25,'324'!$K$34</definedName>
    <definedName name="OSRRefE20x_3" localSheetId="68">'325'!$K$20,'325'!$K$29,'325'!$K$40,'325'!$K$42,'325'!$K$44,'325'!$K$46,'325'!$K$49,'325'!$K$51,'325'!$K$53,'325'!$K$55,'325'!$K$57,'325'!$K$59,'325'!$K$61,'325'!$K$67,'325'!$K$70</definedName>
    <definedName name="OSRRefE20x_3" localSheetId="58">'326'!$K$42,'326'!$K$52,'326'!$K$63,'326'!$K$65,'326'!$K$67,'326'!$K$69,'326'!$K$71,'326'!$K$73,'326'!$K$75,'326'!$K$77,'326'!$K$79,'326'!$K$81,'326'!$K$83,'326'!$K$86,'326'!$K$90,'326'!$K$93,'326'!$K$100,'326'!$K$103,'326'!$K$105,'326'!$K$108</definedName>
    <definedName name="OSRRefE20x_3" localSheetId="69">'327'!$K$22</definedName>
    <definedName name="OSRRefE20x_3" localSheetId="51">'330'!$K$37,'330'!$K$46,'330'!$K$57,'330'!$K$59,'330'!$K$61,'330'!$K$63,'330'!$K$66,'330'!$K$69,'330'!$K$71,'330'!$K$74,'330'!$K$77,'330'!$K$82,'330'!$K$85</definedName>
    <definedName name="OSRRefE20x_3" localSheetId="56">'331'!$K$75,'331'!$K$85,'331'!$K$96,'331'!$K$98,'331'!$K$100,'331'!$K$102,'331'!$K$104,'331'!$K$106,'331'!$K$109,'331'!$K$111,'331'!$K$113,'331'!$K$115,'331'!$K$117,'331'!$K$119,'331'!$K$122,'331'!$K$126,'331'!$K$130,'331'!$K$133,'331'!$K$142,'331'!$K$145,'331'!$K$147,'331'!$K$150</definedName>
    <definedName name="OSRRefE20x_3" localSheetId="59">'332'!$K$28,'332'!$K$38,'332'!$K$49,'332'!$K$51,'332'!$K$53,'332'!$K$55,'332'!$K$57,'332'!$K$60,'332'!$K$63,'332'!$K$65,'332'!$K$71,'332'!$K$73</definedName>
    <definedName name="OSRRefE20x_3" localSheetId="73">'405'!$K$21,'405'!$K$30,'405'!$K$41,'405'!$K$43,'405'!$K$45,'405'!$K$48,'405'!$K$50,'405'!$K$52,'405'!$K$54,'405'!$K$56,'405'!$K$59,'405'!$K$61,'405'!$K$66,'405'!$K$68,'405'!$K$77,'405'!$K$79,'405'!$K$81</definedName>
    <definedName name="OSRRefE20x_3" localSheetId="74">'406'!$K$18,'406'!$K$20,'406'!$K$22,'406'!$K$24,'406'!$K$26</definedName>
    <definedName name="OSRRefE20x_3" localSheetId="75">'411'!$K$18,'411'!$K$28,'411'!$K$39,'411'!$K$41,'411'!$K$43,'411'!$K$46,'411'!$K$48,'411'!$K$50,'411'!$K$52,'411'!$K$54,'411'!$K$57,'411'!$K$62,'411'!$K$64,'411'!$K$71,'411'!$K$73,'411'!$K$75</definedName>
    <definedName name="OSRRefE20x_3" localSheetId="76">'412'!$K$20,'412'!$K$29,'412'!$K$40,'412'!$K$42,'412'!$K$44,'412'!$K$47,'412'!$K$49,'412'!$K$51,'412'!$K$53,'412'!$K$56,'412'!$K$58,'412'!$K$63,'412'!$K$69,'412'!$K$72</definedName>
    <definedName name="OSRRefE20x_3" localSheetId="77">'413'!$K$21,'413'!$K$31,'413'!$K$42,'413'!$K$44,'413'!$K$46,'413'!$K$48,'413'!$K$50,'413'!$K$52,'413'!$K$54,'413'!$K$58,'413'!$K$61,'413'!$K$69</definedName>
    <definedName name="OSRRefE20x_3" localSheetId="78">'414'!$K$22,'414'!$K$32,'414'!$K$43,'414'!$K$45,'414'!$K$47,'414'!$K$49,'414'!$K$51,'414'!$K$53,'414'!$K$55,'414'!$K$58,'414'!$K$60,'414'!$K$62,'414'!$K$64,'414'!$K$68,'414'!$K$70</definedName>
    <definedName name="OSRRefE20x_3" localSheetId="79">'415'!$K$25,'415'!$K$35,'415'!$K$46,'415'!$K$48,'415'!$K$50,'415'!$K$52,'415'!$K$55,'415'!$K$57,'415'!$K$59,'415'!$K$61,'415'!$K$63,'415'!$K$65,'415'!$K$68,'415'!$K$73,'415'!$K$75,'415'!$K$82,'415'!$K$85</definedName>
    <definedName name="OSRRefE20x_3" localSheetId="80">'418'!$K$21,'418'!$K$30,'418'!$K$41,'418'!$K$43,'418'!$K$45,'418'!$K$48,'418'!$K$50,'418'!$K$52,'418'!$K$54,'418'!$K$57,'418'!$K$60,'418'!$K$63,'418'!$K$73,'418'!$K$76</definedName>
    <definedName name="OSRRefE20x_3" localSheetId="82">'423'!$K$18,'423'!$K$27,'423'!$K$38,'423'!$K$40,'423'!$K$43,'423'!$K$45,'423'!$K$47</definedName>
    <definedName name="OSRRefE20x_3" localSheetId="83">'424'!$K$18,'424'!$K$20,'424'!$K$22,'424'!$K$24</definedName>
    <definedName name="OSRRefE20x_3" localSheetId="84">'425'!$K$18,'425'!$K$24,'425'!$K$26,'425'!$K$28,'425'!$K$30</definedName>
    <definedName name="OSRRefE20x_3" localSheetId="87">'430'!$K$18,'430'!$K$28,'430'!$K$39,'430'!$K$41,'430'!$K$43,'430'!$K$47,'430'!$K$50,'430'!$K$52</definedName>
    <definedName name="OSRRefE20x_3" localSheetId="88">'433'!$K$25,'433'!$K$36,'433'!$K$47,'433'!$K$49,'433'!$K$51,'433'!$K$53,'433'!$K$55,'433'!$K$57,'433'!$K$59,'433'!$K$61,'433'!$K$63,'433'!$K$65,'433'!$K$69,'433'!$K$74,'433'!$K$83,'433'!$K$85</definedName>
    <definedName name="OSRRefE20x_3" localSheetId="89">'435'!$K$18</definedName>
    <definedName name="OSRRefE20x_3" localSheetId="90">'444'!$K$25,'444'!$K$36,'444'!$K$47,'444'!$K$49,'444'!$K$51,'444'!$K$53,'444'!$K$55,'444'!$K$57,'444'!$K$59,'444'!$K$61,'444'!$K$63,'444'!$K$65,'444'!$K$69,'444'!$K$73,'444'!$K$82,'444'!$K$85</definedName>
    <definedName name="OSRRefE20x_3" localSheetId="91">'450'!$K$21,'450'!$K$32,'450'!$K$43,'450'!$K$45,'450'!$K$47,'450'!$K$49,'450'!$K$51,'450'!$K$53,'450'!$K$55,'450'!$K$57,'450'!$K$59,'450'!$K$61,'450'!$K$63,'450'!$K$65,'450'!$K$69,'450'!$K$76,'450'!$K$79</definedName>
    <definedName name="OSRRefE20x_3" localSheetId="72">'491'!$K$27,'491'!$K$37,'491'!$K$48,'491'!$K$50,'491'!$K$52,'491'!$K$54,'491'!$K$58,'491'!$K$60,'491'!$K$62,'491'!$K$64,'491'!$K$66,'491'!$K$68,'491'!$K$70,'491'!$K$72,'491'!$K$74,'491'!$K$78,'491'!$K$81,'491'!$K$87,'491'!$K$90,'491'!$K$102,'491'!$K$105,'491'!$K$107,'491'!$K$109</definedName>
    <definedName name="OSRRefE20x_3" localSheetId="86">'492'!$K$25,'492'!$K$36,'492'!$K$47,'492'!$K$49,'492'!$K$51,'492'!$K$53,'492'!$K$55,'492'!$K$57,'492'!$K$59,'492'!$K$61,'492'!$K$63,'492'!$K$65,'492'!$K$67,'492'!$K$71,'492'!$K$76,'492'!$K$87,'492'!$K$90,'492'!$K$92</definedName>
    <definedName name="OSRRefE20x_3" localSheetId="93">'501'!$K$20,'501'!$K$31,'501'!$K$42,'501'!$K$44,'501'!$K$46,'501'!$K$48,'501'!$K$51,'501'!$K$53,'501'!$K$55,'501'!$K$57,'501'!$K$61,'501'!$K$63,'501'!$K$66,'501'!$K$68</definedName>
    <definedName name="OSRRefE20x_3" localSheetId="39">'Div 2'!$K$18,'Div 2'!$K$30,'Div 2'!$K$41,'Div 2'!$K$43,'Div 2'!$K$45,'Div 2'!$K$47,'Div 2'!$K$49,'Div 2'!$K$52,'Div 2'!$K$54,'Div 2'!$K$56,'Div 2'!$K$59,'Div 2'!$K$61,'Div 2'!$K$63,'Div 2'!$K$68,'Div 2'!$K$73,'Div 2'!$K$76,'Div 2'!$K$79,'Div 2'!$K$84,'Div 2'!$K$87,'Div 2'!$K$89</definedName>
    <definedName name="OSRRefE20x_3" localSheetId="47">'Div 3'!$K$114,'Div 3'!$K$125,'Div 3'!$K$136,'Div 3'!$K$138,'Div 3'!$K$141,'Div 3'!$K$143,'Div 3'!$K$146,'Div 3'!$K$149,'Div 3'!$K$151,'Div 3'!$K$153,'Div 3'!$K$155,'Div 3'!$K$158,'Div 3'!$K$161,'Div 3'!$K$163,'Div 3'!$K$165,'Div 3'!$K$167,'Div 3'!$K$169,'Div 3'!$K$171,'Div 3'!$K$176,'Div 3'!$K$181,'Div 3'!$K$186,'Div 3'!$K$189,'Div 3'!$K$199,'Div 3'!$K$202,'Div 3'!$K$204,'Div 3'!$K$208</definedName>
    <definedName name="OSRRefE20x_3" localSheetId="70">'Div 4'!$K$29,'Div 4'!$K$40,'Div 4'!$K$51,'Div 4'!$K$53,'Div 4'!$K$55,'Div 4'!$K$57,'Div 4'!$K$61,'Div 4'!$K$63,'Div 4'!$K$65,'Div 4'!$K$67,'Div 4'!$K$69,'Div 4'!$K$71,'Div 4'!$K$73,'Div 4'!$K$75,'Div 4'!$K$77,'Div 4'!$K$79,'Div 4'!$K$84,'Div 4'!$K$87,'Div 4'!$K$93,'Div 4'!$K$96,'Div 4'!$K$108,'Div 4'!$K$111,'Div 4'!$K$113,'Div 4'!$K$116</definedName>
    <definedName name="OSRRefE20x_3" localSheetId="92">'Div 5'!$K$20,'Div 5'!$K$31,'Div 5'!$K$42,'Div 5'!$K$44,'Div 5'!$K$46,'Div 5'!$K$48,'Div 5'!$K$51,'Div 5'!$K$53,'Div 5'!$K$55,'Div 5'!$K$57,'Div 5'!$K$61,'Div 5'!$K$63,'Div 5'!$K$66,'Div 5'!$K$68</definedName>
    <definedName name="OSRRefE20x_3" localSheetId="61">'Div 6'!$K$47,'Div 6'!$K$58,'Div 6'!$K$69,'Div 6'!$K$71,'Div 6'!$K$73,'Div 6'!$K$75,'Div 6'!$K$77,'Div 6'!$K$80,'Div 6'!$K$82,'Div 6'!$K$84,'Div 6'!$K$86,'Div 6'!$K$90,'Div 6'!$K$92</definedName>
    <definedName name="OSRRefE20x_3" localSheetId="2">Summary!$K$141,Summary!$K$152,Summary!$K$163,Summary!$K$165,Summary!$K$168,Summary!$K$170,Summary!$K$174,Summary!$K$177,Summary!$K$179,Summary!$K$181,Summary!$K$183,Summary!$K$186,Summary!$K$189,Summary!$K$191,Summary!$K$193,Summary!$K$195,Summary!$K$197,Summary!$K$199,Summary!$K$201,Summary!$K$206,Summary!$K$211,Summary!$K$217,Summary!$K$220,Summary!$K$232,Summary!$K$235,Summary!$K$237,Summary!$K$241</definedName>
    <definedName name="OSRRefE20x_4" localSheetId="40">'200'!$L$18,'200'!$L$20,'200'!$L$22,'200'!$L$24,'200'!$L$26</definedName>
    <definedName name="OSRRefE20x_4" localSheetId="41">'201'!$L$18,'201'!$L$28,'201'!$L$39,'201'!$L$41,'201'!$L$43,'201'!$L$46,'201'!$L$48,'201'!$L$50,'201'!$L$52,'201'!$L$54,'201'!$L$56,'201'!$L$60,'201'!$L$62,'201'!$L$64,'201'!$L$68,'201'!$L$70,'201'!$L$72</definedName>
    <definedName name="OSRRefE20x_4" localSheetId="42">'202'!$L$18,'202'!$L$28,'202'!$L$39,'202'!$L$41,'202'!$L$43,'202'!$L$46,'202'!$L$48,'202'!$L$50,'202'!$L$53,'202'!$L$55,'202'!$L$58,'202'!$L$60,'202'!$L$62</definedName>
    <definedName name="OSRRefE20x_4" localSheetId="43">'203'!$L$18,'203'!$L$29,'203'!$L$40,'203'!$L$42,'203'!$L$44,'203'!$L$46,'203'!$L$48,'203'!$L$50,'203'!$L$52,'203'!$L$56,'203'!$L$58,'203'!$L$60,'203'!$L$64,'203'!$L$66</definedName>
    <definedName name="OSRRefE20x_4" localSheetId="44">'204'!$L$18,'204'!$L$29,'204'!$L$40,'204'!$L$42,'204'!$L$44,'204'!$L$48,'204'!$L$50,'204'!$L$52,'204'!$L$55</definedName>
    <definedName name="OSRRefE20x_4" localSheetId="45">'205'!$L$18,'205'!$L$28,'205'!$L$39,'205'!$L$41,'205'!$L$43,'205'!$L$47,'205'!$L$49,'205'!$L$51</definedName>
    <definedName name="OSRRefE20x_4" localSheetId="46">'206'!$L$18,'206'!$L$28,'206'!$L$39,'206'!$L$41,'206'!$L$43,'206'!$L$45,'206'!$L$47</definedName>
    <definedName name="OSRRefE20x_4" localSheetId="48">'300'!$L$110,'300'!$L$121,'300'!$L$132,'300'!$L$134,'300'!$L$137,'300'!$L$139,'300'!$L$142,'300'!$L$145,'300'!$L$147,'300'!$L$149,'300'!$L$151,'300'!$L$154,'300'!$L$157,'300'!$L$159,'300'!$L$161,'300'!$L$163,'300'!$L$165,'300'!$L$170,'300'!$L$175,'300'!$L$180,'300'!$L$183,'300'!$L$193,'300'!$L$196,'300'!$L$198,'300'!$L$202</definedName>
    <definedName name="OSRRefE20x_4" localSheetId="49">'300 &amp; 317'!$L$132,'300 &amp; 317'!$L$143,'300 &amp; 317'!$L$154,'300 &amp; 317'!$L$156,'300 &amp; 317'!$L$159,'300 &amp; 317'!$L$161,'300 &amp; 317'!$L$164,'300 &amp; 317'!$L$167,'300 &amp; 317'!$L$169,'300 &amp; 317'!$L$171,'300 &amp; 317'!$L$173,'300 &amp; 317'!$L$176,'300 &amp; 317'!$L$179,'300 &amp; 317'!$L$181,'300 &amp; 317'!$L$183,'300 &amp; 317'!$L$185,'300 &amp; 317'!$L$187,'300 &amp; 317'!$L$192,'300 &amp; 317'!$L$197,'300 &amp; 317'!$L$202,'300 &amp; 317'!$L$205,'300 &amp; 317'!$L$215,'300 &amp; 317'!$L$218,'300 &amp; 317'!$L$220,'300 &amp; 317'!$L$224</definedName>
    <definedName name="OSRRefE20x_4" localSheetId="50">'301'!$L$18,'301'!$L$28,'301'!$L$39,'301'!$L$42,'301'!$L$44,'301'!$L$47,'301'!$L$49,'301'!$L$51,'301'!$L$53,'301'!$L$55,'301'!$L$57,'301'!$L$59,'301'!$L$61,'301'!$L$63,'301'!$L$68,'301'!$L$72,'301'!$L$74,'301'!$L$82,'301'!$L$84,'301'!$L$86,'301'!$L$88</definedName>
    <definedName name="OSRRefE20x_4" localSheetId="52">'307'!$L$37,'307'!$L$46,'307'!$L$57,'307'!$L$59,'307'!$L$61,'307'!$L$63,'307'!$L$66,'307'!$L$69,'307'!$L$71,'307'!$L$74,'307'!$L$77,'307'!$L$82,'307'!$L$85</definedName>
    <definedName name="OSRRefE20x_4" localSheetId="53">'308'!$L$52,'308'!$L$63,'308'!$L$74,'308'!$L$76,'308'!$L$78,'308'!$L$80,'308'!$L$82,'308'!$L$84,'308'!$L$87,'308'!$L$89,'308'!$L$93,'308'!$L$96,'308'!$L$100,'308'!$L$103,'308'!$L$105</definedName>
    <definedName name="OSRRefE20x_4" localSheetId="64">'309'!$L$20,'309'!$L$29,'309'!$L$40,'309'!$L$42,'309'!$L$44,'309'!$L$46,'309'!$L$49,'309'!$L$52,'309'!$L$56</definedName>
    <definedName name="OSRRefE20x_4" localSheetId="63">'310'!$L$25,'310'!$L$35,'310'!$L$46,'310'!$L$48,'310'!$L$50,'310'!$L$52,'310'!$L$55,'310'!$L$57,'310'!$L$59,'310'!$L$61,'310'!$L$63,'310'!$L$65,'310'!$L$67,'310'!$L$69,'310'!$L$72,'310'!$L$74,'310'!$L$77,'310'!$L$85,'310'!$L$88,'310'!$L$90</definedName>
    <definedName name="OSRRefE20x_4" localSheetId="71">'310 &amp; 491'!$L$30,'310 &amp; 491'!$L$40,'310 &amp; 491'!$L$51,'310 &amp; 491'!$L$53,'310 &amp; 491'!$L$55,'310 &amp; 491'!$L$57,'310 &amp; 491'!$L$61,'310 &amp; 491'!$L$63,'310 &amp; 491'!$L$65,'310 &amp; 491'!$L$68,'310 &amp; 491'!$L$70,'310 &amp; 491'!$L$72,'310 &amp; 491'!$L$74,'310 &amp; 491'!$L$76,'310 &amp; 491'!$L$78,'310 &amp; 491'!$L$82,'310 &amp; 491'!$L$85,'310 &amp; 491'!$L$91,'310 &amp; 491'!$L$94,'310 &amp; 491'!$L$106,'310 &amp; 491'!$L$109,'310 &amp; 491'!$L$111,'310 &amp; 491'!$L$113</definedName>
    <definedName name="OSRRefE20x_4" localSheetId="54">'311'!$L$51,'311'!$L$62,'311'!$L$73,'311'!$L$75,'311'!$L$77,'311'!$L$79,'311'!$L$81,'311'!$L$83,'311'!$L$86,'311'!$L$88,'311'!$L$92,'311'!$L$95,'311'!$L$99,'311'!$L$102,'311'!$L$104</definedName>
    <definedName name="OSRRefE20x_4" localSheetId="65">'313'!$L$19,'313'!$L$29,'313'!$L$40,'313'!$L$42,'313'!$L$44,'313'!$L$46,'313'!$L$48,'313'!$L$50</definedName>
    <definedName name="OSRRefE20x_4" localSheetId="57">'315'!$L$75,'315'!$L$85,'315'!$L$96,'315'!$L$98,'315'!$L$100,'315'!$L$102,'315'!$L$104,'315'!$L$106,'315'!$L$109,'315'!$L$111,'315'!$L$113,'315'!$L$115,'315'!$L$117,'315'!$L$121,'315'!$L$124,'315'!$L$132,'315'!$L$134,'315'!$L$136</definedName>
    <definedName name="OSRRefE20x_4" localSheetId="60">'316'!$L$28,'316'!$L$38,'316'!$L$49,'316'!$L$51,'316'!$L$53,'316'!$L$55,'316'!$L$57,'316'!$L$60,'316'!$L$63,'316'!$L$65,'316'!$L$71,'316'!$L$73</definedName>
    <definedName name="OSRRefE20x_4" localSheetId="62">'317'!$L$47,'317'!$L$58,'317'!$L$69,'317'!$L$71,'317'!$L$73,'317'!$L$75,'317'!$L$77,'317'!$L$80,'317'!$L$82,'317'!$L$84,'317'!$L$86,'317'!$L$90,'317'!$L$92</definedName>
    <definedName name="OSRRefE20x_4" localSheetId="66">'321'!$L$21,'321'!$L$31,'321'!$L$42,'321'!$L$44,'321'!$L$46,'321'!$L$48,'321'!$L$50,'321'!$L$53,'321'!$L$55,'321'!$L$58,'321'!$L$61,'321'!$L$64,'321'!$L$66</definedName>
    <definedName name="OSRRefE20x_4" localSheetId="67">'322'!$L$21,'322'!$L$30,'322'!$L$41,'322'!$L$43,'322'!$L$45,'322'!$L$47,'322'!$L$49,'322'!$L$52,'322'!$L$55,'322'!$L$60,'322'!$L$62</definedName>
    <definedName name="OSRRefE20x_4" localSheetId="55">'324'!$L$25,'324'!$L$34</definedName>
    <definedName name="OSRRefE20x_4" localSheetId="68">'325'!$L$20,'325'!$L$29,'325'!$L$40,'325'!$L$42,'325'!$L$44,'325'!$L$46,'325'!$L$49,'325'!$L$51,'325'!$L$53,'325'!$L$55,'325'!$L$57,'325'!$L$59,'325'!$L$61,'325'!$L$67,'325'!$L$70</definedName>
    <definedName name="OSRRefE20x_4" localSheetId="58">'326'!$L$42,'326'!$L$52,'326'!$L$63,'326'!$L$65,'326'!$L$67,'326'!$L$69,'326'!$L$71,'326'!$L$73,'326'!$L$75,'326'!$L$77,'326'!$L$79,'326'!$L$81,'326'!$L$83,'326'!$L$86,'326'!$L$90,'326'!$L$93,'326'!$L$100,'326'!$L$103,'326'!$L$105,'326'!$L$108</definedName>
    <definedName name="OSRRefE20x_4" localSheetId="69">'327'!$L$22</definedName>
    <definedName name="OSRRefE20x_4" localSheetId="51">'330'!$L$37,'330'!$L$46,'330'!$L$57,'330'!$L$59,'330'!$L$61,'330'!$L$63,'330'!$L$66,'330'!$L$69,'330'!$L$71,'330'!$L$74,'330'!$L$77,'330'!$L$82,'330'!$L$85</definedName>
    <definedName name="OSRRefE20x_4" localSheetId="56">'331'!$L$75,'331'!$L$85,'331'!$L$96,'331'!$L$98,'331'!$L$100,'331'!$L$102,'331'!$L$104,'331'!$L$106,'331'!$L$109,'331'!$L$111,'331'!$L$113,'331'!$L$115,'331'!$L$117,'331'!$L$119,'331'!$L$122,'331'!$L$126,'331'!$L$130,'331'!$L$133,'331'!$L$142,'331'!$L$145,'331'!$L$147,'331'!$L$150</definedName>
    <definedName name="OSRRefE20x_4" localSheetId="59">'332'!$L$28,'332'!$L$38,'332'!$L$49,'332'!$L$51,'332'!$L$53,'332'!$L$55,'332'!$L$57,'332'!$L$60,'332'!$L$63,'332'!$L$65,'332'!$L$71,'332'!$L$73</definedName>
    <definedName name="OSRRefE20x_4" localSheetId="73">'405'!$L$21,'405'!$L$30,'405'!$L$41,'405'!$L$43,'405'!$L$45,'405'!$L$48,'405'!$L$50,'405'!$L$52,'405'!$L$54,'405'!$L$56,'405'!$L$59,'405'!$L$61,'405'!$L$66,'405'!$L$68,'405'!$L$77,'405'!$L$79,'405'!$L$81</definedName>
    <definedName name="OSRRefE20x_4" localSheetId="74">'406'!$L$18,'406'!$L$20,'406'!$L$22,'406'!$L$24,'406'!$L$26</definedName>
    <definedName name="OSRRefE20x_4" localSheetId="75">'411'!$L$18,'411'!$L$28,'411'!$L$39,'411'!$L$41,'411'!$L$43,'411'!$L$46,'411'!$L$48,'411'!$L$50,'411'!$L$52,'411'!$L$54,'411'!$L$57,'411'!$L$62,'411'!$L$64,'411'!$L$71,'411'!$L$73,'411'!$L$75</definedName>
    <definedName name="OSRRefE20x_4" localSheetId="76">'412'!$L$20,'412'!$L$29,'412'!$L$40,'412'!$L$42,'412'!$L$44,'412'!$L$47,'412'!$L$49,'412'!$L$51,'412'!$L$53,'412'!$L$56,'412'!$L$58,'412'!$L$63,'412'!$L$69,'412'!$L$72</definedName>
    <definedName name="OSRRefE20x_4" localSheetId="77">'413'!$L$21,'413'!$L$31,'413'!$L$42,'413'!$L$44,'413'!$L$46,'413'!$L$48,'413'!$L$50,'413'!$L$52,'413'!$L$54,'413'!$L$58,'413'!$L$61,'413'!$L$69</definedName>
    <definedName name="OSRRefE20x_4" localSheetId="78">'414'!$L$22,'414'!$L$32,'414'!$L$43,'414'!$L$45,'414'!$L$47,'414'!$L$49,'414'!$L$51,'414'!$L$53,'414'!$L$55,'414'!$L$58,'414'!$L$60,'414'!$L$62,'414'!$L$64,'414'!$L$68,'414'!$L$70</definedName>
    <definedName name="OSRRefE20x_4" localSheetId="79">'415'!$L$25,'415'!$L$35,'415'!$L$46,'415'!$L$48,'415'!$L$50,'415'!$L$52,'415'!$L$55,'415'!$L$57,'415'!$L$59,'415'!$L$61,'415'!$L$63,'415'!$L$65,'415'!$L$68,'415'!$L$73,'415'!$L$75,'415'!$L$82,'415'!$L$85</definedName>
    <definedName name="OSRRefE20x_4" localSheetId="80">'418'!$L$21,'418'!$L$30,'418'!$L$41,'418'!$L$43,'418'!$L$45,'418'!$L$48,'418'!$L$50,'418'!$L$52,'418'!$L$54,'418'!$L$57,'418'!$L$60,'418'!$L$63,'418'!$L$73,'418'!$L$76</definedName>
    <definedName name="OSRRefE20x_4" localSheetId="82">'423'!$L$18,'423'!$L$27,'423'!$L$38,'423'!$L$40,'423'!$L$43,'423'!$L$45,'423'!$L$47</definedName>
    <definedName name="OSRRefE20x_4" localSheetId="83">'424'!$L$18,'424'!$L$20,'424'!$L$22,'424'!$L$24</definedName>
    <definedName name="OSRRefE20x_4" localSheetId="84">'425'!$L$18,'425'!$L$24,'425'!$L$26,'425'!$L$28,'425'!$L$30</definedName>
    <definedName name="OSRRefE20x_4" localSheetId="87">'430'!$L$18,'430'!$L$28,'430'!$L$39,'430'!$L$41,'430'!$L$43,'430'!$L$47,'430'!$L$50,'430'!$L$52</definedName>
    <definedName name="OSRRefE20x_4" localSheetId="88">'433'!$L$25,'433'!$L$36,'433'!$L$47,'433'!$L$49,'433'!$L$51,'433'!$L$53,'433'!$L$55,'433'!$L$57,'433'!$L$59,'433'!$L$61,'433'!$L$63,'433'!$L$65,'433'!$L$69,'433'!$L$74,'433'!$L$83,'433'!$L$85</definedName>
    <definedName name="OSRRefE20x_4" localSheetId="89">'435'!$L$18</definedName>
    <definedName name="OSRRefE20x_4" localSheetId="90">'444'!$L$25,'444'!$L$36,'444'!$L$47,'444'!$L$49,'444'!$L$51,'444'!$L$53,'444'!$L$55,'444'!$L$57,'444'!$L$59,'444'!$L$61,'444'!$L$63,'444'!$L$65,'444'!$L$69,'444'!$L$73,'444'!$L$82,'444'!$L$85</definedName>
    <definedName name="OSRRefE20x_4" localSheetId="91">'450'!$L$21,'450'!$L$32,'450'!$L$43,'450'!$L$45,'450'!$L$47,'450'!$L$49,'450'!$L$51,'450'!$L$53,'450'!$L$55,'450'!$L$57,'450'!$L$59,'450'!$L$61,'450'!$L$63,'450'!$L$65,'450'!$L$69,'450'!$L$76,'450'!$L$79</definedName>
    <definedName name="OSRRefE20x_4" localSheetId="72">'491'!$L$27,'491'!$L$37,'491'!$L$48,'491'!$L$50,'491'!$L$52,'491'!$L$54,'491'!$L$58,'491'!$L$60,'491'!$L$62,'491'!$L$64,'491'!$L$66,'491'!$L$68,'491'!$L$70,'491'!$L$72,'491'!$L$74,'491'!$L$78,'491'!$L$81,'491'!$L$87,'491'!$L$90,'491'!$L$102,'491'!$L$105,'491'!$L$107,'491'!$L$109</definedName>
    <definedName name="OSRRefE20x_4" localSheetId="86">'492'!$L$25,'492'!$L$36,'492'!$L$47,'492'!$L$49,'492'!$L$51,'492'!$L$53,'492'!$L$55,'492'!$L$57,'492'!$L$59,'492'!$L$61,'492'!$L$63,'492'!$L$65,'492'!$L$67,'492'!$L$71,'492'!$L$76,'492'!$L$87,'492'!$L$90,'492'!$L$92</definedName>
    <definedName name="OSRRefE20x_4" localSheetId="93">'501'!$L$20,'501'!$L$31,'501'!$L$42,'501'!$L$44,'501'!$L$46,'501'!$L$48,'501'!$L$51,'501'!$L$53,'501'!$L$55,'501'!$L$57,'501'!$L$61,'501'!$L$63,'501'!$L$66,'501'!$L$68</definedName>
    <definedName name="OSRRefE20x_4" localSheetId="39">'Div 2'!$L$18,'Div 2'!$L$30,'Div 2'!$L$41,'Div 2'!$L$43,'Div 2'!$L$45,'Div 2'!$L$47,'Div 2'!$L$49,'Div 2'!$L$52,'Div 2'!$L$54,'Div 2'!$L$56,'Div 2'!$L$59,'Div 2'!$L$61,'Div 2'!$L$63,'Div 2'!$L$68,'Div 2'!$L$73,'Div 2'!$L$76,'Div 2'!$L$79,'Div 2'!$L$84,'Div 2'!$L$87,'Div 2'!$L$89</definedName>
    <definedName name="OSRRefE20x_4" localSheetId="47">'Div 3'!$L$114,'Div 3'!$L$125,'Div 3'!$L$136,'Div 3'!$L$138,'Div 3'!$L$141,'Div 3'!$L$143,'Div 3'!$L$146,'Div 3'!$L$149,'Div 3'!$L$151,'Div 3'!$L$153,'Div 3'!$L$155,'Div 3'!$L$158,'Div 3'!$L$161,'Div 3'!$L$163,'Div 3'!$L$165,'Div 3'!$L$167,'Div 3'!$L$169,'Div 3'!$L$171,'Div 3'!$L$176,'Div 3'!$L$181,'Div 3'!$L$186,'Div 3'!$L$189,'Div 3'!$L$199,'Div 3'!$L$202,'Div 3'!$L$204,'Div 3'!$L$208</definedName>
    <definedName name="OSRRefE20x_4" localSheetId="70">'Div 4'!$L$29,'Div 4'!$L$40,'Div 4'!$L$51,'Div 4'!$L$53,'Div 4'!$L$55,'Div 4'!$L$57,'Div 4'!$L$61,'Div 4'!$L$63,'Div 4'!$L$65,'Div 4'!$L$67,'Div 4'!$L$69,'Div 4'!$L$71,'Div 4'!$L$73,'Div 4'!$L$75,'Div 4'!$L$77,'Div 4'!$L$79,'Div 4'!$L$84,'Div 4'!$L$87,'Div 4'!$L$93,'Div 4'!$L$96,'Div 4'!$L$108,'Div 4'!$L$111,'Div 4'!$L$113,'Div 4'!$L$116</definedName>
    <definedName name="OSRRefE20x_4" localSheetId="92">'Div 5'!$L$20,'Div 5'!$L$31,'Div 5'!$L$42,'Div 5'!$L$44,'Div 5'!$L$46,'Div 5'!$L$48,'Div 5'!$L$51,'Div 5'!$L$53,'Div 5'!$L$55,'Div 5'!$L$57,'Div 5'!$L$61,'Div 5'!$L$63,'Div 5'!$L$66,'Div 5'!$L$68</definedName>
    <definedName name="OSRRefE20x_4" localSheetId="61">'Div 6'!$L$47,'Div 6'!$L$58,'Div 6'!$L$69,'Div 6'!$L$71,'Div 6'!$L$73,'Div 6'!$L$75,'Div 6'!$L$77,'Div 6'!$L$80,'Div 6'!$L$82,'Div 6'!$L$84,'Div 6'!$L$86,'Div 6'!$L$90,'Div 6'!$L$92</definedName>
    <definedName name="OSRRefE20x_4" localSheetId="2">Summary!$L$141,Summary!$L$152,Summary!$L$163,Summary!$L$165,Summary!$L$168,Summary!$L$170,Summary!$L$174,Summary!$L$177,Summary!$L$179,Summary!$L$181,Summary!$L$183,Summary!$L$186,Summary!$L$189,Summary!$L$191,Summary!$L$193,Summary!$L$195,Summary!$L$197,Summary!$L$199,Summary!$L$201,Summary!$L$206,Summary!$L$211,Summary!$L$217,Summary!$L$220,Summary!$L$232,Summary!$L$235,Summary!$L$237,Summary!$L$241</definedName>
    <definedName name="OSRRefE20x_5" localSheetId="40">'200'!$M$18,'200'!$M$20,'200'!$M$22,'200'!$M$24,'200'!$M$26</definedName>
    <definedName name="OSRRefE20x_5" localSheetId="41">'201'!$M$18,'201'!$M$28,'201'!$M$39,'201'!$M$41,'201'!$M$43,'201'!$M$46,'201'!$M$48,'201'!$M$50,'201'!$M$52,'201'!$M$54,'201'!$M$56,'201'!$M$60,'201'!$M$62,'201'!$M$64,'201'!$M$68,'201'!$M$70,'201'!$M$72</definedName>
    <definedName name="OSRRefE20x_5" localSheetId="42">'202'!$M$18,'202'!$M$28,'202'!$M$39,'202'!$M$41,'202'!$M$43,'202'!$M$46,'202'!$M$48,'202'!$M$50,'202'!$M$53,'202'!$M$55,'202'!$M$58,'202'!$M$60,'202'!$M$62</definedName>
    <definedName name="OSRRefE20x_5" localSheetId="43">'203'!$M$18,'203'!$M$29,'203'!$M$40,'203'!$M$42,'203'!$M$44,'203'!$M$46,'203'!$M$48,'203'!$M$50,'203'!$M$52,'203'!$M$56,'203'!$M$58,'203'!$M$60,'203'!$M$64,'203'!$M$66</definedName>
    <definedName name="OSRRefE20x_5" localSheetId="44">'204'!$M$18,'204'!$M$29,'204'!$M$40,'204'!$M$42,'204'!$M$44,'204'!$M$48,'204'!$M$50,'204'!$M$52,'204'!$M$55</definedName>
    <definedName name="OSRRefE20x_5" localSheetId="45">'205'!$M$18,'205'!$M$28,'205'!$M$39,'205'!$M$41,'205'!$M$43,'205'!$M$47,'205'!$M$49,'205'!$M$51</definedName>
    <definedName name="OSRRefE20x_5" localSheetId="46">'206'!$M$18,'206'!$M$28,'206'!$M$39,'206'!$M$41,'206'!$M$43,'206'!$M$45,'206'!$M$47</definedName>
    <definedName name="OSRRefE20x_5" localSheetId="48">'300'!$M$110,'300'!$M$121,'300'!$M$132,'300'!$M$134,'300'!$M$137,'300'!$M$139,'300'!$M$142,'300'!$M$145,'300'!$M$147,'300'!$M$149,'300'!$M$151,'300'!$M$154,'300'!$M$157,'300'!$M$159,'300'!$M$161,'300'!$M$163,'300'!$M$165,'300'!$M$170,'300'!$M$175,'300'!$M$180,'300'!$M$183,'300'!$M$193,'300'!$M$196,'300'!$M$198,'300'!$M$202</definedName>
    <definedName name="OSRRefE20x_5" localSheetId="49">'300 &amp; 317'!$M$132,'300 &amp; 317'!$M$143,'300 &amp; 317'!$M$154,'300 &amp; 317'!$M$156,'300 &amp; 317'!$M$159,'300 &amp; 317'!$M$161,'300 &amp; 317'!$M$164,'300 &amp; 317'!$M$167,'300 &amp; 317'!$M$169,'300 &amp; 317'!$M$171,'300 &amp; 317'!$M$173,'300 &amp; 317'!$M$176,'300 &amp; 317'!$M$179,'300 &amp; 317'!$M$181,'300 &amp; 317'!$M$183,'300 &amp; 317'!$M$185,'300 &amp; 317'!$M$187,'300 &amp; 317'!$M$192,'300 &amp; 317'!$M$197,'300 &amp; 317'!$M$202,'300 &amp; 317'!$M$205,'300 &amp; 317'!$M$215,'300 &amp; 317'!$M$218,'300 &amp; 317'!$M$220,'300 &amp; 317'!$M$224</definedName>
    <definedName name="OSRRefE20x_5" localSheetId="50">'301'!$M$18,'301'!$M$28,'301'!$M$39,'301'!$M$42,'301'!$M$44,'301'!$M$47,'301'!$M$49,'301'!$M$51,'301'!$M$53,'301'!$M$55,'301'!$M$57,'301'!$M$59,'301'!$M$61,'301'!$M$63,'301'!$M$68,'301'!$M$72,'301'!$M$74,'301'!$M$82,'301'!$M$84,'301'!$M$86,'301'!$M$88</definedName>
    <definedName name="OSRRefE20x_5" localSheetId="52">'307'!$M$37,'307'!$M$46,'307'!$M$57,'307'!$M$59,'307'!$M$61,'307'!$M$63,'307'!$M$66,'307'!$M$69,'307'!$M$71,'307'!$M$74,'307'!$M$77,'307'!$M$82,'307'!$M$85</definedName>
    <definedName name="OSRRefE20x_5" localSheetId="53">'308'!$M$52,'308'!$M$63,'308'!$M$74,'308'!$M$76,'308'!$M$78,'308'!$M$80,'308'!$M$82,'308'!$M$84,'308'!$M$87,'308'!$M$89,'308'!$M$93,'308'!$M$96,'308'!$M$100,'308'!$M$103,'308'!$M$105</definedName>
    <definedName name="OSRRefE20x_5" localSheetId="64">'309'!$M$20,'309'!$M$29,'309'!$M$40,'309'!$M$42,'309'!$M$44,'309'!$M$46,'309'!$M$49,'309'!$M$52,'309'!$M$56</definedName>
    <definedName name="OSRRefE20x_5" localSheetId="63">'310'!$M$25,'310'!$M$35,'310'!$M$46,'310'!$M$48,'310'!$M$50,'310'!$M$52,'310'!$M$55,'310'!$M$57,'310'!$M$59,'310'!$M$61,'310'!$M$63,'310'!$M$65,'310'!$M$67,'310'!$M$69,'310'!$M$72,'310'!$M$74,'310'!$M$77,'310'!$M$85,'310'!$M$88,'310'!$M$90</definedName>
    <definedName name="OSRRefE20x_5" localSheetId="71">'310 &amp; 491'!$M$30,'310 &amp; 491'!$M$40,'310 &amp; 491'!$M$51,'310 &amp; 491'!$M$53,'310 &amp; 491'!$M$55,'310 &amp; 491'!$M$57,'310 &amp; 491'!$M$61,'310 &amp; 491'!$M$63,'310 &amp; 491'!$M$65,'310 &amp; 491'!$M$68,'310 &amp; 491'!$M$70,'310 &amp; 491'!$M$72,'310 &amp; 491'!$M$74,'310 &amp; 491'!$M$76,'310 &amp; 491'!$M$78,'310 &amp; 491'!$M$82,'310 &amp; 491'!$M$85,'310 &amp; 491'!$M$91,'310 &amp; 491'!$M$94,'310 &amp; 491'!$M$106,'310 &amp; 491'!$M$109,'310 &amp; 491'!$M$111,'310 &amp; 491'!$M$113</definedName>
    <definedName name="OSRRefE20x_5" localSheetId="54">'311'!$M$51,'311'!$M$62,'311'!$M$73,'311'!$M$75,'311'!$M$77,'311'!$M$79,'311'!$M$81,'311'!$M$83,'311'!$M$86,'311'!$M$88,'311'!$M$92,'311'!$M$95,'311'!$M$99,'311'!$M$102,'311'!$M$104</definedName>
    <definedName name="OSRRefE20x_5" localSheetId="65">'313'!$M$19,'313'!$M$29,'313'!$M$40,'313'!$M$42,'313'!$M$44,'313'!$M$46,'313'!$M$48,'313'!$M$50</definedName>
    <definedName name="OSRRefE20x_5" localSheetId="57">'315'!$M$75,'315'!$M$85,'315'!$M$96,'315'!$M$98,'315'!$M$100,'315'!$M$102,'315'!$M$104,'315'!$M$106,'315'!$M$109,'315'!$M$111,'315'!$M$113,'315'!$M$115,'315'!$M$117,'315'!$M$121,'315'!$M$124,'315'!$M$132,'315'!$M$134,'315'!$M$136</definedName>
    <definedName name="OSRRefE20x_5" localSheetId="60">'316'!$M$28,'316'!$M$38,'316'!$M$49,'316'!$M$51,'316'!$M$53,'316'!$M$55,'316'!$M$57,'316'!$M$60,'316'!$M$63,'316'!$M$65,'316'!$M$71,'316'!$M$73</definedName>
    <definedName name="OSRRefE20x_5" localSheetId="62">'317'!$M$47,'317'!$M$58,'317'!$M$69,'317'!$M$71,'317'!$M$73,'317'!$M$75,'317'!$M$77,'317'!$M$80,'317'!$M$82,'317'!$M$84,'317'!$M$86,'317'!$M$90,'317'!$M$92</definedName>
    <definedName name="OSRRefE20x_5" localSheetId="66">'321'!$M$21,'321'!$M$31,'321'!$M$42,'321'!$M$44,'321'!$M$46,'321'!$M$48,'321'!$M$50,'321'!$M$53,'321'!$M$55,'321'!$M$58,'321'!$M$61,'321'!$M$64,'321'!$M$66</definedName>
    <definedName name="OSRRefE20x_5" localSheetId="67">'322'!$M$21,'322'!$M$30,'322'!$M$41,'322'!$M$43,'322'!$M$45,'322'!$M$47,'322'!$M$49,'322'!$M$52,'322'!$M$55,'322'!$M$60,'322'!$M$62</definedName>
    <definedName name="OSRRefE20x_5" localSheetId="55">'324'!$M$25,'324'!$M$34</definedName>
    <definedName name="OSRRefE20x_5" localSheetId="68">'325'!$M$20,'325'!$M$29,'325'!$M$40,'325'!$M$42,'325'!$M$44,'325'!$M$46,'325'!$M$49,'325'!$M$51,'325'!$M$53,'325'!$M$55,'325'!$M$57,'325'!$M$59,'325'!$M$61,'325'!$M$67,'325'!$M$70</definedName>
    <definedName name="OSRRefE20x_5" localSheetId="58">'326'!$M$42,'326'!$M$52,'326'!$M$63,'326'!$M$65,'326'!$M$67,'326'!$M$69,'326'!$M$71,'326'!$M$73,'326'!$M$75,'326'!$M$77,'326'!$M$79,'326'!$M$81,'326'!$M$83,'326'!$M$86,'326'!$M$90,'326'!$M$93,'326'!$M$100,'326'!$M$103,'326'!$M$105,'326'!$M$108</definedName>
    <definedName name="OSRRefE20x_5" localSheetId="69">'327'!$M$22</definedName>
    <definedName name="OSRRefE20x_5" localSheetId="51">'330'!$M$37,'330'!$M$46,'330'!$M$57,'330'!$M$59,'330'!$M$61,'330'!$M$63,'330'!$M$66,'330'!$M$69,'330'!$M$71,'330'!$M$74,'330'!$M$77,'330'!$M$82,'330'!$M$85</definedName>
    <definedName name="OSRRefE20x_5" localSheetId="56">'331'!$M$75,'331'!$M$85,'331'!$M$96,'331'!$M$98,'331'!$M$100,'331'!$M$102,'331'!$M$104,'331'!$M$106,'331'!$M$109,'331'!$M$111,'331'!$M$113,'331'!$M$115,'331'!$M$117,'331'!$M$119,'331'!$M$122,'331'!$M$126,'331'!$M$130,'331'!$M$133,'331'!$M$142,'331'!$M$145,'331'!$M$147,'331'!$M$150</definedName>
    <definedName name="OSRRefE20x_5" localSheetId="59">'332'!$M$28,'332'!$M$38,'332'!$M$49,'332'!$M$51,'332'!$M$53,'332'!$M$55,'332'!$M$57,'332'!$M$60,'332'!$M$63,'332'!$M$65,'332'!$M$71,'332'!$M$73</definedName>
    <definedName name="OSRRefE20x_5" localSheetId="73">'405'!$M$21,'405'!$M$30,'405'!$M$41,'405'!$M$43,'405'!$M$45,'405'!$M$48,'405'!$M$50,'405'!$M$52,'405'!$M$54,'405'!$M$56,'405'!$M$59,'405'!$M$61,'405'!$M$66,'405'!$M$68,'405'!$M$77,'405'!$M$79,'405'!$M$81</definedName>
    <definedName name="OSRRefE20x_5" localSheetId="74">'406'!$M$18,'406'!$M$20,'406'!$M$22,'406'!$M$24,'406'!$M$26</definedName>
    <definedName name="OSRRefE20x_5" localSheetId="75">'411'!$M$18,'411'!$M$28,'411'!$M$39,'411'!$M$41,'411'!$M$43,'411'!$M$46,'411'!$M$48,'411'!$M$50,'411'!$M$52,'411'!$M$54,'411'!$M$57,'411'!$M$62,'411'!$M$64,'411'!$M$71,'411'!$M$73,'411'!$M$75</definedName>
    <definedName name="OSRRefE20x_5" localSheetId="76">'412'!$M$20,'412'!$M$29,'412'!$M$40,'412'!$M$42,'412'!$M$44,'412'!$M$47,'412'!$M$49,'412'!$M$51,'412'!$M$53,'412'!$M$56,'412'!$M$58,'412'!$M$63,'412'!$M$69,'412'!$M$72</definedName>
    <definedName name="OSRRefE20x_5" localSheetId="77">'413'!$M$21,'413'!$M$31,'413'!$M$42,'413'!$M$44,'413'!$M$46,'413'!$M$48,'413'!$M$50,'413'!$M$52,'413'!$M$54,'413'!$M$58,'413'!$M$61,'413'!$M$69</definedName>
    <definedName name="OSRRefE20x_5" localSheetId="78">'414'!$M$22,'414'!$M$32,'414'!$M$43,'414'!$M$45,'414'!$M$47,'414'!$M$49,'414'!$M$51,'414'!$M$53,'414'!$M$55,'414'!$M$58,'414'!$M$60,'414'!$M$62,'414'!$M$64,'414'!$M$68,'414'!$M$70</definedName>
    <definedName name="OSRRefE20x_5" localSheetId="79">'415'!$M$25,'415'!$M$35,'415'!$M$46,'415'!$M$48,'415'!$M$50,'415'!$M$52,'415'!$M$55,'415'!$M$57,'415'!$M$59,'415'!$M$61,'415'!$M$63,'415'!$M$65,'415'!$M$68,'415'!$M$73,'415'!$M$75,'415'!$M$82,'415'!$M$85</definedName>
    <definedName name="OSRRefE20x_5" localSheetId="80">'418'!$M$21,'418'!$M$30,'418'!$M$41,'418'!$M$43,'418'!$M$45,'418'!$M$48,'418'!$M$50,'418'!$M$52,'418'!$M$54,'418'!$M$57,'418'!$M$60,'418'!$M$63,'418'!$M$73,'418'!$M$76</definedName>
    <definedName name="OSRRefE20x_5" localSheetId="82">'423'!$M$18,'423'!$M$27,'423'!$M$38,'423'!$M$40,'423'!$M$43,'423'!$M$45,'423'!$M$47</definedName>
    <definedName name="OSRRefE20x_5" localSheetId="83">'424'!$M$18,'424'!$M$20,'424'!$M$22,'424'!$M$24</definedName>
    <definedName name="OSRRefE20x_5" localSheetId="84">'425'!$M$18,'425'!$M$24,'425'!$M$26,'425'!$M$28,'425'!$M$30</definedName>
    <definedName name="OSRRefE20x_5" localSheetId="87">'430'!$M$18,'430'!$M$28,'430'!$M$39,'430'!$M$41,'430'!$M$43,'430'!$M$47,'430'!$M$50,'430'!$M$52</definedName>
    <definedName name="OSRRefE20x_5" localSheetId="88">'433'!$M$25,'433'!$M$36,'433'!$M$47,'433'!$M$49,'433'!$M$51,'433'!$M$53,'433'!$M$55,'433'!$M$57,'433'!$M$59,'433'!$M$61,'433'!$M$63,'433'!$M$65,'433'!$M$69,'433'!$M$74,'433'!$M$83,'433'!$M$85</definedName>
    <definedName name="OSRRefE20x_5" localSheetId="89">'435'!$M$18</definedName>
    <definedName name="OSRRefE20x_5" localSheetId="90">'444'!$M$25,'444'!$M$36,'444'!$M$47,'444'!$M$49,'444'!$M$51,'444'!$M$53,'444'!$M$55,'444'!$M$57,'444'!$M$59,'444'!$M$61,'444'!$M$63,'444'!$M$65,'444'!$M$69,'444'!$M$73,'444'!$M$82,'444'!$M$85</definedName>
    <definedName name="OSRRefE20x_5" localSheetId="91">'450'!$M$21,'450'!$M$32,'450'!$M$43,'450'!$M$45,'450'!$M$47,'450'!$M$49,'450'!$M$51,'450'!$M$53,'450'!$M$55,'450'!$M$57,'450'!$M$59,'450'!$M$61,'450'!$M$63,'450'!$M$65,'450'!$M$69,'450'!$M$76,'450'!$M$79</definedName>
    <definedName name="OSRRefE20x_5" localSheetId="72">'491'!$M$27,'491'!$M$37,'491'!$M$48,'491'!$M$50,'491'!$M$52,'491'!$M$54,'491'!$M$58,'491'!$M$60,'491'!$M$62,'491'!$M$64,'491'!$M$66,'491'!$M$68,'491'!$M$70,'491'!$M$72,'491'!$M$74,'491'!$M$78,'491'!$M$81,'491'!$M$87,'491'!$M$90,'491'!$M$102,'491'!$M$105,'491'!$M$107,'491'!$M$109</definedName>
    <definedName name="OSRRefE20x_5" localSheetId="86">'492'!$M$25,'492'!$M$36,'492'!$M$47,'492'!$M$49,'492'!$M$51,'492'!$M$53,'492'!$M$55,'492'!$M$57,'492'!$M$59,'492'!$M$61,'492'!$M$63,'492'!$M$65,'492'!$M$67,'492'!$M$71,'492'!$M$76,'492'!$M$87,'492'!$M$90,'492'!$M$92</definedName>
    <definedName name="OSRRefE20x_5" localSheetId="93">'501'!$M$20,'501'!$M$31,'501'!$M$42,'501'!$M$44,'501'!$M$46,'501'!$M$48,'501'!$M$51,'501'!$M$53,'501'!$M$55,'501'!$M$57,'501'!$M$61,'501'!$M$63,'501'!$M$66,'501'!$M$68</definedName>
    <definedName name="OSRRefE20x_5" localSheetId="39">'Div 2'!$M$18,'Div 2'!$M$30,'Div 2'!$M$41,'Div 2'!$M$43,'Div 2'!$M$45,'Div 2'!$M$47,'Div 2'!$M$49,'Div 2'!$M$52,'Div 2'!$M$54,'Div 2'!$M$56,'Div 2'!$M$59,'Div 2'!$M$61,'Div 2'!$M$63,'Div 2'!$M$68,'Div 2'!$M$73,'Div 2'!$M$76,'Div 2'!$M$79,'Div 2'!$M$84,'Div 2'!$M$87,'Div 2'!$M$89</definedName>
    <definedName name="OSRRefE20x_5" localSheetId="47">'Div 3'!$M$114,'Div 3'!$M$125,'Div 3'!$M$136,'Div 3'!$M$138,'Div 3'!$M$141,'Div 3'!$M$143,'Div 3'!$M$146,'Div 3'!$M$149,'Div 3'!$M$151,'Div 3'!$M$153,'Div 3'!$M$155,'Div 3'!$M$158,'Div 3'!$M$161,'Div 3'!$M$163,'Div 3'!$M$165,'Div 3'!$M$167,'Div 3'!$M$169,'Div 3'!$M$171,'Div 3'!$M$176,'Div 3'!$M$181,'Div 3'!$M$186,'Div 3'!$M$189,'Div 3'!$M$199,'Div 3'!$M$202,'Div 3'!$M$204,'Div 3'!$M$208</definedName>
    <definedName name="OSRRefE20x_5" localSheetId="70">'Div 4'!$M$29,'Div 4'!$M$40,'Div 4'!$M$51,'Div 4'!$M$53,'Div 4'!$M$55,'Div 4'!$M$57,'Div 4'!$M$61,'Div 4'!$M$63,'Div 4'!$M$65,'Div 4'!$M$67,'Div 4'!$M$69,'Div 4'!$M$71,'Div 4'!$M$73,'Div 4'!$M$75,'Div 4'!$M$77,'Div 4'!$M$79,'Div 4'!$M$84,'Div 4'!$M$87,'Div 4'!$M$93,'Div 4'!$M$96,'Div 4'!$M$108,'Div 4'!$M$111,'Div 4'!$M$113,'Div 4'!$M$116</definedName>
    <definedName name="OSRRefE20x_5" localSheetId="92">'Div 5'!$M$20,'Div 5'!$M$31,'Div 5'!$M$42,'Div 5'!$M$44,'Div 5'!$M$46,'Div 5'!$M$48,'Div 5'!$M$51,'Div 5'!$M$53,'Div 5'!$M$55,'Div 5'!$M$57,'Div 5'!$M$61,'Div 5'!$M$63,'Div 5'!$M$66,'Div 5'!$M$68</definedName>
    <definedName name="OSRRefE20x_5" localSheetId="61">'Div 6'!$M$47,'Div 6'!$M$58,'Div 6'!$M$69,'Div 6'!$M$71,'Div 6'!$M$73,'Div 6'!$M$75,'Div 6'!$M$77,'Div 6'!$M$80,'Div 6'!$M$82,'Div 6'!$M$84,'Div 6'!$M$86,'Div 6'!$M$90,'Div 6'!$M$92</definedName>
    <definedName name="OSRRefE20x_5" localSheetId="2">Summary!$M$141,Summary!$M$152,Summary!$M$163,Summary!$M$165,Summary!$M$168,Summary!$M$170,Summary!$M$174,Summary!$M$177,Summary!$M$179,Summary!$M$181,Summary!$M$183,Summary!$M$186,Summary!$M$189,Summary!$M$191,Summary!$M$193,Summary!$M$195,Summary!$M$197,Summary!$M$199,Summary!$M$201,Summary!$M$206,Summary!$M$211,Summary!$M$217,Summary!$M$220,Summary!$M$232,Summary!$M$235,Summary!$M$237,Summary!$M$241</definedName>
    <definedName name="OSRRefE20x_6" localSheetId="40">'200'!$N$18,'200'!$N$20,'200'!$N$22,'200'!$N$24,'200'!$N$26</definedName>
    <definedName name="OSRRefE20x_6" localSheetId="41">'201'!$N$18,'201'!$N$28,'201'!$N$39,'201'!$N$41,'201'!$N$43,'201'!$N$46,'201'!$N$48,'201'!$N$50,'201'!$N$52,'201'!$N$54,'201'!$N$56,'201'!$N$60,'201'!$N$62,'201'!$N$64,'201'!$N$68,'201'!$N$70,'201'!$N$72</definedName>
    <definedName name="OSRRefE20x_6" localSheetId="42">'202'!$N$18,'202'!$N$28,'202'!$N$39,'202'!$N$41,'202'!$N$43,'202'!$N$46,'202'!$N$48,'202'!$N$50,'202'!$N$53,'202'!$N$55,'202'!$N$58,'202'!$N$60,'202'!$N$62</definedName>
    <definedName name="OSRRefE20x_6" localSheetId="43">'203'!$N$18,'203'!$N$29,'203'!$N$40,'203'!$N$42,'203'!$N$44,'203'!$N$46,'203'!$N$48,'203'!$N$50,'203'!$N$52,'203'!$N$56,'203'!$N$58,'203'!$N$60,'203'!$N$64,'203'!$N$66</definedName>
    <definedName name="OSRRefE20x_6" localSheetId="44">'204'!$N$18,'204'!$N$29,'204'!$N$40,'204'!$N$42,'204'!$N$44,'204'!$N$48,'204'!$N$50,'204'!$N$52,'204'!$N$55</definedName>
    <definedName name="OSRRefE20x_6" localSheetId="45">'205'!$N$18,'205'!$N$28,'205'!$N$39,'205'!$N$41,'205'!$N$43,'205'!$N$47,'205'!$N$49,'205'!$N$51</definedName>
    <definedName name="OSRRefE20x_6" localSheetId="46">'206'!$N$18,'206'!$N$28,'206'!$N$39,'206'!$N$41,'206'!$N$43,'206'!$N$45,'206'!$N$47</definedName>
    <definedName name="OSRRefE20x_6" localSheetId="48">'300'!$N$110,'300'!$N$121,'300'!$N$132,'300'!$N$134,'300'!$N$137,'300'!$N$139,'300'!$N$142,'300'!$N$145,'300'!$N$147,'300'!$N$149,'300'!$N$151,'300'!$N$154,'300'!$N$157,'300'!$N$159,'300'!$N$161,'300'!$N$163,'300'!$N$165,'300'!$N$170,'300'!$N$175,'300'!$N$180,'300'!$N$183,'300'!$N$193,'300'!$N$196,'300'!$N$198,'300'!$N$202</definedName>
    <definedName name="OSRRefE20x_6" localSheetId="49">'300 &amp; 317'!$N$132,'300 &amp; 317'!$N$143,'300 &amp; 317'!$N$154,'300 &amp; 317'!$N$156,'300 &amp; 317'!$N$159,'300 &amp; 317'!$N$161,'300 &amp; 317'!$N$164,'300 &amp; 317'!$N$167,'300 &amp; 317'!$N$169,'300 &amp; 317'!$N$171,'300 &amp; 317'!$N$173,'300 &amp; 317'!$N$176,'300 &amp; 317'!$N$179,'300 &amp; 317'!$N$181,'300 &amp; 317'!$N$183,'300 &amp; 317'!$N$185,'300 &amp; 317'!$N$187,'300 &amp; 317'!$N$192,'300 &amp; 317'!$N$197,'300 &amp; 317'!$N$202,'300 &amp; 317'!$N$205,'300 &amp; 317'!$N$215,'300 &amp; 317'!$N$218,'300 &amp; 317'!$N$220,'300 &amp; 317'!$N$224</definedName>
    <definedName name="OSRRefE20x_6" localSheetId="50">'301'!$N$18,'301'!$N$28,'301'!$N$39,'301'!$N$42,'301'!$N$44,'301'!$N$47,'301'!$N$49,'301'!$N$51,'301'!$N$53,'301'!$N$55,'301'!$N$57,'301'!$N$59,'301'!$N$61,'301'!$N$63,'301'!$N$68,'301'!$N$72,'301'!$N$74,'301'!$N$82,'301'!$N$84,'301'!$N$86,'301'!$N$88</definedName>
    <definedName name="OSRRefE20x_6" localSheetId="52">'307'!$N$37,'307'!$N$46,'307'!$N$57,'307'!$N$59,'307'!$N$61,'307'!$N$63,'307'!$N$66,'307'!$N$69,'307'!$N$71,'307'!$N$74,'307'!$N$77,'307'!$N$82,'307'!$N$85</definedName>
    <definedName name="OSRRefE20x_6" localSheetId="53">'308'!$N$52,'308'!$N$63,'308'!$N$74,'308'!$N$76,'308'!$N$78,'308'!$N$80,'308'!$N$82,'308'!$N$84,'308'!$N$87,'308'!$N$89,'308'!$N$93,'308'!$N$96,'308'!$N$100,'308'!$N$103,'308'!$N$105</definedName>
    <definedName name="OSRRefE20x_6" localSheetId="64">'309'!$N$20,'309'!$N$29,'309'!$N$40,'309'!$N$42,'309'!$N$44,'309'!$N$46,'309'!$N$49,'309'!$N$52,'309'!$N$56</definedName>
    <definedName name="OSRRefE20x_6" localSheetId="63">'310'!$N$25,'310'!$N$35,'310'!$N$46,'310'!$N$48,'310'!$N$50,'310'!$N$52,'310'!$N$55,'310'!$N$57,'310'!$N$59,'310'!$N$61,'310'!$N$63,'310'!$N$65,'310'!$N$67,'310'!$N$69,'310'!$N$72,'310'!$N$74,'310'!$N$77,'310'!$N$85,'310'!$N$88,'310'!$N$90</definedName>
    <definedName name="OSRRefE20x_6" localSheetId="71">'310 &amp; 491'!$N$30,'310 &amp; 491'!$N$40,'310 &amp; 491'!$N$51,'310 &amp; 491'!$N$53,'310 &amp; 491'!$N$55,'310 &amp; 491'!$N$57,'310 &amp; 491'!$N$61,'310 &amp; 491'!$N$63,'310 &amp; 491'!$N$65,'310 &amp; 491'!$N$68,'310 &amp; 491'!$N$70,'310 &amp; 491'!$N$72,'310 &amp; 491'!$N$74,'310 &amp; 491'!$N$76,'310 &amp; 491'!$N$78,'310 &amp; 491'!$N$82,'310 &amp; 491'!$N$85,'310 &amp; 491'!$N$91,'310 &amp; 491'!$N$94,'310 &amp; 491'!$N$106,'310 &amp; 491'!$N$109,'310 &amp; 491'!$N$111,'310 &amp; 491'!$N$113</definedName>
    <definedName name="OSRRefE20x_6" localSheetId="54">'311'!$N$51,'311'!$N$62,'311'!$N$73,'311'!$N$75,'311'!$N$77,'311'!$N$79,'311'!$N$81,'311'!$N$83,'311'!$N$86,'311'!$N$88,'311'!$N$92,'311'!$N$95,'311'!$N$99,'311'!$N$102,'311'!$N$104</definedName>
    <definedName name="OSRRefE20x_6" localSheetId="65">'313'!$N$19,'313'!$N$29,'313'!$N$40,'313'!$N$42,'313'!$N$44,'313'!$N$46,'313'!$N$48,'313'!$N$50</definedName>
    <definedName name="OSRRefE20x_6" localSheetId="57">'315'!$N$75,'315'!$N$85,'315'!$N$96,'315'!$N$98,'315'!$N$100,'315'!$N$102,'315'!$N$104,'315'!$N$106,'315'!$N$109,'315'!$N$111,'315'!$N$113,'315'!$N$115,'315'!$N$117,'315'!$N$121,'315'!$N$124,'315'!$N$132,'315'!$N$134,'315'!$N$136</definedName>
    <definedName name="OSRRefE20x_6" localSheetId="60">'316'!$N$28,'316'!$N$38,'316'!$N$49,'316'!$N$51,'316'!$N$53,'316'!$N$55,'316'!$N$57,'316'!$N$60,'316'!$N$63,'316'!$N$65,'316'!$N$71,'316'!$N$73</definedName>
    <definedName name="OSRRefE20x_6" localSheetId="62">'317'!$N$47,'317'!$N$58,'317'!$N$69,'317'!$N$71,'317'!$N$73,'317'!$N$75,'317'!$N$77,'317'!$N$80,'317'!$N$82,'317'!$N$84,'317'!$N$86,'317'!$N$90,'317'!$N$92</definedName>
    <definedName name="OSRRefE20x_6" localSheetId="66">'321'!$N$21,'321'!$N$31,'321'!$N$42,'321'!$N$44,'321'!$N$46,'321'!$N$48,'321'!$N$50,'321'!$N$53,'321'!$N$55,'321'!$N$58,'321'!$N$61,'321'!$N$64,'321'!$N$66</definedName>
    <definedName name="OSRRefE20x_6" localSheetId="67">'322'!$N$21,'322'!$N$30,'322'!$N$41,'322'!$N$43,'322'!$N$45,'322'!$N$47,'322'!$N$49,'322'!$N$52,'322'!$N$55,'322'!$N$60,'322'!$N$62</definedName>
    <definedName name="OSRRefE20x_6" localSheetId="55">'324'!$N$25,'324'!$N$34</definedName>
    <definedName name="OSRRefE20x_6" localSheetId="68">'325'!$N$20,'325'!$N$29,'325'!$N$40,'325'!$N$42,'325'!$N$44,'325'!$N$46,'325'!$N$49,'325'!$N$51,'325'!$N$53,'325'!$N$55,'325'!$N$57,'325'!$N$59,'325'!$N$61,'325'!$N$67,'325'!$N$70</definedName>
    <definedName name="OSRRefE20x_6" localSheetId="58">'326'!$N$42,'326'!$N$52,'326'!$N$63,'326'!$N$65,'326'!$N$67,'326'!$N$69,'326'!$N$71,'326'!$N$73,'326'!$N$75,'326'!$N$77,'326'!$N$79,'326'!$N$81,'326'!$N$83,'326'!$N$86,'326'!$N$90,'326'!$N$93,'326'!$N$100,'326'!$N$103,'326'!$N$105,'326'!$N$108</definedName>
    <definedName name="OSRRefE20x_6" localSheetId="69">'327'!$N$22</definedName>
    <definedName name="OSRRefE20x_6" localSheetId="51">'330'!$N$37,'330'!$N$46,'330'!$N$57,'330'!$N$59,'330'!$N$61,'330'!$N$63,'330'!$N$66,'330'!$N$69,'330'!$N$71,'330'!$N$74,'330'!$N$77,'330'!$N$82,'330'!$N$85</definedName>
    <definedName name="OSRRefE20x_6" localSheetId="56">'331'!$N$75,'331'!$N$85,'331'!$N$96,'331'!$N$98,'331'!$N$100,'331'!$N$102,'331'!$N$104,'331'!$N$106,'331'!$N$109,'331'!$N$111,'331'!$N$113,'331'!$N$115,'331'!$N$117,'331'!$N$119,'331'!$N$122,'331'!$N$126,'331'!$N$130,'331'!$N$133,'331'!$N$142,'331'!$N$145,'331'!$N$147,'331'!$N$150</definedName>
    <definedName name="OSRRefE20x_6" localSheetId="59">'332'!$N$28,'332'!$N$38,'332'!$N$49,'332'!$N$51,'332'!$N$53,'332'!$N$55,'332'!$N$57,'332'!$N$60,'332'!$N$63,'332'!$N$65,'332'!$N$71,'332'!$N$73</definedName>
    <definedName name="OSRRefE20x_6" localSheetId="73">'405'!$N$21,'405'!$N$30,'405'!$N$41,'405'!$N$43,'405'!$N$45,'405'!$N$48,'405'!$N$50,'405'!$N$52,'405'!$N$54,'405'!$N$56,'405'!$N$59,'405'!$N$61,'405'!$N$66,'405'!$N$68,'405'!$N$77,'405'!$N$79,'405'!$N$81</definedName>
    <definedName name="OSRRefE20x_6" localSheetId="74">'406'!$N$18,'406'!$N$20,'406'!$N$22,'406'!$N$24,'406'!$N$26</definedName>
    <definedName name="OSRRefE20x_6" localSheetId="75">'411'!$N$18,'411'!$N$28,'411'!$N$39,'411'!$N$41,'411'!$N$43,'411'!$N$46,'411'!$N$48,'411'!$N$50,'411'!$N$52,'411'!$N$54,'411'!$N$57,'411'!$N$62,'411'!$N$64,'411'!$N$71,'411'!$N$73,'411'!$N$75</definedName>
    <definedName name="OSRRefE20x_6" localSheetId="76">'412'!$N$20,'412'!$N$29,'412'!$N$40,'412'!$N$42,'412'!$N$44,'412'!$N$47,'412'!$N$49,'412'!$N$51,'412'!$N$53,'412'!$N$56,'412'!$N$58,'412'!$N$63,'412'!$N$69,'412'!$N$72</definedName>
    <definedName name="OSRRefE20x_6" localSheetId="77">'413'!$N$21,'413'!$N$31,'413'!$N$42,'413'!$N$44,'413'!$N$46,'413'!$N$48,'413'!$N$50,'413'!$N$52,'413'!$N$54,'413'!$N$58,'413'!$N$61,'413'!$N$69</definedName>
    <definedName name="OSRRefE20x_6" localSheetId="78">'414'!$N$22,'414'!$N$32,'414'!$N$43,'414'!$N$45,'414'!$N$47,'414'!$N$49,'414'!$N$51,'414'!$N$53,'414'!$N$55,'414'!$N$58,'414'!$N$60,'414'!$N$62,'414'!$N$64,'414'!$N$68,'414'!$N$70</definedName>
    <definedName name="OSRRefE20x_6" localSheetId="79">'415'!$N$25,'415'!$N$35,'415'!$N$46,'415'!$N$48,'415'!$N$50,'415'!$N$52,'415'!$N$55,'415'!$N$57,'415'!$N$59,'415'!$N$61,'415'!$N$63,'415'!$N$65,'415'!$N$68,'415'!$N$73,'415'!$N$75,'415'!$N$82,'415'!$N$85</definedName>
    <definedName name="OSRRefE20x_6" localSheetId="80">'418'!$N$21,'418'!$N$30,'418'!$N$41,'418'!$N$43,'418'!$N$45,'418'!$N$48,'418'!$N$50,'418'!$N$52,'418'!$N$54,'418'!$N$57,'418'!$N$60,'418'!$N$63,'418'!$N$73,'418'!$N$76</definedName>
    <definedName name="OSRRefE20x_6" localSheetId="82">'423'!$N$18,'423'!$N$27,'423'!$N$38,'423'!$N$40,'423'!$N$43,'423'!$N$45,'423'!$N$47</definedName>
    <definedName name="OSRRefE20x_6" localSheetId="83">'424'!$N$18,'424'!$N$20,'424'!$N$22,'424'!$N$24</definedName>
    <definedName name="OSRRefE20x_6" localSheetId="84">'425'!$N$18,'425'!$N$24,'425'!$N$26,'425'!$N$28,'425'!$N$30</definedName>
    <definedName name="OSRRefE20x_6" localSheetId="87">'430'!$N$18,'430'!$N$28,'430'!$N$39,'430'!$N$41,'430'!$N$43,'430'!$N$47,'430'!$N$50,'430'!$N$52</definedName>
    <definedName name="OSRRefE20x_6" localSheetId="88">'433'!$N$25,'433'!$N$36,'433'!$N$47,'433'!$N$49,'433'!$N$51,'433'!$N$53,'433'!$N$55,'433'!$N$57,'433'!$N$59,'433'!$N$61,'433'!$N$63,'433'!$N$65,'433'!$N$69,'433'!$N$74,'433'!$N$83,'433'!$N$85</definedName>
    <definedName name="OSRRefE20x_6" localSheetId="89">'435'!$N$18</definedName>
    <definedName name="OSRRefE20x_6" localSheetId="90">'444'!$N$25,'444'!$N$36,'444'!$N$47,'444'!$N$49,'444'!$N$51,'444'!$N$53,'444'!$N$55,'444'!$N$57,'444'!$N$59,'444'!$N$61,'444'!$N$63,'444'!$N$65,'444'!$N$69,'444'!$N$73,'444'!$N$82,'444'!$N$85</definedName>
    <definedName name="OSRRefE20x_6" localSheetId="91">'450'!$N$21,'450'!$N$32,'450'!$N$43,'450'!$N$45,'450'!$N$47,'450'!$N$49,'450'!$N$51,'450'!$N$53,'450'!$N$55,'450'!$N$57,'450'!$N$59,'450'!$N$61,'450'!$N$63,'450'!$N$65,'450'!$N$69,'450'!$N$76,'450'!$N$79</definedName>
    <definedName name="OSRRefE20x_6" localSheetId="72">'491'!$N$27,'491'!$N$37,'491'!$N$48,'491'!$N$50,'491'!$N$52,'491'!$N$54,'491'!$N$58,'491'!$N$60,'491'!$N$62,'491'!$N$64,'491'!$N$66,'491'!$N$68,'491'!$N$70,'491'!$N$72,'491'!$N$74,'491'!$N$78,'491'!$N$81,'491'!$N$87,'491'!$N$90,'491'!$N$102,'491'!$N$105,'491'!$N$107,'491'!$N$109</definedName>
    <definedName name="OSRRefE20x_6" localSheetId="86">'492'!$N$25,'492'!$N$36,'492'!$N$47,'492'!$N$49,'492'!$N$51,'492'!$N$53,'492'!$N$55,'492'!$N$57,'492'!$N$59,'492'!$N$61,'492'!$N$63,'492'!$N$65,'492'!$N$67,'492'!$N$71,'492'!$N$76,'492'!$N$87,'492'!$N$90,'492'!$N$92</definedName>
    <definedName name="OSRRefE20x_6" localSheetId="93">'501'!$N$20,'501'!$N$31,'501'!$N$42,'501'!$N$44,'501'!$N$46,'501'!$N$48,'501'!$N$51,'501'!$N$53,'501'!$N$55,'501'!$N$57,'501'!$N$61,'501'!$N$63,'501'!$N$66,'501'!$N$68</definedName>
    <definedName name="OSRRefE20x_6" localSheetId="39">'Div 2'!$N$18,'Div 2'!$N$30,'Div 2'!$N$41,'Div 2'!$N$43,'Div 2'!$N$45,'Div 2'!$N$47,'Div 2'!$N$49,'Div 2'!$N$52,'Div 2'!$N$54,'Div 2'!$N$56,'Div 2'!$N$59,'Div 2'!$N$61,'Div 2'!$N$63,'Div 2'!$N$68,'Div 2'!$N$73,'Div 2'!$N$76,'Div 2'!$N$79,'Div 2'!$N$84,'Div 2'!$N$87,'Div 2'!$N$89</definedName>
    <definedName name="OSRRefE20x_6" localSheetId="47">'Div 3'!$N$114,'Div 3'!$N$125,'Div 3'!$N$136,'Div 3'!$N$138,'Div 3'!$N$141,'Div 3'!$N$143,'Div 3'!$N$146,'Div 3'!$N$149,'Div 3'!$N$151,'Div 3'!$N$153,'Div 3'!$N$155,'Div 3'!$N$158,'Div 3'!$N$161,'Div 3'!$N$163,'Div 3'!$N$165,'Div 3'!$N$167,'Div 3'!$N$169,'Div 3'!$N$171,'Div 3'!$N$176,'Div 3'!$N$181,'Div 3'!$N$186,'Div 3'!$N$189,'Div 3'!$N$199,'Div 3'!$N$202,'Div 3'!$N$204,'Div 3'!$N$208</definedName>
    <definedName name="OSRRefE20x_6" localSheetId="70">'Div 4'!$N$29,'Div 4'!$N$40,'Div 4'!$N$51,'Div 4'!$N$53,'Div 4'!$N$55,'Div 4'!$N$57,'Div 4'!$N$61,'Div 4'!$N$63,'Div 4'!$N$65,'Div 4'!$N$67,'Div 4'!$N$69,'Div 4'!$N$71,'Div 4'!$N$73,'Div 4'!$N$75,'Div 4'!$N$77,'Div 4'!$N$79,'Div 4'!$N$84,'Div 4'!$N$87,'Div 4'!$N$93,'Div 4'!$N$96,'Div 4'!$N$108,'Div 4'!$N$111,'Div 4'!$N$113,'Div 4'!$N$116</definedName>
    <definedName name="OSRRefE20x_6" localSheetId="92">'Div 5'!$N$20,'Div 5'!$N$31,'Div 5'!$N$42,'Div 5'!$N$44,'Div 5'!$N$46,'Div 5'!$N$48,'Div 5'!$N$51,'Div 5'!$N$53,'Div 5'!$N$55,'Div 5'!$N$57,'Div 5'!$N$61,'Div 5'!$N$63,'Div 5'!$N$66,'Div 5'!$N$68</definedName>
    <definedName name="OSRRefE20x_6" localSheetId="61">'Div 6'!$N$47,'Div 6'!$N$58,'Div 6'!$N$69,'Div 6'!$N$71,'Div 6'!$N$73,'Div 6'!$N$75,'Div 6'!$N$77,'Div 6'!$N$80,'Div 6'!$N$82,'Div 6'!$N$84,'Div 6'!$N$86,'Div 6'!$N$90,'Div 6'!$N$92</definedName>
    <definedName name="OSRRefE20x_6" localSheetId="2">Summary!$N$141,Summary!$N$152,Summary!$N$163,Summary!$N$165,Summary!$N$168,Summary!$N$170,Summary!$N$174,Summary!$N$177,Summary!$N$179,Summary!$N$181,Summary!$N$183,Summary!$N$186,Summary!$N$189,Summary!$N$191,Summary!$N$193,Summary!$N$195,Summary!$N$197,Summary!$N$199,Summary!$N$201,Summary!$N$206,Summary!$N$211,Summary!$N$217,Summary!$N$220,Summary!$N$232,Summary!$N$235,Summary!$N$237,Summary!$N$241</definedName>
    <definedName name="OSRRefE20x_7" localSheetId="40">'200'!$O$18,'200'!$O$20,'200'!$O$22,'200'!$O$24,'200'!$O$26</definedName>
    <definedName name="OSRRefE20x_7" localSheetId="41">'201'!$O$18,'201'!$O$28,'201'!$O$39,'201'!$O$41,'201'!$O$43,'201'!$O$46,'201'!$O$48,'201'!$O$50,'201'!$O$52,'201'!$O$54,'201'!$O$56,'201'!$O$60,'201'!$O$62,'201'!$O$64,'201'!$O$68,'201'!$O$70,'201'!$O$72</definedName>
    <definedName name="OSRRefE20x_7" localSheetId="42">'202'!$O$18,'202'!$O$28,'202'!$O$39,'202'!$O$41,'202'!$O$43,'202'!$O$46,'202'!$O$48,'202'!$O$50,'202'!$O$53,'202'!$O$55,'202'!$O$58,'202'!$O$60,'202'!$O$62</definedName>
    <definedName name="OSRRefE20x_7" localSheetId="43">'203'!$O$18,'203'!$O$29,'203'!$O$40,'203'!$O$42,'203'!$O$44,'203'!$O$46,'203'!$O$48,'203'!$O$50,'203'!$O$52,'203'!$O$56,'203'!$O$58,'203'!$O$60,'203'!$O$64,'203'!$O$66</definedName>
    <definedName name="OSRRefE20x_7" localSheetId="44">'204'!$O$18,'204'!$O$29,'204'!$O$40,'204'!$O$42,'204'!$O$44,'204'!$O$48,'204'!$O$50,'204'!$O$52,'204'!$O$55</definedName>
    <definedName name="OSRRefE20x_7" localSheetId="45">'205'!$O$18,'205'!$O$28,'205'!$O$39,'205'!$O$41,'205'!$O$43,'205'!$O$47,'205'!$O$49,'205'!$O$51</definedName>
    <definedName name="OSRRefE20x_7" localSheetId="46">'206'!$O$18,'206'!$O$28,'206'!$O$39,'206'!$O$41,'206'!$O$43,'206'!$O$45,'206'!$O$47</definedName>
    <definedName name="OSRRefE20x_7" localSheetId="48">'300'!$O$110,'300'!$O$121,'300'!$O$132,'300'!$O$134,'300'!$O$137,'300'!$O$139,'300'!$O$142,'300'!$O$145,'300'!$O$147,'300'!$O$149,'300'!$O$151,'300'!$O$154,'300'!$O$157,'300'!$O$159,'300'!$O$161,'300'!$O$163,'300'!$O$165,'300'!$O$170,'300'!$O$175,'300'!$O$180,'300'!$O$183,'300'!$O$193,'300'!$O$196,'300'!$O$198,'300'!$O$202</definedName>
    <definedName name="OSRRefE20x_7" localSheetId="49">'300 &amp; 317'!$O$132,'300 &amp; 317'!$O$143,'300 &amp; 317'!$O$154,'300 &amp; 317'!$O$156,'300 &amp; 317'!$O$159,'300 &amp; 317'!$O$161,'300 &amp; 317'!$O$164,'300 &amp; 317'!$O$167,'300 &amp; 317'!$O$169,'300 &amp; 317'!$O$171,'300 &amp; 317'!$O$173,'300 &amp; 317'!$O$176,'300 &amp; 317'!$O$179,'300 &amp; 317'!$O$181,'300 &amp; 317'!$O$183,'300 &amp; 317'!$O$185,'300 &amp; 317'!$O$187,'300 &amp; 317'!$O$192,'300 &amp; 317'!$O$197,'300 &amp; 317'!$O$202,'300 &amp; 317'!$O$205,'300 &amp; 317'!$O$215,'300 &amp; 317'!$O$218,'300 &amp; 317'!$O$220,'300 &amp; 317'!$O$224</definedName>
    <definedName name="OSRRefE20x_7" localSheetId="50">'301'!$O$18,'301'!$O$28,'301'!$O$39,'301'!$O$42,'301'!$O$44,'301'!$O$47,'301'!$O$49,'301'!$O$51,'301'!$O$53,'301'!$O$55,'301'!$O$57,'301'!$O$59,'301'!$O$61,'301'!$O$63,'301'!$O$68,'301'!$O$72,'301'!$O$74,'301'!$O$82,'301'!$O$84,'301'!$O$86,'301'!$O$88</definedName>
    <definedName name="OSRRefE20x_7" localSheetId="52">'307'!$O$37,'307'!$O$46,'307'!$O$57,'307'!$O$59,'307'!$O$61,'307'!$O$63,'307'!$O$66,'307'!$O$69,'307'!$O$71,'307'!$O$74,'307'!$O$77,'307'!$O$82,'307'!$O$85</definedName>
    <definedName name="OSRRefE20x_7" localSheetId="53">'308'!$O$52,'308'!$O$63,'308'!$O$74,'308'!$O$76,'308'!$O$78,'308'!$O$80,'308'!$O$82,'308'!$O$84,'308'!$O$87,'308'!$O$89,'308'!$O$93,'308'!$O$96,'308'!$O$100,'308'!$O$103,'308'!$O$105</definedName>
    <definedName name="OSRRefE20x_7" localSheetId="64">'309'!$O$20,'309'!$O$29,'309'!$O$40,'309'!$O$42,'309'!$O$44,'309'!$O$46,'309'!$O$49,'309'!$O$52,'309'!$O$56</definedName>
    <definedName name="OSRRefE20x_7" localSheetId="63">'310'!$O$25,'310'!$O$35,'310'!$O$46,'310'!$O$48,'310'!$O$50,'310'!$O$52,'310'!$O$55,'310'!$O$57,'310'!$O$59,'310'!$O$61,'310'!$O$63,'310'!$O$65,'310'!$O$67,'310'!$O$69,'310'!$O$72,'310'!$O$74,'310'!$O$77,'310'!$O$85,'310'!$O$88,'310'!$O$90</definedName>
    <definedName name="OSRRefE20x_7" localSheetId="71">'310 &amp; 491'!$O$30,'310 &amp; 491'!$O$40,'310 &amp; 491'!$O$51,'310 &amp; 491'!$O$53,'310 &amp; 491'!$O$55,'310 &amp; 491'!$O$57,'310 &amp; 491'!$O$61,'310 &amp; 491'!$O$63,'310 &amp; 491'!$O$65,'310 &amp; 491'!$O$68,'310 &amp; 491'!$O$70,'310 &amp; 491'!$O$72,'310 &amp; 491'!$O$74,'310 &amp; 491'!$O$76,'310 &amp; 491'!$O$78,'310 &amp; 491'!$O$82,'310 &amp; 491'!$O$85,'310 &amp; 491'!$O$91,'310 &amp; 491'!$O$94,'310 &amp; 491'!$O$106,'310 &amp; 491'!$O$109,'310 &amp; 491'!$O$111,'310 &amp; 491'!$O$113</definedName>
    <definedName name="OSRRefE20x_7" localSheetId="54">'311'!$O$51,'311'!$O$62,'311'!$O$73,'311'!$O$75,'311'!$O$77,'311'!$O$79,'311'!$O$81,'311'!$O$83,'311'!$O$86,'311'!$O$88,'311'!$O$92,'311'!$O$95,'311'!$O$99,'311'!$O$102,'311'!$O$104</definedName>
    <definedName name="OSRRefE20x_7" localSheetId="65">'313'!$O$19,'313'!$O$29,'313'!$O$40,'313'!$O$42,'313'!$O$44,'313'!$O$46,'313'!$O$48,'313'!$O$50</definedName>
    <definedName name="OSRRefE20x_7" localSheetId="57">'315'!$O$75,'315'!$O$85,'315'!$O$96,'315'!$O$98,'315'!$O$100,'315'!$O$102,'315'!$O$104,'315'!$O$106,'315'!$O$109,'315'!$O$111,'315'!$O$113,'315'!$O$115,'315'!$O$117,'315'!$O$121,'315'!$O$124,'315'!$O$132,'315'!$O$134,'315'!$O$136</definedName>
    <definedName name="OSRRefE20x_7" localSheetId="60">'316'!$O$28,'316'!$O$38,'316'!$O$49,'316'!$O$51,'316'!$O$53,'316'!$O$55,'316'!$O$57,'316'!$O$60,'316'!$O$63,'316'!$O$65,'316'!$O$71,'316'!$O$73</definedName>
    <definedName name="OSRRefE20x_7" localSheetId="62">'317'!$O$47,'317'!$O$58,'317'!$O$69,'317'!$O$71,'317'!$O$73,'317'!$O$75,'317'!$O$77,'317'!$O$80,'317'!$O$82,'317'!$O$84,'317'!$O$86,'317'!$O$90,'317'!$O$92</definedName>
    <definedName name="OSRRefE20x_7" localSheetId="66">'321'!$O$21,'321'!$O$31,'321'!$O$42,'321'!$O$44,'321'!$O$46,'321'!$O$48,'321'!$O$50,'321'!$O$53,'321'!$O$55,'321'!$O$58,'321'!$O$61,'321'!$O$64,'321'!$O$66</definedName>
    <definedName name="OSRRefE20x_7" localSheetId="67">'322'!$O$21,'322'!$O$30,'322'!$O$41,'322'!$O$43,'322'!$O$45,'322'!$O$47,'322'!$O$49,'322'!$O$52,'322'!$O$55,'322'!$O$60,'322'!$O$62</definedName>
    <definedName name="OSRRefE20x_7" localSheetId="55">'324'!$O$25,'324'!$O$34</definedName>
    <definedName name="OSRRefE20x_7" localSheetId="68">'325'!$O$20,'325'!$O$29,'325'!$O$40,'325'!$O$42,'325'!$O$44,'325'!$O$46,'325'!$O$49,'325'!$O$51,'325'!$O$53,'325'!$O$55,'325'!$O$57,'325'!$O$59,'325'!$O$61,'325'!$O$67,'325'!$O$70</definedName>
    <definedName name="OSRRefE20x_7" localSheetId="58">'326'!$O$42,'326'!$O$52,'326'!$O$63,'326'!$O$65,'326'!$O$67,'326'!$O$69,'326'!$O$71,'326'!$O$73,'326'!$O$75,'326'!$O$77,'326'!$O$79,'326'!$O$81,'326'!$O$83,'326'!$O$86,'326'!$O$90,'326'!$O$93,'326'!$O$100,'326'!$O$103,'326'!$O$105,'326'!$O$108</definedName>
    <definedName name="OSRRefE20x_7" localSheetId="69">'327'!$O$22</definedName>
    <definedName name="OSRRefE20x_7" localSheetId="51">'330'!$O$37,'330'!$O$46,'330'!$O$57,'330'!$O$59,'330'!$O$61,'330'!$O$63,'330'!$O$66,'330'!$O$69,'330'!$O$71,'330'!$O$74,'330'!$O$77,'330'!$O$82,'330'!$O$85</definedName>
    <definedName name="OSRRefE20x_7" localSheetId="56">'331'!$O$75,'331'!$O$85,'331'!$O$96,'331'!$O$98,'331'!$O$100,'331'!$O$102,'331'!$O$104,'331'!$O$106,'331'!$O$109,'331'!$O$111,'331'!$O$113,'331'!$O$115,'331'!$O$117,'331'!$O$119,'331'!$O$122,'331'!$O$126,'331'!$O$130,'331'!$O$133,'331'!$O$142,'331'!$O$145,'331'!$O$147,'331'!$O$150</definedName>
    <definedName name="OSRRefE20x_7" localSheetId="59">'332'!$O$28,'332'!$O$38,'332'!$O$49,'332'!$O$51,'332'!$O$53,'332'!$O$55,'332'!$O$57,'332'!$O$60,'332'!$O$63,'332'!$O$65,'332'!$O$71,'332'!$O$73</definedName>
    <definedName name="OSRRefE20x_7" localSheetId="73">'405'!$O$21,'405'!$O$30,'405'!$O$41,'405'!$O$43,'405'!$O$45,'405'!$O$48,'405'!$O$50,'405'!$O$52,'405'!$O$54,'405'!$O$56,'405'!$O$59,'405'!$O$61,'405'!$O$66,'405'!$O$68,'405'!$O$77,'405'!$O$79,'405'!$O$81</definedName>
    <definedName name="OSRRefE20x_7" localSheetId="74">'406'!$O$18,'406'!$O$20,'406'!$O$22,'406'!$O$24,'406'!$O$26</definedName>
    <definedName name="OSRRefE20x_7" localSheetId="75">'411'!$O$18,'411'!$O$28,'411'!$O$39,'411'!$O$41,'411'!$O$43,'411'!$O$46,'411'!$O$48,'411'!$O$50,'411'!$O$52,'411'!$O$54,'411'!$O$57,'411'!$O$62,'411'!$O$64,'411'!$O$71,'411'!$O$73,'411'!$O$75</definedName>
    <definedName name="OSRRefE20x_7" localSheetId="76">'412'!$O$20,'412'!$O$29,'412'!$O$40,'412'!$O$42,'412'!$O$44,'412'!$O$47,'412'!$O$49,'412'!$O$51,'412'!$O$53,'412'!$O$56,'412'!$O$58,'412'!$O$63,'412'!$O$69,'412'!$O$72</definedName>
    <definedName name="OSRRefE20x_7" localSheetId="77">'413'!$O$21,'413'!$O$31,'413'!$O$42,'413'!$O$44,'413'!$O$46,'413'!$O$48,'413'!$O$50,'413'!$O$52,'413'!$O$54,'413'!$O$58,'413'!$O$61,'413'!$O$69</definedName>
    <definedName name="OSRRefE20x_7" localSheetId="78">'414'!$O$22,'414'!$O$32,'414'!$O$43,'414'!$O$45,'414'!$O$47,'414'!$O$49,'414'!$O$51,'414'!$O$53,'414'!$O$55,'414'!$O$58,'414'!$O$60,'414'!$O$62,'414'!$O$64,'414'!$O$68,'414'!$O$70</definedName>
    <definedName name="OSRRefE20x_7" localSheetId="79">'415'!$O$25,'415'!$O$35,'415'!$O$46,'415'!$O$48,'415'!$O$50,'415'!$O$52,'415'!$O$55,'415'!$O$57,'415'!$O$59,'415'!$O$61,'415'!$O$63,'415'!$O$65,'415'!$O$68,'415'!$O$73,'415'!$O$75,'415'!$O$82,'415'!$O$85</definedName>
    <definedName name="OSRRefE20x_7" localSheetId="80">'418'!$O$21,'418'!$O$30,'418'!$O$41,'418'!$O$43,'418'!$O$45,'418'!$O$48,'418'!$O$50,'418'!$O$52,'418'!$O$54,'418'!$O$57,'418'!$O$60,'418'!$O$63,'418'!$O$73,'418'!$O$76</definedName>
    <definedName name="OSRRefE20x_7" localSheetId="82">'423'!$O$18,'423'!$O$27,'423'!$O$38,'423'!$O$40,'423'!$O$43,'423'!$O$45,'423'!$O$47</definedName>
    <definedName name="OSRRefE20x_7" localSheetId="83">'424'!$O$18,'424'!$O$20,'424'!$O$22,'424'!$O$24</definedName>
    <definedName name="OSRRefE20x_7" localSheetId="84">'425'!$O$18,'425'!$O$24,'425'!$O$26,'425'!$O$28,'425'!$O$30</definedName>
    <definedName name="OSRRefE20x_7" localSheetId="87">'430'!$O$18,'430'!$O$28,'430'!$O$39,'430'!$O$41,'430'!$O$43,'430'!$O$47,'430'!$O$50,'430'!$O$52</definedName>
    <definedName name="OSRRefE20x_7" localSheetId="88">'433'!$O$25,'433'!$O$36,'433'!$O$47,'433'!$O$49,'433'!$O$51,'433'!$O$53,'433'!$O$55,'433'!$O$57,'433'!$O$59,'433'!$O$61,'433'!$O$63,'433'!$O$65,'433'!$O$69,'433'!$O$74,'433'!$O$83,'433'!$O$85</definedName>
    <definedName name="OSRRefE20x_7" localSheetId="89">'435'!$O$18</definedName>
    <definedName name="OSRRefE20x_7" localSheetId="90">'444'!$O$25,'444'!$O$36,'444'!$O$47,'444'!$O$49,'444'!$O$51,'444'!$O$53,'444'!$O$55,'444'!$O$57,'444'!$O$59,'444'!$O$61,'444'!$O$63,'444'!$O$65,'444'!$O$69,'444'!$O$73,'444'!$O$82,'444'!$O$85</definedName>
    <definedName name="OSRRefE20x_7" localSheetId="91">'450'!$O$21,'450'!$O$32,'450'!$O$43,'450'!$O$45,'450'!$O$47,'450'!$O$49,'450'!$O$51,'450'!$O$53,'450'!$O$55,'450'!$O$57,'450'!$O$59,'450'!$O$61,'450'!$O$63,'450'!$O$65,'450'!$O$69,'450'!$O$76,'450'!$O$79</definedName>
    <definedName name="OSRRefE20x_7" localSheetId="72">'491'!$O$27,'491'!$O$37,'491'!$O$48,'491'!$O$50,'491'!$O$52,'491'!$O$54,'491'!$O$58,'491'!$O$60,'491'!$O$62,'491'!$O$64,'491'!$O$66,'491'!$O$68,'491'!$O$70,'491'!$O$72,'491'!$O$74,'491'!$O$78,'491'!$O$81,'491'!$O$87,'491'!$O$90,'491'!$O$102,'491'!$O$105,'491'!$O$107,'491'!$O$109</definedName>
    <definedName name="OSRRefE20x_7" localSheetId="86">'492'!$O$25,'492'!$O$36,'492'!$O$47,'492'!$O$49,'492'!$O$51,'492'!$O$53,'492'!$O$55,'492'!$O$57,'492'!$O$59,'492'!$O$61,'492'!$O$63,'492'!$O$65,'492'!$O$67,'492'!$O$71,'492'!$O$76,'492'!$O$87,'492'!$O$90,'492'!$O$92</definedName>
    <definedName name="OSRRefE20x_7" localSheetId="93">'501'!$O$20,'501'!$O$31,'501'!$O$42,'501'!$O$44,'501'!$O$46,'501'!$O$48,'501'!$O$51,'501'!$O$53,'501'!$O$55,'501'!$O$57,'501'!$O$61,'501'!$O$63,'501'!$O$66,'501'!$O$68</definedName>
    <definedName name="OSRRefE20x_7" localSheetId="39">'Div 2'!$O$18,'Div 2'!$O$30,'Div 2'!$O$41,'Div 2'!$O$43,'Div 2'!$O$45,'Div 2'!$O$47,'Div 2'!$O$49,'Div 2'!$O$52,'Div 2'!$O$54,'Div 2'!$O$56,'Div 2'!$O$59,'Div 2'!$O$61,'Div 2'!$O$63,'Div 2'!$O$68,'Div 2'!$O$73,'Div 2'!$O$76,'Div 2'!$O$79,'Div 2'!$O$84,'Div 2'!$O$87,'Div 2'!$O$89</definedName>
    <definedName name="OSRRefE20x_7" localSheetId="47">'Div 3'!$O$114,'Div 3'!$O$125,'Div 3'!$O$136,'Div 3'!$O$138,'Div 3'!$O$141,'Div 3'!$O$143,'Div 3'!$O$146,'Div 3'!$O$149,'Div 3'!$O$151,'Div 3'!$O$153,'Div 3'!$O$155,'Div 3'!$O$158,'Div 3'!$O$161,'Div 3'!$O$163,'Div 3'!$O$165,'Div 3'!$O$167,'Div 3'!$O$169,'Div 3'!$O$171,'Div 3'!$O$176,'Div 3'!$O$181,'Div 3'!$O$186,'Div 3'!$O$189,'Div 3'!$O$199,'Div 3'!$O$202,'Div 3'!$O$204,'Div 3'!$O$208</definedName>
    <definedName name="OSRRefE20x_7" localSheetId="70">'Div 4'!$O$29,'Div 4'!$O$40,'Div 4'!$O$51,'Div 4'!$O$53,'Div 4'!$O$55,'Div 4'!$O$57,'Div 4'!$O$61,'Div 4'!$O$63,'Div 4'!$O$65,'Div 4'!$O$67,'Div 4'!$O$69,'Div 4'!$O$71,'Div 4'!$O$73,'Div 4'!$O$75,'Div 4'!$O$77,'Div 4'!$O$79,'Div 4'!$O$84,'Div 4'!$O$87,'Div 4'!$O$93,'Div 4'!$O$96,'Div 4'!$O$108,'Div 4'!$O$111,'Div 4'!$O$113,'Div 4'!$O$116</definedName>
    <definedName name="OSRRefE20x_7" localSheetId="92">'Div 5'!$O$20,'Div 5'!$O$31,'Div 5'!$O$42,'Div 5'!$O$44,'Div 5'!$O$46,'Div 5'!$O$48,'Div 5'!$O$51,'Div 5'!$O$53,'Div 5'!$O$55,'Div 5'!$O$57,'Div 5'!$O$61,'Div 5'!$O$63,'Div 5'!$O$66,'Div 5'!$O$68</definedName>
    <definedName name="OSRRefE20x_7" localSheetId="61">'Div 6'!$O$47,'Div 6'!$O$58,'Div 6'!$O$69,'Div 6'!$O$71,'Div 6'!$O$73,'Div 6'!$O$75,'Div 6'!$O$77,'Div 6'!$O$80,'Div 6'!$O$82,'Div 6'!$O$84,'Div 6'!$O$86,'Div 6'!$O$90,'Div 6'!$O$92</definedName>
    <definedName name="OSRRefE20x_7" localSheetId="2">Summary!$O$141,Summary!$O$152,Summary!$O$163,Summary!$O$165,Summary!$O$168,Summary!$O$170,Summary!$O$174,Summary!$O$177,Summary!$O$179,Summary!$O$181,Summary!$O$183,Summary!$O$186,Summary!$O$189,Summary!$O$191,Summary!$O$193,Summary!$O$195,Summary!$O$197,Summary!$O$199,Summary!$O$201,Summary!$O$206,Summary!$O$211,Summary!$O$217,Summary!$O$220,Summary!$O$232,Summary!$O$235,Summary!$O$237,Summary!$O$241</definedName>
    <definedName name="OSRRefE21_0_0x" localSheetId="40">'200'!$H$19:$O$19</definedName>
    <definedName name="OSRRefE21_0_0x" localSheetId="41">'201'!$H$19:$O$19</definedName>
    <definedName name="OSRRefE21_0_0x" localSheetId="42">'202'!$H$19:$O$19</definedName>
    <definedName name="OSRRefE21_0_0x" localSheetId="43">'203'!$H$19:$O$19</definedName>
    <definedName name="OSRRefE21_0_0x" localSheetId="44">'204'!$H$19:$O$19</definedName>
    <definedName name="OSRRefE21_0_0x" localSheetId="45">'205'!$H$19:$O$19</definedName>
    <definedName name="OSRRefE21_0_0x" localSheetId="46">'206'!$H$19:$O$19</definedName>
    <definedName name="OSRRefE21_0_0x" localSheetId="48">'300'!$H$111:$O$111</definedName>
    <definedName name="OSRRefE21_0_0x" localSheetId="49">'300 &amp; 317'!$H$133:$O$133</definedName>
    <definedName name="OSRRefE21_0_0x" localSheetId="50">'301'!$H$19:$O$19</definedName>
    <definedName name="OSRRefE21_0_0x" localSheetId="52">'307'!$H$38:$O$38</definedName>
    <definedName name="OSRRefE21_0_0x" localSheetId="53">'308'!$H$53:$O$53</definedName>
    <definedName name="OSRRefE21_0_0x" localSheetId="64">'309'!$H$21:$O$21</definedName>
    <definedName name="OSRRefE21_0_0x" localSheetId="63">'310'!$H$26:$O$26</definedName>
    <definedName name="OSRRefE21_0_0x" localSheetId="71">'310 &amp; 491'!$H$31:$O$31</definedName>
    <definedName name="OSRRefE21_0_0x" localSheetId="54">'311'!$H$52:$O$52</definedName>
    <definedName name="OSRRefE21_0_0x" localSheetId="65">'313'!$H$20:$O$20</definedName>
    <definedName name="OSRRefE21_0_0x" localSheetId="57">'315'!$H$76:$O$76</definedName>
    <definedName name="OSRRefE21_0_0x" localSheetId="60">'316'!$H$29:$O$29</definedName>
    <definedName name="OSRRefE21_0_0x" localSheetId="62">'317'!$H$48:$O$48</definedName>
    <definedName name="OSRRefE21_0_0x" localSheetId="66">'321'!$H$22:$O$22</definedName>
    <definedName name="OSRRefE21_0_0x" localSheetId="67">'322'!$H$22:$O$22</definedName>
    <definedName name="OSRRefE21_0_0x" localSheetId="55">'324'!$H$26:$O$26</definedName>
    <definedName name="OSRRefE21_0_0x" localSheetId="68">'325'!$H$21:$O$21</definedName>
    <definedName name="OSRRefE21_0_0x" localSheetId="58">'326'!$H$43:$O$43</definedName>
    <definedName name="OSRRefE21_0_0x" localSheetId="69">'327'!$H$23:$O$23</definedName>
    <definedName name="OSRRefE21_0_0x" localSheetId="51">'330'!$H$38:$O$38</definedName>
    <definedName name="OSRRefE21_0_0x" localSheetId="56">'331'!$H$76:$O$76</definedName>
    <definedName name="OSRRefE21_0_0x" localSheetId="59">'332'!$H$29:$O$29</definedName>
    <definedName name="OSRRefE21_0_0x" localSheetId="73">'405'!$H$22:$O$22</definedName>
    <definedName name="OSRRefE21_0_0x" localSheetId="74">'406'!$H$19:$O$19</definedName>
    <definedName name="OSRRefE21_0_0x" localSheetId="75">'411'!$H$19:$O$19</definedName>
    <definedName name="OSRRefE21_0_0x" localSheetId="76">'412'!$H$21:$O$21</definedName>
    <definedName name="OSRRefE21_0_0x" localSheetId="77">'413'!$H$22:$O$22</definedName>
    <definedName name="OSRRefE21_0_0x" localSheetId="78">'414'!$H$23:$O$23</definedName>
    <definedName name="OSRRefE21_0_0x" localSheetId="79">'415'!$H$26:$O$26</definedName>
    <definedName name="OSRRefE21_0_0x" localSheetId="80">'418'!$H$22:$O$22</definedName>
    <definedName name="OSRRefE21_0_0x" localSheetId="82">'423'!$H$19:$O$19</definedName>
    <definedName name="OSRRefE21_0_0x" localSheetId="83">'424'!$H$19:$O$19</definedName>
    <definedName name="OSRRefE21_0_0x" localSheetId="84">'425'!$H$19:$O$19</definedName>
    <definedName name="OSRRefE21_0_0x" localSheetId="87">'430'!$H$19:$O$19</definedName>
    <definedName name="OSRRefE21_0_0x" localSheetId="88">'433'!$H$26:$O$26</definedName>
    <definedName name="OSRRefE21_0_0x" localSheetId="89">'435'!$H$19:$O$19</definedName>
    <definedName name="OSRRefE21_0_0x" localSheetId="90">'444'!$H$26:$O$26</definedName>
    <definedName name="OSRRefE21_0_0x" localSheetId="91">'450'!$H$22:$O$22</definedName>
    <definedName name="OSRRefE21_0_0x" localSheetId="72">'491'!$H$28:$O$28</definedName>
    <definedName name="OSRRefE21_0_0x" localSheetId="86">'492'!$H$26:$O$26</definedName>
    <definedName name="OSRRefE21_0_0x" localSheetId="93">'501'!$H$21:$O$21</definedName>
    <definedName name="OSRRefE21_0_0x" localSheetId="39">'Div 2'!$H$19:$O$19</definedName>
    <definedName name="OSRRefE21_0_0x" localSheetId="47">'Div 3'!$H$115:$O$115</definedName>
    <definedName name="OSRRefE21_0_0x" localSheetId="70">'Div 4'!$H$30:$O$30</definedName>
    <definedName name="OSRRefE21_0_0x" localSheetId="92">'Div 5'!$H$21:$O$21</definedName>
    <definedName name="OSRRefE21_0_0x" localSheetId="61">'Div 6'!$H$48:$O$48</definedName>
    <definedName name="OSRRefE21_0_0x" localSheetId="2">Summary!$H$142:$O$142</definedName>
    <definedName name="OSRRefE21_0_10x" localSheetId="39">'Div 2'!$H$29:$O$29</definedName>
    <definedName name="OSRRefE21_0_1x" localSheetId="41">'201'!$H$20:$O$20</definedName>
    <definedName name="OSRRefE21_0_1x" localSheetId="42">'202'!$H$20:$O$20</definedName>
    <definedName name="OSRRefE21_0_1x" localSheetId="43">'203'!$H$20:$O$20</definedName>
    <definedName name="OSRRefE21_0_1x" localSheetId="44">'204'!$H$20:$O$20</definedName>
    <definedName name="OSRRefE21_0_1x" localSheetId="45">'205'!$H$20:$O$20</definedName>
    <definedName name="OSRRefE21_0_1x" localSheetId="46">'206'!$H$20:$O$20</definedName>
    <definedName name="OSRRefE21_0_1x" localSheetId="48">'300'!$H$112:$O$112</definedName>
    <definedName name="OSRRefE21_0_1x" localSheetId="49">'300 &amp; 317'!$H$134:$O$134</definedName>
    <definedName name="OSRRefE21_0_1x" localSheetId="50">'301'!$H$20:$O$20</definedName>
    <definedName name="OSRRefE21_0_1x" localSheetId="52">'307'!$H$39:$O$39</definedName>
    <definedName name="OSRRefE21_0_1x" localSheetId="53">'308'!$H$54:$O$54</definedName>
    <definedName name="OSRRefE21_0_1x" localSheetId="64">'309'!$H$22:$O$22</definedName>
    <definedName name="OSRRefE21_0_1x" localSheetId="63">'310'!$H$27:$O$27</definedName>
    <definedName name="OSRRefE21_0_1x" localSheetId="71">'310 &amp; 491'!$H$32:$O$32</definedName>
    <definedName name="OSRRefE21_0_1x" localSheetId="54">'311'!$H$53:$O$53</definedName>
    <definedName name="OSRRefE21_0_1x" localSheetId="65">'313'!$H$21:$O$21</definedName>
    <definedName name="OSRRefE21_0_1x" localSheetId="57">'315'!$H$77:$O$77</definedName>
    <definedName name="OSRRefE21_0_1x" localSheetId="60">'316'!$H$30:$O$30</definedName>
    <definedName name="OSRRefE21_0_1x" localSheetId="62">'317'!$H$49:$O$49</definedName>
    <definedName name="OSRRefE21_0_1x" localSheetId="66">'321'!$H$23:$O$23</definedName>
    <definedName name="OSRRefE21_0_1x" localSheetId="67">'322'!$H$23:$O$23</definedName>
    <definedName name="OSRRefE21_0_1x" localSheetId="55">'324'!$H$27:$O$27</definedName>
    <definedName name="OSRRefE21_0_1x" localSheetId="68">'325'!$H$22:$O$22</definedName>
    <definedName name="OSRRefE21_0_1x" localSheetId="58">'326'!$H$44:$O$44</definedName>
    <definedName name="OSRRefE21_0_1x" localSheetId="51">'330'!$H$39:$O$39</definedName>
    <definedName name="OSRRefE21_0_1x" localSheetId="56">'331'!$H$77:$O$77</definedName>
    <definedName name="OSRRefE21_0_1x" localSheetId="59">'332'!$H$30:$O$30</definedName>
    <definedName name="OSRRefE21_0_1x" localSheetId="73">'405'!$H$23:$O$23</definedName>
    <definedName name="OSRRefE21_0_1x" localSheetId="75">'411'!$H$20:$O$20</definedName>
    <definedName name="OSRRefE21_0_1x" localSheetId="76">'412'!$H$22:$O$22</definedName>
    <definedName name="OSRRefE21_0_1x" localSheetId="77">'413'!$H$23:$O$23</definedName>
    <definedName name="OSRRefE21_0_1x" localSheetId="78">'414'!$H$24:$O$24</definedName>
    <definedName name="OSRRefE21_0_1x" localSheetId="79">'415'!$H$27:$O$27</definedName>
    <definedName name="OSRRefE21_0_1x" localSheetId="80">'418'!$H$23:$O$23</definedName>
    <definedName name="OSRRefE21_0_1x" localSheetId="82">'423'!$H$20:$O$20</definedName>
    <definedName name="OSRRefE21_0_1x" localSheetId="84">'425'!$H$20:$O$20</definedName>
    <definedName name="OSRRefE21_0_1x" localSheetId="87">'430'!$H$20:$O$20</definedName>
    <definedName name="OSRRefE21_0_1x" localSheetId="88">'433'!$H$27:$O$27</definedName>
    <definedName name="OSRRefE21_0_1x" localSheetId="90">'444'!$H$27:$O$27</definedName>
    <definedName name="OSRRefE21_0_1x" localSheetId="91">'450'!$H$23:$O$23</definedName>
    <definedName name="OSRRefE21_0_1x" localSheetId="72">'491'!$H$29:$O$29</definedName>
    <definedName name="OSRRefE21_0_1x" localSheetId="86">'492'!$H$27:$O$27</definedName>
    <definedName name="OSRRefE21_0_1x" localSheetId="93">'501'!$H$22:$O$22</definedName>
    <definedName name="OSRRefE21_0_1x" localSheetId="39">'Div 2'!$H$20:$O$20</definedName>
    <definedName name="OSRRefE21_0_1x" localSheetId="47">'Div 3'!$H$116:$O$116</definedName>
    <definedName name="OSRRefE21_0_1x" localSheetId="70">'Div 4'!$H$31:$O$31</definedName>
    <definedName name="OSRRefE21_0_1x" localSheetId="92">'Div 5'!$H$22:$O$22</definedName>
    <definedName name="OSRRefE21_0_1x" localSheetId="61">'Div 6'!$H$49:$O$49</definedName>
    <definedName name="OSRRefE21_0_1x" localSheetId="2">Summary!$H$143:$O$143</definedName>
    <definedName name="OSRRefE21_0_2x" localSheetId="41">'201'!$H$21:$O$21</definedName>
    <definedName name="OSRRefE21_0_2x" localSheetId="42">'202'!$H$21:$O$21</definedName>
    <definedName name="OSRRefE21_0_2x" localSheetId="43">'203'!$H$21:$O$21</definedName>
    <definedName name="OSRRefE21_0_2x" localSheetId="44">'204'!$H$21:$O$21</definedName>
    <definedName name="OSRRefE21_0_2x" localSheetId="45">'205'!$H$21:$O$21</definedName>
    <definedName name="OSRRefE21_0_2x" localSheetId="46">'206'!$H$21:$O$21</definedName>
    <definedName name="OSRRefE21_0_2x" localSheetId="48">'300'!$H$113:$O$113</definedName>
    <definedName name="OSRRefE21_0_2x" localSheetId="49">'300 &amp; 317'!$H$135:$O$135</definedName>
    <definedName name="OSRRefE21_0_2x" localSheetId="50">'301'!$H$21:$O$21</definedName>
    <definedName name="OSRRefE21_0_2x" localSheetId="52">'307'!$H$40:$O$40</definedName>
    <definedName name="OSRRefE21_0_2x" localSheetId="53">'308'!$H$55:$O$55</definedName>
    <definedName name="OSRRefE21_0_2x" localSheetId="64">'309'!$H$23:$O$23</definedName>
    <definedName name="OSRRefE21_0_2x" localSheetId="63">'310'!$H$28:$O$28</definedName>
    <definedName name="OSRRefE21_0_2x" localSheetId="71">'310 &amp; 491'!$H$33:$O$33</definedName>
    <definedName name="OSRRefE21_0_2x" localSheetId="54">'311'!$H$54:$O$54</definedName>
    <definedName name="OSRRefE21_0_2x" localSheetId="65">'313'!$H$22:$O$22</definedName>
    <definedName name="OSRRefE21_0_2x" localSheetId="57">'315'!$H$78:$O$78</definedName>
    <definedName name="OSRRefE21_0_2x" localSheetId="60">'316'!$H$31:$O$31</definedName>
    <definedName name="OSRRefE21_0_2x" localSheetId="62">'317'!$H$50:$O$50</definedName>
    <definedName name="OSRRefE21_0_2x" localSheetId="66">'321'!$H$24:$O$24</definedName>
    <definedName name="OSRRefE21_0_2x" localSheetId="67">'322'!$H$24:$O$24</definedName>
    <definedName name="OSRRefE21_0_2x" localSheetId="55">'324'!$H$28:$O$28</definedName>
    <definedName name="OSRRefE21_0_2x" localSheetId="68">'325'!$H$23:$O$23</definedName>
    <definedName name="OSRRefE21_0_2x" localSheetId="58">'326'!$H$45:$O$45</definedName>
    <definedName name="OSRRefE21_0_2x" localSheetId="51">'330'!$H$40:$O$40</definedName>
    <definedName name="OSRRefE21_0_2x" localSheetId="56">'331'!$H$78:$O$78</definedName>
    <definedName name="OSRRefE21_0_2x" localSheetId="59">'332'!$H$31:$O$31</definedName>
    <definedName name="OSRRefE21_0_2x" localSheetId="73">'405'!$H$24:$O$24</definedName>
    <definedName name="OSRRefE21_0_2x" localSheetId="75">'411'!$H$21:$O$21</definedName>
    <definedName name="OSRRefE21_0_2x" localSheetId="76">'412'!$H$23:$O$23</definedName>
    <definedName name="OSRRefE21_0_2x" localSheetId="77">'413'!$H$24:$O$24</definedName>
    <definedName name="OSRRefE21_0_2x" localSheetId="78">'414'!$H$25:$O$25</definedName>
    <definedName name="OSRRefE21_0_2x" localSheetId="79">'415'!$H$28:$O$28</definedName>
    <definedName name="OSRRefE21_0_2x" localSheetId="80">'418'!$H$24:$O$24</definedName>
    <definedName name="OSRRefE21_0_2x" localSheetId="82">'423'!$H$21:$O$21</definedName>
    <definedName name="OSRRefE21_0_2x" localSheetId="84">'425'!$H$21:$O$21</definedName>
    <definedName name="OSRRefE21_0_2x" localSheetId="87">'430'!$H$21:$O$21</definedName>
    <definedName name="OSRRefE21_0_2x" localSheetId="88">'433'!$H$28:$O$28</definedName>
    <definedName name="OSRRefE21_0_2x" localSheetId="90">'444'!$H$28:$O$28</definedName>
    <definedName name="OSRRefE21_0_2x" localSheetId="91">'450'!$H$24:$O$24</definedName>
    <definedName name="OSRRefE21_0_2x" localSheetId="72">'491'!$H$30:$O$30</definedName>
    <definedName name="OSRRefE21_0_2x" localSheetId="86">'492'!$H$28:$O$28</definedName>
    <definedName name="OSRRefE21_0_2x" localSheetId="93">'501'!$H$23:$O$23</definedName>
    <definedName name="OSRRefE21_0_2x" localSheetId="39">'Div 2'!$H$21:$O$21</definedName>
    <definedName name="OSRRefE21_0_2x" localSheetId="47">'Div 3'!$H$117:$O$117</definedName>
    <definedName name="OSRRefE21_0_2x" localSheetId="70">'Div 4'!$H$32:$O$32</definedName>
    <definedName name="OSRRefE21_0_2x" localSheetId="92">'Div 5'!$H$23:$O$23</definedName>
    <definedName name="OSRRefE21_0_2x" localSheetId="61">'Div 6'!$H$50:$O$50</definedName>
    <definedName name="OSRRefE21_0_2x" localSheetId="2">Summary!$H$144:$O$144</definedName>
    <definedName name="OSRRefE21_0_3x" localSheetId="41">'201'!$H$22:$O$22</definedName>
    <definedName name="OSRRefE21_0_3x" localSheetId="42">'202'!$H$22:$O$22</definedName>
    <definedName name="OSRRefE21_0_3x" localSheetId="43">'203'!$H$22:$O$22</definedName>
    <definedName name="OSRRefE21_0_3x" localSheetId="44">'204'!$H$22:$O$22</definedName>
    <definedName name="OSRRefE21_0_3x" localSheetId="45">'205'!$H$22:$O$22</definedName>
    <definedName name="OSRRefE21_0_3x" localSheetId="46">'206'!$H$22:$O$22</definedName>
    <definedName name="OSRRefE21_0_3x" localSheetId="48">'300'!$H$114:$O$114</definedName>
    <definedName name="OSRRefE21_0_3x" localSheetId="49">'300 &amp; 317'!$H$136:$O$136</definedName>
    <definedName name="OSRRefE21_0_3x" localSheetId="50">'301'!$H$22:$O$22</definedName>
    <definedName name="OSRRefE21_0_3x" localSheetId="52">'307'!$H$41:$O$41</definedName>
    <definedName name="OSRRefE21_0_3x" localSheetId="53">'308'!$H$56:$O$56</definedName>
    <definedName name="OSRRefE21_0_3x" localSheetId="64">'309'!$H$24:$O$24</definedName>
    <definedName name="OSRRefE21_0_3x" localSheetId="63">'310'!$H$29:$O$29</definedName>
    <definedName name="OSRRefE21_0_3x" localSheetId="71">'310 &amp; 491'!$H$34:$O$34</definedName>
    <definedName name="OSRRefE21_0_3x" localSheetId="54">'311'!$H$55:$O$55</definedName>
    <definedName name="OSRRefE21_0_3x" localSheetId="65">'313'!$H$23:$O$23</definedName>
    <definedName name="OSRRefE21_0_3x" localSheetId="57">'315'!$H$79:$O$79</definedName>
    <definedName name="OSRRefE21_0_3x" localSheetId="60">'316'!$H$32:$O$32</definedName>
    <definedName name="OSRRefE21_0_3x" localSheetId="62">'317'!$H$51:$O$51</definedName>
    <definedName name="OSRRefE21_0_3x" localSheetId="66">'321'!$H$25:$O$25</definedName>
    <definedName name="OSRRefE21_0_3x" localSheetId="67">'322'!$H$25:$O$25</definedName>
    <definedName name="OSRRefE21_0_3x" localSheetId="55">'324'!$H$29:$O$29</definedName>
    <definedName name="OSRRefE21_0_3x" localSheetId="68">'325'!$H$24:$O$24</definedName>
    <definedName name="OSRRefE21_0_3x" localSheetId="58">'326'!$H$46:$O$46</definedName>
    <definedName name="OSRRefE21_0_3x" localSheetId="51">'330'!$H$41:$O$41</definedName>
    <definedName name="OSRRefE21_0_3x" localSheetId="56">'331'!$H$79:$O$79</definedName>
    <definedName name="OSRRefE21_0_3x" localSheetId="59">'332'!$H$32:$O$32</definedName>
    <definedName name="OSRRefE21_0_3x" localSheetId="73">'405'!$H$25:$O$25</definedName>
    <definedName name="OSRRefE21_0_3x" localSheetId="75">'411'!$H$22:$O$22</definedName>
    <definedName name="OSRRefE21_0_3x" localSheetId="76">'412'!$H$24:$O$24</definedName>
    <definedName name="OSRRefE21_0_3x" localSheetId="77">'413'!$H$25:$O$25</definedName>
    <definedName name="OSRRefE21_0_3x" localSheetId="78">'414'!$H$26:$O$26</definedName>
    <definedName name="OSRRefE21_0_3x" localSheetId="79">'415'!$H$29:$O$29</definedName>
    <definedName name="OSRRefE21_0_3x" localSheetId="80">'418'!$H$25:$O$25</definedName>
    <definedName name="OSRRefE21_0_3x" localSheetId="82">'423'!$H$22:$O$22</definedName>
    <definedName name="OSRRefE21_0_3x" localSheetId="84">'425'!$H$22:$O$22</definedName>
    <definedName name="OSRRefE21_0_3x" localSheetId="87">'430'!$H$22:$O$22</definedName>
    <definedName name="OSRRefE21_0_3x" localSheetId="88">'433'!$H$29:$O$29</definedName>
    <definedName name="OSRRefE21_0_3x" localSheetId="90">'444'!$H$29:$O$29</definedName>
    <definedName name="OSRRefE21_0_3x" localSheetId="91">'450'!$H$25:$O$25</definedName>
    <definedName name="OSRRefE21_0_3x" localSheetId="72">'491'!$H$31:$O$31</definedName>
    <definedName name="OSRRefE21_0_3x" localSheetId="86">'492'!$H$29:$O$29</definedName>
    <definedName name="OSRRefE21_0_3x" localSheetId="93">'501'!$H$24:$O$24</definedName>
    <definedName name="OSRRefE21_0_3x" localSheetId="39">'Div 2'!$H$22:$O$22</definedName>
    <definedName name="OSRRefE21_0_3x" localSheetId="47">'Div 3'!$H$118:$O$118</definedName>
    <definedName name="OSRRefE21_0_3x" localSheetId="70">'Div 4'!$H$33:$O$33</definedName>
    <definedName name="OSRRefE21_0_3x" localSheetId="92">'Div 5'!$H$24:$O$24</definedName>
    <definedName name="OSRRefE21_0_3x" localSheetId="61">'Div 6'!$H$51:$O$51</definedName>
    <definedName name="OSRRefE21_0_3x" localSheetId="2">Summary!$H$145:$O$145</definedName>
    <definedName name="OSRRefE21_0_4x" localSheetId="41">'201'!$H$23:$O$23</definedName>
    <definedName name="OSRRefE21_0_4x" localSheetId="42">'202'!$H$23:$O$23</definedName>
    <definedName name="OSRRefE21_0_4x" localSheetId="43">'203'!$H$23:$O$23</definedName>
    <definedName name="OSRRefE21_0_4x" localSheetId="44">'204'!$H$23:$O$23</definedName>
    <definedName name="OSRRefE21_0_4x" localSheetId="45">'205'!$H$23:$O$23</definedName>
    <definedName name="OSRRefE21_0_4x" localSheetId="46">'206'!$H$23:$O$23</definedName>
    <definedName name="OSRRefE21_0_4x" localSheetId="48">'300'!$H$115:$O$115</definedName>
    <definedName name="OSRRefE21_0_4x" localSheetId="49">'300 &amp; 317'!$H$137:$O$137</definedName>
    <definedName name="OSRRefE21_0_4x" localSheetId="50">'301'!$H$23:$O$23</definedName>
    <definedName name="OSRRefE21_0_4x" localSheetId="52">'307'!$H$42:$O$42</definedName>
    <definedName name="OSRRefE21_0_4x" localSheetId="53">'308'!$H$57:$O$57</definedName>
    <definedName name="OSRRefE21_0_4x" localSheetId="64">'309'!$H$25:$O$25</definedName>
    <definedName name="OSRRefE21_0_4x" localSheetId="63">'310'!$H$30:$O$30</definedName>
    <definedName name="OSRRefE21_0_4x" localSheetId="71">'310 &amp; 491'!$H$35:$O$35</definedName>
    <definedName name="OSRRefE21_0_4x" localSheetId="54">'311'!$H$56:$O$56</definedName>
    <definedName name="OSRRefE21_0_4x" localSheetId="65">'313'!$H$24:$O$24</definedName>
    <definedName name="OSRRefE21_0_4x" localSheetId="57">'315'!$H$80:$O$80</definedName>
    <definedName name="OSRRefE21_0_4x" localSheetId="60">'316'!$H$33:$O$33</definedName>
    <definedName name="OSRRefE21_0_4x" localSheetId="62">'317'!$H$52:$O$52</definedName>
    <definedName name="OSRRefE21_0_4x" localSheetId="66">'321'!$H$26:$O$26</definedName>
    <definedName name="OSRRefE21_0_4x" localSheetId="67">'322'!$H$26:$O$26</definedName>
    <definedName name="OSRRefE21_0_4x" localSheetId="55">'324'!$H$30:$O$30</definedName>
    <definedName name="OSRRefE21_0_4x" localSheetId="68">'325'!$H$25:$O$25</definedName>
    <definedName name="OSRRefE21_0_4x" localSheetId="58">'326'!$H$47:$O$47</definedName>
    <definedName name="OSRRefE21_0_4x" localSheetId="51">'330'!$H$42:$O$42</definedName>
    <definedName name="OSRRefE21_0_4x" localSheetId="56">'331'!$H$80:$O$80</definedName>
    <definedName name="OSRRefE21_0_4x" localSheetId="59">'332'!$H$33:$O$33</definedName>
    <definedName name="OSRRefE21_0_4x" localSheetId="73">'405'!$H$26:$O$26</definedName>
    <definedName name="OSRRefE21_0_4x" localSheetId="75">'411'!$H$23:$O$23</definedName>
    <definedName name="OSRRefE21_0_4x" localSheetId="76">'412'!$H$25:$O$25</definedName>
    <definedName name="OSRRefE21_0_4x" localSheetId="77">'413'!$H$26:$O$26</definedName>
    <definedName name="OSRRefE21_0_4x" localSheetId="78">'414'!$H$27:$O$27</definedName>
    <definedName name="OSRRefE21_0_4x" localSheetId="79">'415'!$H$30:$O$30</definedName>
    <definedName name="OSRRefE21_0_4x" localSheetId="80">'418'!$H$26:$O$26</definedName>
    <definedName name="OSRRefE21_0_4x" localSheetId="82">'423'!$H$23:$O$23</definedName>
    <definedName name="OSRRefE21_0_4x" localSheetId="84">'425'!$H$23:$O$23</definedName>
    <definedName name="OSRRefE21_0_4x" localSheetId="87">'430'!$H$23:$O$23</definedName>
    <definedName name="OSRRefE21_0_4x" localSheetId="88">'433'!$H$30:$O$30</definedName>
    <definedName name="OSRRefE21_0_4x" localSheetId="90">'444'!$H$30:$O$30</definedName>
    <definedName name="OSRRefE21_0_4x" localSheetId="91">'450'!$H$26:$O$26</definedName>
    <definedName name="OSRRefE21_0_4x" localSheetId="72">'491'!$H$32:$O$32</definedName>
    <definedName name="OSRRefE21_0_4x" localSheetId="86">'492'!$H$30:$O$30</definedName>
    <definedName name="OSRRefE21_0_4x" localSheetId="93">'501'!$H$25:$O$25</definedName>
    <definedName name="OSRRefE21_0_4x" localSheetId="39">'Div 2'!$H$23:$O$23</definedName>
    <definedName name="OSRRefE21_0_4x" localSheetId="47">'Div 3'!$H$119:$O$119</definedName>
    <definedName name="OSRRefE21_0_4x" localSheetId="70">'Div 4'!$H$34:$O$34</definedName>
    <definedName name="OSRRefE21_0_4x" localSheetId="92">'Div 5'!$H$25:$O$25</definedName>
    <definedName name="OSRRefE21_0_4x" localSheetId="61">'Div 6'!$H$52:$O$52</definedName>
    <definedName name="OSRRefE21_0_4x" localSheetId="2">Summary!$H$146:$O$146</definedName>
    <definedName name="OSRRefE21_0_5x" localSheetId="41">'201'!$H$24:$O$24</definedName>
    <definedName name="OSRRefE21_0_5x" localSheetId="42">'202'!$H$24:$O$24</definedName>
    <definedName name="OSRRefE21_0_5x" localSheetId="43">'203'!$H$24:$O$24</definedName>
    <definedName name="OSRRefE21_0_5x" localSheetId="44">'204'!$H$24:$O$24</definedName>
    <definedName name="OSRRefE21_0_5x" localSheetId="45">'205'!$H$24:$O$24</definedName>
    <definedName name="OSRRefE21_0_5x" localSheetId="46">'206'!$H$24:$O$24</definedName>
    <definedName name="OSRRefE21_0_5x" localSheetId="48">'300'!$H$116:$O$116</definedName>
    <definedName name="OSRRefE21_0_5x" localSheetId="49">'300 &amp; 317'!$H$138:$O$138</definedName>
    <definedName name="OSRRefE21_0_5x" localSheetId="50">'301'!$H$24:$O$24</definedName>
    <definedName name="OSRRefE21_0_5x" localSheetId="52">'307'!$H$43:$O$43</definedName>
    <definedName name="OSRRefE21_0_5x" localSheetId="53">'308'!$H$58:$O$58</definedName>
    <definedName name="OSRRefE21_0_5x" localSheetId="64">'309'!$H$26:$O$26</definedName>
    <definedName name="OSRRefE21_0_5x" localSheetId="63">'310'!$H$31:$O$31</definedName>
    <definedName name="OSRRefE21_0_5x" localSheetId="71">'310 &amp; 491'!$H$36:$O$36</definedName>
    <definedName name="OSRRefE21_0_5x" localSheetId="54">'311'!$H$57:$O$57</definedName>
    <definedName name="OSRRefE21_0_5x" localSheetId="65">'313'!$H$25:$O$25</definedName>
    <definedName name="OSRRefE21_0_5x" localSheetId="57">'315'!$H$81:$O$81</definedName>
    <definedName name="OSRRefE21_0_5x" localSheetId="60">'316'!$H$34:$O$34</definedName>
    <definedName name="OSRRefE21_0_5x" localSheetId="62">'317'!$H$53:$O$53</definedName>
    <definedName name="OSRRefE21_0_5x" localSheetId="66">'321'!$H$27:$O$27</definedName>
    <definedName name="OSRRefE21_0_5x" localSheetId="67">'322'!$H$27:$O$27</definedName>
    <definedName name="OSRRefE21_0_5x" localSheetId="55">'324'!$H$31:$O$31</definedName>
    <definedName name="OSRRefE21_0_5x" localSheetId="68">'325'!$H$26:$O$26</definedName>
    <definedName name="OSRRefE21_0_5x" localSheetId="58">'326'!$H$48:$O$48</definedName>
    <definedName name="OSRRefE21_0_5x" localSheetId="51">'330'!$H$43:$O$43</definedName>
    <definedName name="OSRRefE21_0_5x" localSheetId="56">'331'!$H$81:$O$81</definedName>
    <definedName name="OSRRefE21_0_5x" localSheetId="59">'332'!$H$34:$O$34</definedName>
    <definedName name="OSRRefE21_0_5x" localSheetId="73">'405'!$H$27:$O$27</definedName>
    <definedName name="OSRRefE21_0_5x" localSheetId="75">'411'!$H$24:$O$24</definedName>
    <definedName name="OSRRefE21_0_5x" localSheetId="76">'412'!$H$26:$O$26</definedName>
    <definedName name="OSRRefE21_0_5x" localSheetId="77">'413'!$H$27:$O$27</definedName>
    <definedName name="OSRRefE21_0_5x" localSheetId="78">'414'!$H$28:$O$28</definedName>
    <definedName name="OSRRefE21_0_5x" localSheetId="79">'415'!$H$31:$O$31</definedName>
    <definedName name="OSRRefE21_0_5x" localSheetId="80">'418'!$H$27:$O$27</definedName>
    <definedName name="OSRRefE21_0_5x" localSheetId="82">'423'!$H$24:$O$24</definedName>
    <definedName name="OSRRefE21_0_5x" localSheetId="87">'430'!$H$24:$O$24</definedName>
    <definedName name="OSRRefE21_0_5x" localSheetId="88">'433'!$H$31:$O$31</definedName>
    <definedName name="OSRRefE21_0_5x" localSheetId="90">'444'!$H$31:$O$31</definedName>
    <definedName name="OSRRefE21_0_5x" localSheetId="91">'450'!$H$27:$O$27</definedName>
    <definedName name="OSRRefE21_0_5x" localSheetId="72">'491'!$H$33:$O$33</definedName>
    <definedName name="OSRRefE21_0_5x" localSheetId="86">'492'!$H$31:$O$31</definedName>
    <definedName name="OSRRefE21_0_5x" localSheetId="93">'501'!$H$26:$O$26</definedName>
    <definedName name="OSRRefE21_0_5x" localSheetId="39">'Div 2'!$H$24:$O$24</definedName>
    <definedName name="OSRRefE21_0_5x" localSheetId="47">'Div 3'!$H$120:$O$120</definedName>
    <definedName name="OSRRefE21_0_5x" localSheetId="70">'Div 4'!$H$35:$O$35</definedName>
    <definedName name="OSRRefE21_0_5x" localSheetId="92">'Div 5'!$H$26:$O$26</definedName>
    <definedName name="OSRRefE21_0_5x" localSheetId="61">'Div 6'!$H$53:$O$53</definedName>
    <definedName name="OSRRefE21_0_5x" localSheetId="2">Summary!$H$147:$O$147</definedName>
    <definedName name="OSRRefE21_0_6x" localSheetId="41">'201'!$H$25:$O$25</definedName>
    <definedName name="OSRRefE21_0_6x" localSheetId="42">'202'!$H$25:$O$25</definedName>
    <definedName name="OSRRefE21_0_6x" localSheetId="43">'203'!$H$25:$O$25</definedName>
    <definedName name="OSRRefE21_0_6x" localSheetId="44">'204'!$H$25:$O$25</definedName>
    <definedName name="OSRRefE21_0_6x" localSheetId="45">'205'!$H$25:$O$25</definedName>
    <definedName name="OSRRefE21_0_6x" localSheetId="46">'206'!$H$25:$O$25</definedName>
    <definedName name="OSRRefE21_0_6x" localSheetId="48">'300'!$H$117:$O$117</definedName>
    <definedName name="OSRRefE21_0_6x" localSheetId="49">'300 &amp; 317'!$H$139:$O$139</definedName>
    <definedName name="OSRRefE21_0_6x" localSheetId="50">'301'!$H$25:$O$25</definedName>
    <definedName name="OSRRefE21_0_6x" localSheetId="52">'307'!$H$44:$O$44</definedName>
    <definedName name="OSRRefE21_0_6x" localSheetId="53">'308'!$H$59:$O$59</definedName>
    <definedName name="OSRRefE21_0_6x" localSheetId="64">'309'!$H$27:$O$27</definedName>
    <definedName name="OSRRefE21_0_6x" localSheetId="63">'310'!$H$32:$O$32</definedName>
    <definedName name="OSRRefE21_0_6x" localSheetId="71">'310 &amp; 491'!$H$37:$O$37</definedName>
    <definedName name="OSRRefE21_0_6x" localSheetId="54">'311'!$H$58:$O$58</definedName>
    <definedName name="OSRRefE21_0_6x" localSheetId="65">'313'!$H$26:$O$26</definedName>
    <definedName name="OSRRefE21_0_6x" localSheetId="57">'315'!$H$82:$O$82</definedName>
    <definedName name="OSRRefE21_0_6x" localSheetId="60">'316'!$H$35:$O$35</definedName>
    <definedName name="OSRRefE21_0_6x" localSheetId="62">'317'!$H$54:$O$54</definedName>
    <definedName name="OSRRefE21_0_6x" localSheetId="66">'321'!$H$28:$O$28</definedName>
    <definedName name="OSRRefE21_0_6x" localSheetId="67">'322'!$H$28:$O$28</definedName>
    <definedName name="OSRRefE21_0_6x" localSheetId="55">'324'!$H$32:$O$32</definedName>
    <definedName name="OSRRefE21_0_6x" localSheetId="68">'325'!$H$27:$O$27</definedName>
    <definedName name="OSRRefE21_0_6x" localSheetId="58">'326'!$H$49:$O$49</definedName>
    <definedName name="OSRRefE21_0_6x" localSheetId="51">'330'!$H$44:$O$44</definedName>
    <definedName name="OSRRefE21_0_6x" localSheetId="56">'331'!$H$82:$O$82</definedName>
    <definedName name="OSRRefE21_0_6x" localSheetId="59">'332'!$H$35:$O$35</definedName>
    <definedName name="OSRRefE21_0_6x" localSheetId="73">'405'!$H$28:$O$28</definedName>
    <definedName name="OSRRefE21_0_6x" localSheetId="75">'411'!$H$25:$O$25</definedName>
    <definedName name="OSRRefE21_0_6x" localSheetId="76">'412'!$H$27:$O$27</definedName>
    <definedName name="OSRRefE21_0_6x" localSheetId="77">'413'!$H$28:$O$28</definedName>
    <definedName name="OSRRefE21_0_6x" localSheetId="78">'414'!$H$29:$O$29</definedName>
    <definedName name="OSRRefE21_0_6x" localSheetId="79">'415'!$H$32:$O$32</definedName>
    <definedName name="OSRRefE21_0_6x" localSheetId="80">'418'!$H$28:$O$28</definedName>
    <definedName name="OSRRefE21_0_6x" localSheetId="82">'423'!$H$25:$O$25</definedName>
    <definedName name="OSRRefE21_0_6x" localSheetId="87">'430'!$H$25:$O$25</definedName>
    <definedName name="OSRRefE21_0_6x" localSheetId="88">'433'!$H$32:$O$32</definedName>
    <definedName name="OSRRefE21_0_6x" localSheetId="90">'444'!$H$32:$O$32</definedName>
    <definedName name="OSRRefE21_0_6x" localSheetId="91">'450'!$H$28:$O$28</definedName>
    <definedName name="OSRRefE21_0_6x" localSheetId="72">'491'!$H$34:$O$34</definedName>
    <definedName name="OSRRefE21_0_6x" localSheetId="86">'492'!$H$32:$O$32</definedName>
    <definedName name="OSRRefE21_0_6x" localSheetId="93">'501'!$H$27:$O$27</definedName>
    <definedName name="OSRRefE21_0_6x" localSheetId="39">'Div 2'!$H$25:$O$25</definedName>
    <definedName name="OSRRefE21_0_6x" localSheetId="47">'Div 3'!$H$121:$O$121</definedName>
    <definedName name="OSRRefE21_0_6x" localSheetId="70">'Div 4'!$H$36:$O$36</definedName>
    <definedName name="OSRRefE21_0_6x" localSheetId="92">'Div 5'!$H$27:$O$27</definedName>
    <definedName name="OSRRefE21_0_6x" localSheetId="61">'Div 6'!$H$54:$O$54</definedName>
    <definedName name="OSRRefE21_0_6x" localSheetId="2">Summary!$H$148:$O$148</definedName>
    <definedName name="OSRRefE21_0_7x" localSheetId="41">'201'!$H$26:$O$26</definedName>
    <definedName name="OSRRefE21_0_7x" localSheetId="42">'202'!$H$26:$O$26</definedName>
    <definedName name="OSRRefE21_0_7x" localSheetId="43">'203'!$H$26:$O$26</definedName>
    <definedName name="OSRRefE21_0_7x" localSheetId="44">'204'!$H$26:$O$26</definedName>
    <definedName name="OSRRefE21_0_7x" localSheetId="45">'205'!$H$26:$O$26</definedName>
    <definedName name="OSRRefE21_0_7x" localSheetId="46">'206'!$H$26:$O$26</definedName>
    <definedName name="OSRRefE21_0_7x" localSheetId="48">'300'!$H$118:$O$118</definedName>
    <definedName name="OSRRefE21_0_7x" localSheetId="49">'300 &amp; 317'!$H$140:$O$140</definedName>
    <definedName name="OSRRefE21_0_7x" localSheetId="50">'301'!$H$26:$O$26</definedName>
    <definedName name="OSRRefE21_0_7x" localSheetId="52">'307'!$H$45:$O$45</definedName>
    <definedName name="OSRRefE21_0_7x" localSheetId="53">'308'!$H$60:$O$60</definedName>
    <definedName name="OSRRefE21_0_7x" localSheetId="64">'309'!$H$28:$O$28</definedName>
    <definedName name="OSRRefE21_0_7x" localSheetId="63">'310'!$H$33:$O$33</definedName>
    <definedName name="OSRRefE21_0_7x" localSheetId="71">'310 &amp; 491'!$H$38:$O$38</definedName>
    <definedName name="OSRRefE21_0_7x" localSheetId="54">'311'!$H$59:$O$59</definedName>
    <definedName name="OSRRefE21_0_7x" localSheetId="65">'313'!$H$27:$O$27</definedName>
    <definedName name="OSRRefE21_0_7x" localSheetId="57">'315'!$H$83:$O$83</definedName>
    <definedName name="OSRRefE21_0_7x" localSheetId="60">'316'!$H$36:$O$36</definedName>
    <definedName name="OSRRefE21_0_7x" localSheetId="62">'317'!$H$55:$O$55</definedName>
    <definedName name="OSRRefE21_0_7x" localSheetId="66">'321'!$H$29:$O$29</definedName>
    <definedName name="OSRRefE21_0_7x" localSheetId="67">'322'!$H$29:$O$29</definedName>
    <definedName name="OSRRefE21_0_7x" localSheetId="55">'324'!$H$33:$O$33</definedName>
    <definedName name="OSRRefE21_0_7x" localSheetId="68">'325'!$H$28:$O$28</definedName>
    <definedName name="OSRRefE21_0_7x" localSheetId="58">'326'!$H$50:$O$50</definedName>
    <definedName name="OSRRefE21_0_7x" localSheetId="51">'330'!$H$45:$O$45</definedName>
    <definedName name="OSRRefE21_0_7x" localSheetId="56">'331'!$H$83:$O$83</definedName>
    <definedName name="OSRRefE21_0_7x" localSheetId="59">'332'!$H$36:$O$36</definedName>
    <definedName name="OSRRefE21_0_7x" localSheetId="73">'405'!$H$29:$O$29</definedName>
    <definedName name="OSRRefE21_0_7x" localSheetId="75">'411'!$H$26:$O$26</definedName>
    <definedName name="OSRRefE21_0_7x" localSheetId="76">'412'!$H$28:$O$28</definedName>
    <definedName name="OSRRefE21_0_7x" localSheetId="77">'413'!$H$29:$O$29</definedName>
    <definedName name="OSRRefE21_0_7x" localSheetId="78">'414'!$H$30:$O$30</definedName>
    <definedName name="OSRRefE21_0_7x" localSheetId="79">'415'!$H$33:$O$33</definedName>
    <definedName name="OSRRefE21_0_7x" localSheetId="80">'418'!$H$29:$O$29</definedName>
    <definedName name="OSRRefE21_0_7x" localSheetId="82">'423'!$H$26:$O$26</definedName>
    <definedName name="OSRRefE21_0_7x" localSheetId="87">'430'!$H$26:$O$26</definedName>
    <definedName name="OSRRefE21_0_7x" localSheetId="88">'433'!$H$33:$O$33</definedName>
    <definedName name="OSRRefE21_0_7x" localSheetId="90">'444'!$H$33:$O$33</definedName>
    <definedName name="OSRRefE21_0_7x" localSheetId="91">'450'!$H$29:$O$29</definedName>
    <definedName name="OSRRefE21_0_7x" localSheetId="72">'491'!$H$35:$O$35</definedName>
    <definedName name="OSRRefE21_0_7x" localSheetId="86">'492'!$H$33:$O$33</definedName>
    <definedName name="OSRRefE21_0_7x" localSheetId="93">'501'!$H$28:$O$28</definedName>
    <definedName name="OSRRefE21_0_7x" localSheetId="39">'Div 2'!$H$26:$O$26</definedName>
    <definedName name="OSRRefE21_0_7x" localSheetId="47">'Div 3'!$H$122:$O$122</definedName>
    <definedName name="OSRRefE21_0_7x" localSheetId="70">'Div 4'!$H$37:$O$37</definedName>
    <definedName name="OSRRefE21_0_7x" localSheetId="92">'Div 5'!$H$28:$O$28</definedName>
    <definedName name="OSRRefE21_0_7x" localSheetId="61">'Div 6'!$H$55:$O$55</definedName>
    <definedName name="OSRRefE21_0_7x" localSheetId="2">Summary!$H$149:$O$149</definedName>
    <definedName name="OSRRefE21_0_8x" localSheetId="41">'201'!$H$27:$O$27</definedName>
    <definedName name="OSRRefE21_0_8x" localSheetId="42">'202'!$H$27:$O$27</definedName>
    <definedName name="OSRRefE21_0_8x" localSheetId="43">'203'!$H$27:$O$27</definedName>
    <definedName name="OSRRefE21_0_8x" localSheetId="44">'204'!$H$27:$O$27</definedName>
    <definedName name="OSRRefE21_0_8x" localSheetId="45">'205'!$H$27:$O$27</definedName>
    <definedName name="OSRRefE21_0_8x" localSheetId="46">'206'!$H$27:$O$27</definedName>
    <definedName name="OSRRefE21_0_8x" localSheetId="48">'300'!$H$119:$O$119</definedName>
    <definedName name="OSRRefE21_0_8x" localSheetId="49">'300 &amp; 317'!$H$141:$O$141</definedName>
    <definedName name="OSRRefE21_0_8x" localSheetId="50">'301'!$H$27:$O$27</definedName>
    <definedName name="OSRRefE21_0_8x" localSheetId="53">'308'!$H$61:$O$61</definedName>
    <definedName name="OSRRefE21_0_8x" localSheetId="63">'310'!$H$34:$O$34</definedName>
    <definedName name="OSRRefE21_0_8x" localSheetId="71">'310 &amp; 491'!$H$39:$O$39</definedName>
    <definedName name="OSRRefE21_0_8x" localSheetId="54">'311'!$H$60:$O$60</definedName>
    <definedName name="OSRRefE21_0_8x" localSheetId="65">'313'!$H$28:$O$28</definedName>
    <definedName name="OSRRefE21_0_8x" localSheetId="57">'315'!$H$84:$O$84</definedName>
    <definedName name="OSRRefE21_0_8x" localSheetId="60">'316'!$H$37:$O$37</definedName>
    <definedName name="OSRRefE21_0_8x" localSheetId="62">'317'!$H$56:$O$56</definedName>
    <definedName name="OSRRefE21_0_8x" localSheetId="66">'321'!$H$30:$O$30</definedName>
    <definedName name="OSRRefE21_0_8x" localSheetId="58">'326'!$H$51:$O$51</definedName>
    <definedName name="OSRRefE21_0_8x" localSheetId="56">'331'!$H$84:$O$84</definedName>
    <definedName name="OSRRefE21_0_8x" localSheetId="59">'332'!$H$37:$O$37</definedName>
    <definedName name="OSRRefE21_0_8x" localSheetId="75">'411'!$H$27:$O$27</definedName>
    <definedName name="OSRRefE21_0_8x" localSheetId="77">'413'!$H$30:$O$30</definedName>
    <definedName name="OSRRefE21_0_8x" localSheetId="78">'414'!$H$31:$O$31</definedName>
    <definedName name="OSRRefE21_0_8x" localSheetId="79">'415'!$H$34:$O$34</definedName>
    <definedName name="OSRRefE21_0_8x" localSheetId="87">'430'!$H$27:$O$27</definedName>
    <definedName name="OSRRefE21_0_8x" localSheetId="88">'433'!$H$34:$O$34</definedName>
    <definedName name="OSRRefE21_0_8x" localSheetId="90">'444'!$H$34:$O$34</definedName>
    <definedName name="OSRRefE21_0_8x" localSheetId="91">'450'!$H$30:$O$30</definedName>
    <definedName name="OSRRefE21_0_8x" localSheetId="72">'491'!$H$36:$O$36</definedName>
    <definedName name="OSRRefE21_0_8x" localSheetId="86">'492'!$H$34:$O$34</definedName>
    <definedName name="OSRRefE21_0_8x" localSheetId="93">'501'!$H$29:$O$29</definedName>
    <definedName name="OSRRefE21_0_8x" localSheetId="39">'Div 2'!$H$27:$O$27</definedName>
    <definedName name="OSRRefE21_0_8x" localSheetId="47">'Div 3'!$H$123:$O$123</definedName>
    <definedName name="OSRRefE21_0_8x" localSheetId="70">'Div 4'!$H$38:$O$38</definedName>
    <definedName name="OSRRefE21_0_8x" localSheetId="92">'Div 5'!$H$29:$O$29</definedName>
    <definedName name="OSRRefE21_0_8x" localSheetId="61">'Div 6'!$H$56:$O$56</definedName>
    <definedName name="OSRRefE21_0_8x" localSheetId="2">Summary!$H$150:$O$150</definedName>
    <definedName name="OSRRefE21_0_9x" localSheetId="43">'203'!$H$28:$O$28</definedName>
    <definedName name="OSRRefE21_0_9x" localSheetId="44">'204'!$H$28:$O$28</definedName>
    <definedName name="OSRRefE21_0_9x" localSheetId="48">'300'!$H$120:$O$120</definedName>
    <definedName name="OSRRefE21_0_9x" localSheetId="49">'300 &amp; 317'!$H$142:$O$142</definedName>
    <definedName name="OSRRefE21_0_9x" localSheetId="53">'308'!$H$62:$O$62</definedName>
    <definedName name="OSRRefE21_0_9x" localSheetId="54">'311'!$H$61:$O$61</definedName>
    <definedName name="OSRRefE21_0_9x" localSheetId="62">'317'!$H$57:$O$57</definedName>
    <definedName name="OSRRefE21_0_9x" localSheetId="88">'433'!$H$35:$O$35</definedName>
    <definedName name="OSRRefE21_0_9x" localSheetId="90">'444'!$H$35:$O$35</definedName>
    <definedName name="OSRRefE21_0_9x" localSheetId="91">'450'!$H$31:$O$31</definedName>
    <definedName name="OSRRefE21_0_9x" localSheetId="86">'492'!$H$35:$O$35</definedName>
    <definedName name="OSRRefE21_0_9x" localSheetId="93">'501'!$H$30:$O$30</definedName>
    <definedName name="OSRRefE21_0_9x" localSheetId="39">'Div 2'!$H$28:$O$28</definedName>
    <definedName name="OSRRefE21_0_9x" localSheetId="47">'Div 3'!$H$124:$O$124</definedName>
    <definedName name="OSRRefE21_0_9x" localSheetId="70">'Div 4'!$H$39:$O$39</definedName>
    <definedName name="OSRRefE21_0_9x" localSheetId="92">'Div 5'!$H$30:$O$30</definedName>
    <definedName name="OSRRefE21_0_9x" localSheetId="61">'Div 6'!$H$57:$O$57</definedName>
    <definedName name="OSRRefE21_0_9x" localSheetId="2">Summary!$H$151:$O$151</definedName>
    <definedName name="OSRRefE21_0x_0" localSheetId="40">'200'!$H$19</definedName>
    <definedName name="OSRRefE21_0x_0" localSheetId="41">'201'!$H$19:$H$27</definedName>
    <definedName name="OSRRefE21_0x_0" localSheetId="42">'202'!$H$19:$H$27</definedName>
    <definedName name="OSRRefE21_0x_0" localSheetId="43">'203'!$H$19:$H$28</definedName>
    <definedName name="OSRRefE21_0x_0" localSheetId="44">'204'!$H$19:$H$28</definedName>
    <definedName name="OSRRefE21_0x_0" localSheetId="45">'205'!$H$19:$H$27</definedName>
    <definedName name="OSRRefE21_0x_0" localSheetId="46">'206'!$H$19:$H$27</definedName>
    <definedName name="OSRRefE21_0x_0" localSheetId="48">'300'!$H$111:$H$120</definedName>
    <definedName name="OSRRefE21_0x_0" localSheetId="49">'300 &amp; 317'!$H$133:$H$142</definedName>
    <definedName name="OSRRefE21_0x_0" localSheetId="50">'301'!$H$19:$H$27</definedName>
    <definedName name="OSRRefE21_0x_0" localSheetId="52">'307'!$H$38:$H$45</definedName>
    <definedName name="OSRRefE21_0x_0" localSheetId="53">'308'!$H$53:$H$62</definedName>
    <definedName name="OSRRefE21_0x_0" localSheetId="64">'309'!$H$21:$H$28</definedName>
    <definedName name="OSRRefE21_0x_0" localSheetId="63">'310'!$H$26:$H$34</definedName>
    <definedName name="OSRRefE21_0x_0" localSheetId="71">'310 &amp; 491'!$H$31:$H$39</definedName>
    <definedName name="OSRRefE21_0x_0" localSheetId="54">'311'!$H$52:$H$61</definedName>
    <definedName name="OSRRefE21_0x_0" localSheetId="65">'313'!$H$20:$H$28</definedName>
    <definedName name="OSRRefE21_0x_0" localSheetId="57">'315'!$H$76:$H$84</definedName>
    <definedName name="OSRRefE21_0x_0" localSheetId="60">'316'!$H$29:$H$37</definedName>
    <definedName name="OSRRefE21_0x_0" localSheetId="62">'317'!$H$48:$H$57</definedName>
    <definedName name="OSRRefE21_0x_0" localSheetId="66">'321'!$H$22:$H$30</definedName>
    <definedName name="OSRRefE21_0x_0" localSheetId="67">'322'!$H$22:$H$29</definedName>
    <definedName name="OSRRefE21_0x_0" localSheetId="55">'324'!$H$26:$H$33</definedName>
    <definedName name="OSRRefE21_0x_0" localSheetId="68">'325'!$H$21:$H$28</definedName>
    <definedName name="OSRRefE21_0x_0" localSheetId="58">'326'!$H$43:$H$51</definedName>
    <definedName name="OSRRefE21_0x_0" localSheetId="69">'327'!$H$23</definedName>
    <definedName name="OSRRefE21_0x_0" localSheetId="51">'330'!$H$38:$H$45</definedName>
    <definedName name="OSRRefE21_0x_0" localSheetId="56">'331'!$H$76:$H$84</definedName>
    <definedName name="OSRRefE21_0x_0" localSheetId="59">'332'!$H$29:$H$37</definedName>
    <definedName name="OSRRefE21_0x_0" localSheetId="73">'405'!$H$22:$H$29</definedName>
    <definedName name="OSRRefE21_0x_0" localSheetId="74">'406'!$H$19</definedName>
    <definedName name="OSRRefE21_0x_0" localSheetId="75">'411'!$H$19:$H$27</definedName>
    <definedName name="OSRRefE21_0x_0" localSheetId="76">'412'!$H$21:$H$28</definedName>
    <definedName name="OSRRefE21_0x_0" localSheetId="77">'413'!$H$22:$H$30</definedName>
    <definedName name="OSRRefE21_0x_0" localSheetId="78">'414'!$H$23:$H$31</definedName>
    <definedName name="OSRRefE21_0x_0" localSheetId="79">'415'!$H$26:$H$34</definedName>
    <definedName name="OSRRefE21_0x_0" localSheetId="80">'418'!$H$22:$H$29</definedName>
    <definedName name="OSRRefE21_0x_0" localSheetId="82">'423'!$H$19:$H$26</definedName>
    <definedName name="OSRRefE21_0x_0" localSheetId="83">'424'!$H$19</definedName>
    <definedName name="OSRRefE21_0x_0" localSheetId="84">'425'!$H$19:$H$23</definedName>
    <definedName name="OSRRefE21_0x_0" localSheetId="87">'430'!$H$19:$H$27</definedName>
    <definedName name="OSRRefE21_0x_0" localSheetId="88">'433'!$H$26:$H$35</definedName>
    <definedName name="OSRRefE21_0x_0" localSheetId="89">'435'!$H$19</definedName>
    <definedName name="OSRRefE21_0x_0" localSheetId="90">'444'!$H$26:$H$35</definedName>
    <definedName name="OSRRefE21_0x_0" localSheetId="91">'450'!$H$22:$H$31</definedName>
    <definedName name="OSRRefE21_0x_0" localSheetId="72">'491'!$H$28:$H$36</definedName>
    <definedName name="OSRRefE21_0x_0" localSheetId="86">'492'!$H$26:$H$35</definedName>
    <definedName name="OSRRefE21_0x_0" localSheetId="93">'501'!$H$21:$H$30</definedName>
    <definedName name="OSRRefE21_0x_0" localSheetId="39">'Div 2'!$H$19:$H$29</definedName>
    <definedName name="OSRRefE21_0x_0" localSheetId="47">'Div 3'!$H$115:$H$124</definedName>
    <definedName name="OSRRefE21_0x_0" localSheetId="70">'Div 4'!$H$30:$H$39</definedName>
    <definedName name="OSRRefE21_0x_0" localSheetId="92">'Div 5'!$H$21:$H$30</definedName>
    <definedName name="OSRRefE21_0x_0" localSheetId="61">'Div 6'!$H$48:$H$57</definedName>
    <definedName name="OSRRefE21_0x_0" localSheetId="2">Summary!$H$142:$H$151</definedName>
    <definedName name="OSRRefE21_0x_1" localSheetId="40">'200'!$I$19</definedName>
    <definedName name="OSRRefE21_0x_1" localSheetId="41">'201'!$I$19:$I$27</definedName>
    <definedName name="OSRRefE21_0x_1" localSheetId="42">'202'!$I$19:$I$27</definedName>
    <definedName name="OSRRefE21_0x_1" localSheetId="43">'203'!$I$19:$I$28</definedName>
    <definedName name="OSRRefE21_0x_1" localSheetId="44">'204'!$I$19:$I$28</definedName>
    <definedName name="OSRRefE21_0x_1" localSheetId="45">'205'!$I$19:$I$27</definedName>
    <definedName name="OSRRefE21_0x_1" localSheetId="46">'206'!$I$19:$I$27</definedName>
    <definedName name="OSRRefE21_0x_1" localSheetId="48">'300'!$I$111:$I$120</definedName>
    <definedName name="OSRRefE21_0x_1" localSheetId="49">'300 &amp; 317'!$I$133:$I$142</definedName>
    <definedName name="OSRRefE21_0x_1" localSheetId="50">'301'!$I$19:$I$27</definedName>
    <definedName name="OSRRefE21_0x_1" localSheetId="52">'307'!$I$38:$I$45</definedName>
    <definedName name="OSRRefE21_0x_1" localSheetId="53">'308'!$I$53:$I$62</definedName>
    <definedName name="OSRRefE21_0x_1" localSheetId="64">'309'!$I$21:$I$28</definedName>
    <definedName name="OSRRefE21_0x_1" localSheetId="63">'310'!$I$26:$I$34</definedName>
    <definedName name="OSRRefE21_0x_1" localSheetId="71">'310 &amp; 491'!$I$31:$I$39</definedName>
    <definedName name="OSRRefE21_0x_1" localSheetId="54">'311'!$I$52:$I$61</definedName>
    <definedName name="OSRRefE21_0x_1" localSheetId="65">'313'!$I$20:$I$28</definedName>
    <definedName name="OSRRefE21_0x_1" localSheetId="57">'315'!$I$76:$I$84</definedName>
    <definedName name="OSRRefE21_0x_1" localSheetId="60">'316'!$I$29:$I$37</definedName>
    <definedName name="OSRRefE21_0x_1" localSheetId="62">'317'!$I$48:$I$57</definedName>
    <definedName name="OSRRefE21_0x_1" localSheetId="66">'321'!$I$22:$I$30</definedName>
    <definedName name="OSRRefE21_0x_1" localSheetId="67">'322'!$I$22:$I$29</definedName>
    <definedName name="OSRRefE21_0x_1" localSheetId="55">'324'!$I$26:$I$33</definedName>
    <definedName name="OSRRefE21_0x_1" localSheetId="68">'325'!$I$21:$I$28</definedName>
    <definedName name="OSRRefE21_0x_1" localSheetId="58">'326'!$I$43:$I$51</definedName>
    <definedName name="OSRRefE21_0x_1" localSheetId="69">'327'!$I$23</definedName>
    <definedName name="OSRRefE21_0x_1" localSheetId="51">'330'!$I$38:$I$45</definedName>
    <definedName name="OSRRefE21_0x_1" localSheetId="56">'331'!$I$76:$I$84</definedName>
    <definedName name="OSRRefE21_0x_1" localSheetId="59">'332'!$I$29:$I$37</definedName>
    <definedName name="OSRRefE21_0x_1" localSheetId="73">'405'!$I$22:$I$29</definedName>
    <definedName name="OSRRefE21_0x_1" localSheetId="74">'406'!$I$19</definedName>
    <definedName name="OSRRefE21_0x_1" localSheetId="75">'411'!$I$19:$I$27</definedName>
    <definedName name="OSRRefE21_0x_1" localSheetId="76">'412'!$I$21:$I$28</definedName>
    <definedName name="OSRRefE21_0x_1" localSheetId="77">'413'!$I$22:$I$30</definedName>
    <definedName name="OSRRefE21_0x_1" localSheetId="78">'414'!$I$23:$I$31</definedName>
    <definedName name="OSRRefE21_0x_1" localSheetId="79">'415'!$I$26:$I$34</definedName>
    <definedName name="OSRRefE21_0x_1" localSheetId="80">'418'!$I$22:$I$29</definedName>
    <definedName name="OSRRefE21_0x_1" localSheetId="82">'423'!$I$19:$I$26</definedName>
    <definedName name="OSRRefE21_0x_1" localSheetId="83">'424'!$I$19</definedName>
    <definedName name="OSRRefE21_0x_1" localSheetId="84">'425'!$I$19:$I$23</definedName>
    <definedName name="OSRRefE21_0x_1" localSheetId="87">'430'!$I$19:$I$27</definedName>
    <definedName name="OSRRefE21_0x_1" localSheetId="88">'433'!$I$26:$I$35</definedName>
    <definedName name="OSRRefE21_0x_1" localSheetId="89">'435'!$I$19</definedName>
    <definedName name="OSRRefE21_0x_1" localSheetId="90">'444'!$I$26:$I$35</definedName>
    <definedName name="OSRRefE21_0x_1" localSheetId="91">'450'!$I$22:$I$31</definedName>
    <definedName name="OSRRefE21_0x_1" localSheetId="72">'491'!$I$28:$I$36</definedName>
    <definedName name="OSRRefE21_0x_1" localSheetId="86">'492'!$I$26:$I$35</definedName>
    <definedName name="OSRRefE21_0x_1" localSheetId="93">'501'!$I$21:$I$30</definedName>
    <definedName name="OSRRefE21_0x_1" localSheetId="39">'Div 2'!$I$19:$I$29</definedName>
    <definedName name="OSRRefE21_0x_1" localSheetId="47">'Div 3'!$I$115:$I$124</definedName>
    <definedName name="OSRRefE21_0x_1" localSheetId="70">'Div 4'!$I$30:$I$39</definedName>
    <definedName name="OSRRefE21_0x_1" localSheetId="92">'Div 5'!$I$21:$I$30</definedName>
    <definedName name="OSRRefE21_0x_1" localSheetId="61">'Div 6'!$I$48:$I$57</definedName>
    <definedName name="OSRRefE21_0x_1" localSheetId="2">Summary!$I$142:$I$151</definedName>
    <definedName name="OSRRefE21_0x_2" localSheetId="40">'200'!$J$19</definedName>
    <definedName name="OSRRefE21_0x_2" localSheetId="41">'201'!$J$19:$J$27</definedName>
    <definedName name="OSRRefE21_0x_2" localSheetId="42">'202'!$J$19:$J$27</definedName>
    <definedName name="OSRRefE21_0x_2" localSheetId="43">'203'!$J$19:$J$28</definedName>
    <definedName name="OSRRefE21_0x_2" localSheetId="44">'204'!$J$19:$J$28</definedName>
    <definedName name="OSRRefE21_0x_2" localSheetId="45">'205'!$J$19:$J$27</definedName>
    <definedName name="OSRRefE21_0x_2" localSheetId="46">'206'!$J$19:$J$27</definedName>
    <definedName name="OSRRefE21_0x_2" localSheetId="48">'300'!$J$111:$J$120</definedName>
    <definedName name="OSRRefE21_0x_2" localSheetId="49">'300 &amp; 317'!$J$133:$J$142</definedName>
    <definedName name="OSRRefE21_0x_2" localSheetId="50">'301'!$J$19:$J$27</definedName>
    <definedName name="OSRRefE21_0x_2" localSheetId="52">'307'!$J$38:$J$45</definedName>
    <definedName name="OSRRefE21_0x_2" localSheetId="53">'308'!$J$53:$J$62</definedName>
    <definedName name="OSRRefE21_0x_2" localSheetId="64">'309'!$J$21:$J$28</definedName>
    <definedName name="OSRRefE21_0x_2" localSheetId="63">'310'!$J$26:$J$34</definedName>
    <definedName name="OSRRefE21_0x_2" localSheetId="71">'310 &amp; 491'!$J$31:$J$39</definedName>
    <definedName name="OSRRefE21_0x_2" localSheetId="54">'311'!$J$52:$J$61</definedName>
    <definedName name="OSRRefE21_0x_2" localSheetId="65">'313'!$J$20:$J$28</definedName>
    <definedName name="OSRRefE21_0x_2" localSheetId="57">'315'!$J$76:$J$84</definedName>
    <definedName name="OSRRefE21_0x_2" localSheetId="60">'316'!$J$29:$J$37</definedName>
    <definedName name="OSRRefE21_0x_2" localSheetId="62">'317'!$J$48:$J$57</definedName>
    <definedName name="OSRRefE21_0x_2" localSheetId="66">'321'!$J$22:$J$30</definedName>
    <definedName name="OSRRefE21_0x_2" localSheetId="67">'322'!$J$22:$J$29</definedName>
    <definedName name="OSRRefE21_0x_2" localSheetId="55">'324'!$J$26:$J$33</definedName>
    <definedName name="OSRRefE21_0x_2" localSheetId="68">'325'!$J$21:$J$28</definedName>
    <definedName name="OSRRefE21_0x_2" localSheetId="58">'326'!$J$43:$J$51</definedName>
    <definedName name="OSRRefE21_0x_2" localSheetId="69">'327'!$J$23</definedName>
    <definedName name="OSRRefE21_0x_2" localSheetId="51">'330'!$J$38:$J$45</definedName>
    <definedName name="OSRRefE21_0x_2" localSheetId="56">'331'!$J$76:$J$84</definedName>
    <definedName name="OSRRefE21_0x_2" localSheetId="59">'332'!$J$29:$J$37</definedName>
    <definedName name="OSRRefE21_0x_2" localSheetId="73">'405'!$J$22:$J$29</definedName>
    <definedName name="OSRRefE21_0x_2" localSheetId="74">'406'!$J$19</definedName>
    <definedName name="OSRRefE21_0x_2" localSheetId="75">'411'!$J$19:$J$27</definedName>
    <definedName name="OSRRefE21_0x_2" localSheetId="76">'412'!$J$21:$J$28</definedName>
    <definedName name="OSRRefE21_0x_2" localSheetId="77">'413'!$J$22:$J$30</definedName>
    <definedName name="OSRRefE21_0x_2" localSheetId="78">'414'!$J$23:$J$31</definedName>
    <definedName name="OSRRefE21_0x_2" localSheetId="79">'415'!$J$26:$J$34</definedName>
    <definedName name="OSRRefE21_0x_2" localSheetId="80">'418'!$J$22:$J$29</definedName>
    <definedName name="OSRRefE21_0x_2" localSheetId="82">'423'!$J$19:$J$26</definedName>
    <definedName name="OSRRefE21_0x_2" localSheetId="83">'424'!$J$19</definedName>
    <definedName name="OSRRefE21_0x_2" localSheetId="84">'425'!$J$19:$J$23</definedName>
    <definedName name="OSRRefE21_0x_2" localSheetId="87">'430'!$J$19:$J$27</definedName>
    <definedName name="OSRRefE21_0x_2" localSheetId="88">'433'!$J$26:$J$35</definedName>
    <definedName name="OSRRefE21_0x_2" localSheetId="89">'435'!$J$19</definedName>
    <definedName name="OSRRefE21_0x_2" localSheetId="90">'444'!$J$26:$J$35</definedName>
    <definedName name="OSRRefE21_0x_2" localSheetId="91">'450'!$J$22:$J$31</definedName>
    <definedName name="OSRRefE21_0x_2" localSheetId="72">'491'!$J$28:$J$36</definedName>
    <definedName name="OSRRefE21_0x_2" localSheetId="86">'492'!$J$26:$J$35</definedName>
    <definedName name="OSRRefE21_0x_2" localSheetId="93">'501'!$J$21:$J$30</definedName>
    <definedName name="OSRRefE21_0x_2" localSheetId="39">'Div 2'!$J$19:$J$29</definedName>
    <definedName name="OSRRefE21_0x_2" localSheetId="47">'Div 3'!$J$115:$J$124</definedName>
    <definedName name="OSRRefE21_0x_2" localSheetId="70">'Div 4'!$J$30:$J$39</definedName>
    <definedName name="OSRRefE21_0x_2" localSheetId="92">'Div 5'!$J$21:$J$30</definedName>
    <definedName name="OSRRefE21_0x_2" localSheetId="61">'Div 6'!$J$48:$J$57</definedName>
    <definedName name="OSRRefE21_0x_2" localSheetId="2">Summary!$J$142:$J$151</definedName>
    <definedName name="OSRRefE21_0x_3" localSheetId="40">'200'!$K$19</definedName>
    <definedName name="OSRRefE21_0x_3" localSheetId="41">'201'!$K$19:$K$27</definedName>
    <definedName name="OSRRefE21_0x_3" localSheetId="42">'202'!$K$19:$K$27</definedName>
    <definedName name="OSRRefE21_0x_3" localSheetId="43">'203'!$K$19:$K$28</definedName>
    <definedName name="OSRRefE21_0x_3" localSheetId="44">'204'!$K$19:$K$28</definedName>
    <definedName name="OSRRefE21_0x_3" localSheetId="45">'205'!$K$19:$K$27</definedName>
    <definedName name="OSRRefE21_0x_3" localSheetId="46">'206'!$K$19:$K$27</definedName>
    <definedName name="OSRRefE21_0x_3" localSheetId="48">'300'!$K$111:$K$120</definedName>
    <definedName name="OSRRefE21_0x_3" localSheetId="49">'300 &amp; 317'!$K$133:$K$142</definedName>
    <definedName name="OSRRefE21_0x_3" localSheetId="50">'301'!$K$19:$K$27</definedName>
    <definedName name="OSRRefE21_0x_3" localSheetId="52">'307'!$K$38:$K$45</definedName>
    <definedName name="OSRRefE21_0x_3" localSheetId="53">'308'!$K$53:$K$62</definedName>
    <definedName name="OSRRefE21_0x_3" localSheetId="64">'309'!$K$21:$K$28</definedName>
    <definedName name="OSRRefE21_0x_3" localSheetId="63">'310'!$K$26:$K$34</definedName>
    <definedName name="OSRRefE21_0x_3" localSheetId="71">'310 &amp; 491'!$K$31:$K$39</definedName>
    <definedName name="OSRRefE21_0x_3" localSheetId="54">'311'!$K$52:$K$61</definedName>
    <definedName name="OSRRefE21_0x_3" localSheetId="65">'313'!$K$20:$K$28</definedName>
    <definedName name="OSRRefE21_0x_3" localSheetId="57">'315'!$K$76:$K$84</definedName>
    <definedName name="OSRRefE21_0x_3" localSheetId="60">'316'!$K$29:$K$37</definedName>
    <definedName name="OSRRefE21_0x_3" localSheetId="62">'317'!$K$48:$K$57</definedName>
    <definedName name="OSRRefE21_0x_3" localSheetId="66">'321'!$K$22:$K$30</definedName>
    <definedName name="OSRRefE21_0x_3" localSheetId="67">'322'!$K$22:$K$29</definedName>
    <definedName name="OSRRefE21_0x_3" localSheetId="55">'324'!$K$26:$K$33</definedName>
    <definedName name="OSRRefE21_0x_3" localSheetId="68">'325'!$K$21:$K$28</definedName>
    <definedName name="OSRRefE21_0x_3" localSheetId="58">'326'!$K$43:$K$51</definedName>
    <definedName name="OSRRefE21_0x_3" localSheetId="69">'327'!$K$23</definedName>
    <definedName name="OSRRefE21_0x_3" localSheetId="51">'330'!$K$38:$K$45</definedName>
    <definedName name="OSRRefE21_0x_3" localSheetId="56">'331'!$K$76:$K$84</definedName>
    <definedName name="OSRRefE21_0x_3" localSheetId="59">'332'!$K$29:$K$37</definedName>
    <definedName name="OSRRefE21_0x_3" localSheetId="73">'405'!$K$22:$K$29</definedName>
    <definedName name="OSRRefE21_0x_3" localSheetId="74">'406'!$K$19</definedName>
    <definedName name="OSRRefE21_0x_3" localSheetId="75">'411'!$K$19:$K$27</definedName>
    <definedName name="OSRRefE21_0x_3" localSheetId="76">'412'!$K$21:$K$28</definedName>
    <definedName name="OSRRefE21_0x_3" localSheetId="77">'413'!$K$22:$K$30</definedName>
    <definedName name="OSRRefE21_0x_3" localSheetId="78">'414'!$K$23:$K$31</definedName>
    <definedName name="OSRRefE21_0x_3" localSheetId="79">'415'!$K$26:$K$34</definedName>
    <definedName name="OSRRefE21_0x_3" localSheetId="80">'418'!$K$22:$K$29</definedName>
    <definedName name="OSRRefE21_0x_3" localSheetId="82">'423'!$K$19:$K$26</definedName>
    <definedName name="OSRRefE21_0x_3" localSheetId="83">'424'!$K$19</definedName>
    <definedName name="OSRRefE21_0x_3" localSheetId="84">'425'!$K$19:$K$23</definedName>
    <definedName name="OSRRefE21_0x_3" localSheetId="87">'430'!$K$19:$K$27</definedName>
    <definedName name="OSRRefE21_0x_3" localSheetId="88">'433'!$K$26:$K$35</definedName>
    <definedName name="OSRRefE21_0x_3" localSheetId="89">'435'!$K$19</definedName>
    <definedName name="OSRRefE21_0x_3" localSheetId="90">'444'!$K$26:$K$35</definedName>
    <definedName name="OSRRefE21_0x_3" localSheetId="91">'450'!$K$22:$K$31</definedName>
    <definedName name="OSRRefE21_0x_3" localSheetId="72">'491'!$K$28:$K$36</definedName>
    <definedName name="OSRRefE21_0x_3" localSheetId="86">'492'!$K$26:$K$35</definedName>
    <definedName name="OSRRefE21_0x_3" localSheetId="93">'501'!$K$21:$K$30</definedName>
    <definedName name="OSRRefE21_0x_3" localSheetId="39">'Div 2'!$K$19:$K$29</definedName>
    <definedName name="OSRRefE21_0x_3" localSheetId="47">'Div 3'!$K$115:$K$124</definedName>
    <definedName name="OSRRefE21_0x_3" localSheetId="70">'Div 4'!$K$30:$K$39</definedName>
    <definedName name="OSRRefE21_0x_3" localSheetId="92">'Div 5'!$K$21:$K$30</definedName>
    <definedName name="OSRRefE21_0x_3" localSheetId="61">'Div 6'!$K$48:$K$57</definedName>
    <definedName name="OSRRefE21_0x_3" localSheetId="2">Summary!$K$142:$K$151</definedName>
    <definedName name="OSRRefE21_0x_4" localSheetId="40">'200'!$L$19</definedName>
    <definedName name="OSRRefE21_0x_4" localSheetId="41">'201'!$L$19:$L$27</definedName>
    <definedName name="OSRRefE21_0x_4" localSheetId="42">'202'!$L$19:$L$27</definedName>
    <definedName name="OSRRefE21_0x_4" localSheetId="43">'203'!$L$19:$L$28</definedName>
    <definedName name="OSRRefE21_0x_4" localSheetId="44">'204'!$L$19:$L$28</definedName>
    <definedName name="OSRRefE21_0x_4" localSheetId="45">'205'!$L$19:$L$27</definedName>
    <definedName name="OSRRefE21_0x_4" localSheetId="46">'206'!$L$19:$L$27</definedName>
    <definedName name="OSRRefE21_0x_4" localSheetId="48">'300'!$L$111:$L$120</definedName>
    <definedName name="OSRRefE21_0x_4" localSheetId="49">'300 &amp; 317'!$L$133:$L$142</definedName>
    <definedName name="OSRRefE21_0x_4" localSheetId="50">'301'!$L$19:$L$27</definedName>
    <definedName name="OSRRefE21_0x_4" localSheetId="52">'307'!$L$38:$L$45</definedName>
    <definedName name="OSRRefE21_0x_4" localSheetId="53">'308'!$L$53:$L$62</definedName>
    <definedName name="OSRRefE21_0x_4" localSheetId="64">'309'!$L$21:$L$28</definedName>
    <definedName name="OSRRefE21_0x_4" localSheetId="63">'310'!$L$26:$L$34</definedName>
    <definedName name="OSRRefE21_0x_4" localSheetId="71">'310 &amp; 491'!$L$31:$L$39</definedName>
    <definedName name="OSRRefE21_0x_4" localSheetId="54">'311'!$L$52:$L$61</definedName>
    <definedName name="OSRRefE21_0x_4" localSheetId="65">'313'!$L$20:$L$28</definedName>
    <definedName name="OSRRefE21_0x_4" localSheetId="57">'315'!$L$76:$L$84</definedName>
    <definedName name="OSRRefE21_0x_4" localSheetId="60">'316'!$L$29:$L$37</definedName>
    <definedName name="OSRRefE21_0x_4" localSheetId="62">'317'!$L$48:$L$57</definedName>
    <definedName name="OSRRefE21_0x_4" localSheetId="66">'321'!$L$22:$L$30</definedName>
    <definedName name="OSRRefE21_0x_4" localSheetId="67">'322'!$L$22:$L$29</definedName>
    <definedName name="OSRRefE21_0x_4" localSheetId="55">'324'!$L$26:$L$33</definedName>
    <definedName name="OSRRefE21_0x_4" localSheetId="68">'325'!$L$21:$L$28</definedName>
    <definedName name="OSRRefE21_0x_4" localSheetId="58">'326'!$L$43:$L$51</definedName>
    <definedName name="OSRRefE21_0x_4" localSheetId="69">'327'!$L$23</definedName>
    <definedName name="OSRRefE21_0x_4" localSheetId="51">'330'!$L$38:$L$45</definedName>
    <definedName name="OSRRefE21_0x_4" localSheetId="56">'331'!$L$76:$L$84</definedName>
    <definedName name="OSRRefE21_0x_4" localSheetId="59">'332'!$L$29:$L$37</definedName>
    <definedName name="OSRRefE21_0x_4" localSheetId="73">'405'!$L$22:$L$29</definedName>
    <definedName name="OSRRefE21_0x_4" localSheetId="74">'406'!$L$19</definedName>
    <definedName name="OSRRefE21_0x_4" localSheetId="75">'411'!$L$19:$L$27</definedName>
    <definedName name="OSRRefE21_0x_4" localSheetId="76">'412'!$L$21:$L$28</definedName>
    <definedName name="OSRRefE21_0x_4" localSheetId="77">'413'!$L$22:$L$30</definedName>
    <definedName name="OSRRefE21_0x_4" localSheetId="78">'414'!$L$23:$L$31</definedName>
    <definedName name="OSRRefE21_0x_4" localSheetId="79">'415'!$L$26:$L$34</definedName>
    <definedName name="OSRRefE21_0x_4" localSheetId="80">'418'!$L$22:$L$29</definedName>
    <definedName name="OSRRefE21_0x_4" localSheetId="82">'423'!$L$19:$L$26</definedName>
    <definedName name="OSRRefE21_0x_4" localSheetId="83">'424'!$L$19</definedName>
    <definedName name="OSRRefE21_0x_4" localSheetId="84">'425'!$L$19:$L$23</definedName>
    <definedName name="OSRRefE21_0x_4" localSheetId="87">'430'!$L$19:$L$27</definedName>
    <definedName name="OSRRefE21_0x_4" localSheetId="88">'433'!$L$26:$L$35</definedName>
    <definedName name="OSRRefE21_0x_4" localSheetId="89">'435'!$L$19</definedName>
    <definedName name="OSRRefE21_0x_4" localSheetId="90">'444'!$L$26:$L$35</definedName>
    <definedName name="OSRRefE21_0x_4" localSheetId="91">'450'!$L$22:$L$31</definedName>
    <definedName name="OSRRefE21_0x_4" localSheetId="72">'491'!$L$28:$L$36</definedName>
    <definedName name="OSRRefE21_0x_4" localSheetId="86">'492'!$L$26:$L$35</definedName>
    <definedName name="OSRRefE21_0x_4" localSheetId="93">'501'!$L$21:$L$30</definedName>
    <definedName name="OSRRefE21_0x_4" localSheetId="39">'Div 2'!$L$19:$L$29</definedName>
    <definedName name="OSRRefE21_0x_4" localSheetId="47">'Div 3'!$L$115:$L$124</definedName>
    <definedName name="OSRRefE21_0x_4" localSheetId="70">'Div 4'!$L$30:$L$39</definedName>
    <definedName name="OSRRefE21_0x_4" localSheetId="92">'Div 5'!$L$21:$L$30</definedName>
    <definedName name="OSRRefE21_0x_4" localSheetId="61">'Div 6'!$L$48:$L$57</definedName>
    <definedName name="OSRRefE21_0x_4" localSheetId="2">Summary!$L$142:$L$151</definedName>
    <definedName name="OSRRefE21_0x_5" localSheetId="40">'200'!$M$19</definedName>
    <definedName name="OSRRefE21_0x_5" localSheetId="41">'201'!$M$19:$M$27</definedName>
    <definedName name="OSRRefE21_0x_5" localSheetId="42">'202'!$M$19:$M$27</definedName>
    <definedName name="OSRRefE21_0x_5" localSheetId="43">'203'!$M$19:$M$28</definedName>
    <definedName name="OSRRefE21_0x_5" localSheetId="44">'204'!$M$19:$M$28</definedName>
    <definedName name="OSRRefE21_0x_5" localSheetId="45">'205'!$M$19:$M$27</definedName>
    <definedName name="OSRRefE21_0x_5" localSheetId="46">'206'!$M$19:$M$27</definedName>
    <definedName name="OSRRefE21_0x_5" localSheetId="48">'300'!$M$111:$M$120</definedName>
    <definedName name="OSRRefE21_0x_5" localSheetId="49">'300 &amp; 317'!$M$133:$M$142</definedName>
    <definedName name="OSRRefE21_0x_5" localSheetId="50">'301'!$M$19:$M$27</definedName>
    <definedName name="OSRRefE21_0x_5" localSheetId="52">'307'!$M$38:$M$45</definedName>
    <definedName name="OSRRefE21_0x_5" localSheetId="53">'308'!$M$53:$M$62</definedName>
    <definedName name="OSRRefE21_0x_5" localSheetId="64">'309'!$M$21:$M$28</definedName>
    <definedName name="OSRRefE21_0x_5" localSheetId="63">'310'!$M$26:$M$34</definedName>
    <definedName name="OSRRefE21_0x_5" localSheetId="71">'310 &amp; 491'!$M$31:$M$39</definedName>
    <definedName name="OSRRefE21_0x_5" localSheetId="54">'311'!$M$52:$M$61</definedName>
    <definedName name="OSRRefE21_0x_5" localSheetId="65">'313'!$M$20:$M$28</definedName>
    <definedName name="OSRRefE21_0x_5" localSheetId="57">'315'!$M$76:$M$84</definedName>
    <definedName name="OSRRefE21_0x_5" localSheetId="60">'316'!$M$29:$M$37</definedName>
    <definedName name="OSRRefE21_0x_5" localSheetId="62">'317'!$M$48:$M$57</definedName>
    <definedName name="OSRRefE21_0x_5" localSheetId="66">'321'!$M$22:$M$30</definedName>
    <definedName name="OSRRefE21_0x_5" localSheetId="67">'322'!$M$22:$M$29</definedName>
    <definedName name="OSRRefE21_0x_5" localSheetId="55">'324'!$M$26:$M$33</definedName>
    <definedName name="OSRRefE21_0x_5" localSheetId="68">'325'!$M$21:$M$28</definedName>
    <definedName name="OSRRefE21_0x_5" localSheetId="58">'326'!$M$43:$M$51</definedName>
    <definedName name="OSRRefE21_0x_5" localSheetId="69">'327'!$M$23</definedName>
    <definedName name="OSRRefE21_0x_5" localSheetId="51">'330'!$M$38:$M$45</definedName>
    <definedName name="OSRRefE21_0x_5" localSheetId="56">'331'!$M$76:$M$84</definedName>
    <definedName name="OSRRefE21_0x_5" localSheetId="59">'332'!$M$29:$M$37</definedName>
    <definedName name="OSRRefE21_0x_5" localSheetId="73">'405'!$M$22:$M$29</definedName>
    <definedName name="OSRRefE21_0x_5" localSheetId="74">'406'!$M$19</definedName>
    <definedName name="OSRRefE21_0x_5" localSheetId="75">'411'!$M$19:$M$27</definedName>
    <definedName name="OSRRefE21_0x_5" localSheetId="76">'412'!$M$21:$M$28</definedName>
    <definedName name="OSRRefE21_0x_5" localSheetId="77">'413'!$M$22:$M$30</definedName>
    <definedName name="OSRRefE21_0x_5" localSheetId="78">'414'!$M$23:$M$31</definedName>
    <definedName name="OSRRefE21_0x_5" localSheetId="79">'415'!$M$26:$M$34</definedName>
    <definedName name="OSRRefE21_0x_5" localSheetId="80">'418'!$M$22:$M$29</definedName>
    <definedName name="OSRRefE21_0x_5" localSheetId="82">'423'!$M$19:$M$26</definedName>
    <definedName name="OSRRefE21_0x_5" localSheetId="83">'424'!$M$19</definedName>
    <definedName name="OSRRefE21_0x_5" localSheetId="84">'425'!$M$19:$M$23</definedName>
    <definedName name="OSRRefE21_0x_5" localSheetId="87">'430'!$M$19:$M$27</definedName>
    <definedName name="OSRRefE21_0x_5" localSheetId="88">'433'!$M$26:$M$35</definedName>
    <definedName name="OSRRefE21_0x_5" localSheetId="89">'435'!$M$19</definedName>
    <definedName name="OSRRefE21_0x_5" localSheetId="90">'444'!$M$26:$M$35</definedName>
    <definedName name="OSRRefE21_0x_5" localSheetId="91">'450'!$M$22:$M$31</definedName>
    <definedName name="OSRRefE21_0x_5" localSheetId="72">'491'!$M$28:$M$36</definedName>
    <definedName name="OSRRefE21_0x_5" localSheetId="86">'492'!$M$26:$M$35</definedName>
    <definedName name="OSRRefE21_0x_5" localSheetId="93">'501'!$M$21:$M$30</definedName>
    <definedName name="OSRRefE21_0x_5" localSheetId="39">'Div 2'!$M$19:$M$29</definedName>
    <definedName name="OSRRefE21_0x_5" localSheetId="47">'Div 3'!$M$115:$M$124</definedName>
    <definedName name="OSRRefE21_0x_5" localSheetId="70">'Div 4'!$M$30:$M$39</definedName>
    <definedName name="OSRRefE21_0x_5" localSheetId="92">'Div 5'!$M$21:$M$30</definedName>
    <definedName name="OSRRefE21_0x_5" localSheetId="61">'Div 6'!$M$48:$M$57</definedName>
    <definedName name="OSRRefE21_0x_5" localSheetId="2">Summary!$M$142:$M$151</definedName>
    <definedName name="OSRRefE21_0x_6" localSheetId="40">'200'!$N$19</definedName>
    <definedName name="OSRRefE21_0x_6" localSheetId="41">'201'!$N$19:$N$27</definedName>
    <definedName name="OSRRefE21_0x_6" localSheetId="42">'202'!$N$19:$N$27</definedName>
    <definedName name="OSRRefE21_0x_6" localSheetId="43">'203'!$N$19:$N$28</definedName>
    <definedName name="OSRRefE21_0x_6" localSheetId="44">'204'!$N$19:$N$28</definedName>
    <definedName name="OSRRefE21_0x_6" localSheetId="45">'205'!$N$19:$N$27</definedName>
    <definedName name="OSRRefE21_0x_6" localSheetId="46">'206'!$N$19:$N$27</definedName>
    <definedName name="OSRRefE21_0x_6" localSheetId="48">'300'!$N$111:$N$120</definedName>
    <definedName name="OSRRefE21_0x_6" localSheetId="49">'300 &amp; 317'!$N$133:$N$142</definedName>
    <definedName name="OSRRefE21_0x_6" localSheetId="50">'301'!$N$19:$N$27</definedName>
    <definedName name="OSRRefE21_0x_6" localSheetId="52">'307'!$N$38:$N$45</definedName>
    <definedName name="OSRRefE21_0x_6" localSheetId="53">'308'!$N$53:$N$62</definedName>
    <definedName name="OSRRefE21_0x_6" localSheetId="64">'309'!$N$21:$N$28</definedName>
    <definedName name="OSRRefE21_0x_6" localSheetId="63">'310'!$N$26:$N$34</definedName>
    <definedName name="OSRRefE21_0x_6" localSheetId="71">'310 &amp; 491'!$N$31:$N$39</definedName>
    <definedName name="OSRRefE21_0x_6" localSheetId="54">'311'!$N$52:$N$61</definedName>
    <definedName name="OSRRefE21_0x_6" localSheetId="65">'313'!$N$20:$N$28</definedName>
    <definedName name="OSRRefE21_0x_6" localSheetId="57">'315'!$N$76:$N$84</definedName>
    <definedName name="OSRRefE21_0x_6" localSheetId="60">'316'!$N$29:$N$37</definedName>
    <definedName name="OSRRefE21_0x_6" localSheetId="62">'317'!$N$48:$N$57</definedName>
    <definedName name="OSRRefE21_0x_6" localSheetId="66">'321'!$N$22:$N$30</definedName>
    <definedName name="OSRRefE21_0x_6" localSheetId="67">'322'!$N$22:$N$29</definedName>
    <definedName name="OSRRefE21_0x_6" localSheetId="55">'324'!$N$26:$N$33</definedName>
    <definedName name="OSRRefE21_0x_6" localSheetId="68">'325'!$N$21:$N$28</definedName>
    <definedName name="OSRRefE21_0x_6" localSheetId="58">'326'!$N$43:$N$51</definedName>
    <definedName name="OSRRefE21_0x_6" localSheetId="69">'327'!$N$23</definedName>
    <definedName name="OSRRefE21_0x_6" localSheetId="51">'330'!$N$38:$N$45</definedName>
    <definedName name="OSRRefE21_0x_6" localSheetId="56">'331'!$N$76:$N$84</definedName>
    <definedName name="OSRRefE21_0x_6" localSheetId="59">'332'!$N$29:$N$37</definedName>
    <definedName name="OSRRefE21_0x_6" localSheetId="73">'405'!$N$22:$N$29</definedName>
    <definedName name="OSRRefE21_0x_6" localSheetId="74">'406'!$N$19</definedName>
    <definedName name="OSRRefE21_0x_6" localSheetId="75">'411'!$N$19:$N$27</definedName>
    <definedName name="OSRRefE21_0x_6" localSheetId="76">'412'!$N$21:$N$28</definedName>
    <definedName name="OSRRefE21_0x_6" localSheetId="77">'413'!$N$22:$N$30</definedName>
    <definedName name="OSRRefE21_0x_6" localSheetId="78">'414'!$N$23:$N$31</definedName>
    <definedName name="OSRRefE21_0x_6" localSheetId="79">'415'!$N$26:$N$34</definedName>
    <definedName name="OSRRefE21_0x_6" localSheetId="80">'418'!$N$22:$N$29</definedName>
    <definedName name="OSRRefE21_0x_6" localSheetId="82">'423'!$N$19:$N$26</definedName>
    <definedName name="OSRRefE21_0x_6" localSheetId="83">'424'!$N$19</definedName>
    <definedName name="OSRRefE21_0x_6" localSheetId="84">'425'!$N$19:$N$23</definedName>
    <definedName name="OSRRefE21_0x_6" localSheetId="87">'430'!$N$19:$N$27</definedName>
    <definedName name="OSRRefE21_0x_6" localSheetId="88">'433'!$N$26:$N$35</definedName>
    <definedName name="OSRRefE21_0x_6" localSheetId="89">'435'!$N$19</definedName>
    <definedName name="OSRRefE21_0x_6" localSheetId="90">'444'!$N$26:$N$35</definedName>
    <definedName name="OSRRefE21_0x_6" localSheetId="91">'450'!$N$22:$N$31</definedName>
    <definedName name="OSRRefE21_0x_6" localSheetId="72">'491'!$N$28:$N$36</definedName>
    <definedName name="OSRRefE21_0x_6" localSheetId="86">'492'!$N$26:$N$35</definedName>
    <definedName name="OSRRefE21_0x_6" localSheetId="93">'501'!$N$21:$N$30</definedName>
    <definedName name="OSRRefE21_0x_6" localSheetId="39">'Div 2'!$N$19:$N$29</definedName>
    <definedName name="OSRRefE21_0x_6" localSheetId="47">'Div 3'!$N$115:$N$124</definedName>
    <definedName name="OSRRefE21_0x_6" localSheetId="70">'Div 4'!$N$30:$N$39</definedName>
    <definedName name="OSRRefE21_0x_6" localSheetId="92">'Div 5'!$N$21:$N$30</definedName>
    <definedName name="OSRRefE21_0x_6" localSheetId="61">'Div 6'!$N$48:$N$57</definedName>
    <definedName name="OSRRefE21_0x_6" localSheetId="2">Summary!$N$142:$N$151</definedName>
    <definedName name="OSRRefE21_0x_7" localSheetId="40">'200'!$O$19</definedName>
    <definedName name="OSRRefE21_0x_7" localSheetId="41">'201'!$O$19:$O$27</definedName>
    <definedName name="OSRRefE21_0x_7" localSheetId="42">'202'!$O$19:$O$27</definedName>
    <definedName name="OSRRefE21_0x_7" localSheetId="43">'203'!$O$19:$O$28</definedName>
    <definedName name="OSRRefE21_0x_7" localSheetId="44">'204'!$O$19:$O$28</definedName>
    <definedName name="OSRRefE21_0x_7" localSheetId="45">'205'!$O$19:$O$27</definedName>
    <definedName name="OSRRefE21_0x_7" localSheetId="46">'206'!$O$19:$O$27</definedName>
    <definedName name="OSRRefE21_0x_7" localSheetId="48">'300'!$O$111:$O$120</definedName>
    <definedName name="OSRRefE21_0x_7" localSheetId="49">'300 &amp; 317'!$O$133:$O$142</definedName>
    <definedName name="OSRRefE21_0x_7" localSheetId="50">'301'!$O$19:$O$27</definedName>
    <definedName name="OSRRefE21_0x_7" localSheetId="52">'307'!$O$38:$O$45</definedName>
    <definedName name="OSRRefE21_0x_7" localSheetId="53">'308'!$O$53:$O$62</definedName>
    <definedName name="OSRRefE21_0x_7" localSheetId="64">'309'!$O$21:$O$28</definedName>
    <definedName name="OSRRefE21_0x_7" localSheetId="63">'310'!$O$26:$O$34</definedName>
    <definedName name="OSRRefE21_0x_7" localSheetId="71">'310 &amp; 491'!$O$31:$O$39</definedName>
    <definedName name="OSRRefE21_0x_7" localSheetId="54">'311'!$O$52:$O$61</definedName>
    <definedName name="OSRRefE21_0x_7" localSheetId="65">'313'!$O$20:$O$28</definedName>
    <definedName name="OSRRefE21_0x_7" localSheetId="57">'315'!$O$76:$O$84</definedName>
    <definedName name="OSRRefE21_0x_7" localSheetId="60">'316'!$O$29:$O$37</definedName>
    <definedName name="OSRRefE21_0x_7" localSheetId="62">'317'!$O$48:$O$57</definedName>
    <definedName name="OSRRefE21_0x_7" localSheetId="66">'321'!$O$22:$O$30</definedName>
    <definedName name="OSRRefE21_0x_7" localSheetId="67">'322'!$O$22:$O$29</definedName>
    <definedName name="OSRRefE21_0x_7" localSheetId="55">'324'!$O$26:$O$33</definedName>
    <definedName name="OSRRefE21_0x_7" localSheetId="68">'325'!$O$21:$O$28</definedName>
    <definedName name="OSRRefE21_0x_7" localSheetId="58">'326'!$O$43:$O$51</definedName>
    <definedName name="OSRRefE21_0x_7" localSheetId="69">'327'!$O$23</definedName>
    <definedName name="OSRRefE21_0x_7" localSheetId="51">'330'!$O$38:$O$45</definedName>
    <definedName name="OSRRefE21_0x_7" localSheetId="56">'331'!$O$76:$O$84</definedName>
    <definedName name="OSRRefE21_0x_7" localSheetId="59">'332'!$O$29:$O$37</definedName>
    <definedName name="OSRRefE21_0x_7" localSheetId="73">'405'!$O$22:$O$29</definedName>
    <definedName name="OSRRefE21_0x_7" localSheetId="74">'406'!$O$19</definedName>
    <definedName name="OSRRefE21_0x_7" localSheetId="75">'411'!$O$19:$O$27</definedName>
    <definedName name="OSRRefE21_0x_7" localSheetId="76">'412'!$O$21:$O$28</definedName>
    <definedName name="OSRRefE21_0x_7" localSheetId="77">'413'!$O$22:$O$30</definedName>
    <definedName name="OSRRefE21_0x_7" localSheetId="78">'414'!$O$23:$O$31</definedName>
    <definedName name="OSRRefE21_0x_7" localSheetId="79">'415'!$O$26:$O$34</definedName>
    <definedName name="OSRRefE21_0x_7" localSheetId="80">'418'!$O$22:$O$29</definedName>
    <definedName name="OSRRefE21_0x_7" localSheetId="82">'423'!$O$19:$O$26</definedName>
    <definedName name="OSRRefE21_0x_7" localSheetId="83">'424'!$O$19</definedName>
    <definedName name="OSRRefE21_0x_7" localSheetId="84">'425'!$O$19:$O$23</definedName>
    <definedName name="OSRRefE21_0x_7" localSheetId="87">'430'!$O$19:$O$27</definedName>
    <definedName name="OSRRefE21_0x_7" localSheetId="88">'433'!$O$26:$O$35</definedName>
    <definedName name="OSRRefE21_0x_7" localSheetId="89">'435'!$O$19</definedName>
    <definedName name="OSRRefE21_0x_7" localSheetId="90">'444'!$O$26:$O$35</definedName>
    <definedName name="OSRRefE21_0x_7" localSheetId="91">'450'!$O$22:$O$31</definedName>
    <definedName name="OSRRefE21_0x_7" localSheetId="72">'491'!$O$28:$O$36</definedName>
    <definedName name="OSRRefE21_0x_7" localSheetId="86">'492'!$O$26:$O$35</definedName>
    <definedName name="OSRRefE21_0x_7" localSheetId="93">'501'!$O$21:$O$30</definedName>
    <definedName name="OSRRefE21_0x_7" localSheetId="39">'Div 2'!$O$19:$O$29</definedName>
    <definedName name="OSRRefE21_0x_7" localSheetId="47">'Div 3'!$O$115:$O$124</definedName>
    <definedName name="OSRRefE21_0x_7" localSheetId="70">'Div 4'!$O$30:$O$39</definedName>
    <definedName name="OSRRefE21_0x_7" localSheetId="92">'Div 5'!$O$21:$O$30</definedName>
    <definedName name="OSRRefE21_0x_7" localSheetId="61">'Div 6'!$O$48:$O$57</definedName>
    <definedName name="OSRRefE21_0x_7" localSheetId="2">Summary!$O$142:$O$151</definedName>
    <definedName name="OSRRefE21_1_0x" localSheetId="40">'200'!$H$21:$O$21</definedName>
    <definedName name="OSRRefE21_1_0x" localSheetId="41">'201'!$H$29:$O$29</definedName>
    <definedName name="OSRRefE21_1_0x" localSheetId="42">'202'!$H$29:$O$29</definedName>
    <definedName name="OSRRefE21_1_0x" localSheetId="43">'203'!$H$30:$O$30</definedName>
    <definedName name="OSRRefE21_1_0x" localSheetId="44">'204'!$H$30:$O$30</definedName>
    <definedName name="OSRRefE21_1_0x" localSheetId="45">'205'!$H$29:$O$29</definedName>
    <definedName name="OSRRefE21_1_0x" localSheetId="46">'206'!$H$29:$O$29</definedName>
    <definedName name="OSRRefE21_1_0x" localSheetId="48">'300'!$H$122:$O$122</definedName>
    <definedName name="OSRRefE21_1_0x" localSheetId="49">'300 &amp; 317'!$H$144:$O$144</definedName>
    <definedName name="OSRRefE21_1_0x" localSheetId="50">'301'!$H$29:$O$29</definedName>
    <definedName name="OSRRefE21_1_0x" localSheetId="52">'307'!$H$47:$O$47</definedName>
    <definedName name="OSRRefE21_1_0x" localSheetId="53">'308'!$H$64:$O$64</definedName>
    <definedName name="OSRRefE21_1_0x" localSheetId="64">'309'!$H$30:$O$30</definedName>
    <definedName name="OSRRefE21_1_0x" localSheetId="63">'310'!$H$36:$O$36</definedName>
    <definedName name="OSRRefE21_1_0x" localSheetId="71">'310 &amp; 491'!$H$41:$O$41</definedName>
    <definedName name="OSRRefE21_1_0x" localSheetId="54">'311'!$H$63:$O$63</definedName>
    <definedName name="OSRRefE21_1_0x" localSheetId="65">'313'!$H$30:$O$30</definedName>
    <definedName name="OSRRefE21_1_0x" localSheetId="57">'315'!$H$86:$O$86</definedName>
    <definedName name="OSRRefE21_1_0x" localSheetId="60">'316'!$H$39:$O$39</definedName>
    <definedName name="OSRRefE21_1_0x" localSheetId="62">'317'!$H$59:$O$59</definedName>
    <definedName name="OSRRefE21_1_0x" localSheetId="66">'321'!$H$32:$O$32</definedName>
    <definedName name="OSRRefE21_1_0x" localSheetId="67">'322'!$H$31:$O$31</definedName>
    <definedName name="OSRRefE21_1_0x" localSheetId="55">'324'!$H$35:$O$35</definedName>
    <definedName name="OSRRefE21_1_0x" localSheetId="68">'325'!$H$30:$O$30</definedName>
    <definedName name="OSRRefE21_1_0x" localSheetId="58">'326'!$H$53:$O$53</definedName>
    <definedName name="OSRRefE21_1_0x" localSheetId="51">'330'!$H$47:$O$47</definedName>
    <definedName name="OSRRefE21_1_0x" localSheetId="56">'331'!$H$86:$O$86</definedName>
    <definedName name="OSRRefE21_1_0x" localSheetId="59">'332'!$H$39:$O$39</definedName>
    <definedName name="OSRRefE21_1_0x" localSheetId="73">'405'!$H$31:$O$31</definedName>
    <definedName name="OSRRefE21_1_0x" localSheetId="74">'406'!$H$21:$O$21</definedName>
    <definedName name="OSRRefE21_1_0x" localSheetId="75">'411'!$H$29:$O$29</definedName>
    <definedName name="OSRRefE21_1_0x" localSheetId="76">'412'!$H$30:$O$30</definedName>
    <definedName name="OSRRefE21_1_0x" localSheetId="77">'413'!$H$32:$O$32</definedName>
    <definedName name="OSRRefE21_1_0x" localSheetId="78">'414'!$H$33:$O$33</definedName>
    <definedName name="OSRRefE21_1_0x" localSheetId="79">'415'!$H$36:$O$36</definedName>
    <definedName name="OSRRefE21_1_0x" localSheetId="80">'418'!$H$31:$O$31</definedName>
    <definedName name="OSRRefE21_1_0x" localSheetId="82">'423'!$H$28:$O$28</definedName>
    <definedName name="OSRRefE21_1_0x" localSheetId="83">'424'!$H$21:$O$21</definedName>
    <definedName name="OSRRefE21_1_0x" localSheetId="84">'425'!$H$25:$O$25</definedName>
    <definedName name="OSRRefE21_1_0x" localSheetId="87">'430'!$H$29:$O$29</definedName>
    <definedName name="OSRRefE21_1_0x" localSheetId="88">'433'!$H$37:$O$37</definedName>
    <definedName name="OSRRefE21_1_0x" localSheetId="90">'444'!$H$37:$O$37</definedName>
    <definedName name="OSRRefE21_1_0x" localSheetId="91">'450'!$H$33:$O$33</definedName>
    <definedName name="OSRRefE21_1_0x" localSheetId="72">'491'!$H$38:$O$38</definedName>
    <definedName name="OSRRefE21_1_0x" localSheetId="86">'492'!$H$37:$O$37</definedName>
    <definedName name="OSRRefE21_1_0x" localSheetId="93">'501'!$H$32:$O$32</definedName>
    <definedName name="OSRRefE21_1_0x" localSheetId="39">'Div 2'!$H$31:$O$31</definedName>
    <definedName name="OSRRefE21_1_0x" localSheetId="47">'Div 3'!$H$126:$O$126</definedName>
    <definedName name="OSRRefE21_1_0x" localSheetId="70">'Div 4'!$H$41:$O$41</definedName>
    <definedName name="OSRRefE21_1_0x" localSheetId="92">'Div 5'!$H$32:$O$32</definedName>
    <definedName name="OSRRefE21_1_0x" localSheetId="61">'Div 6'!$H$59:$O$59</definedName>
    <definedName name="OSRRefE21_1_0x" localSheetId="2">Summary!$H$153:$O$153</definedName>
    <definedName name="OSRRefE21_1_1x" localSheetId="41">'201'!$H$30:$O$30</definedName>
    <definedName name="OSRRefE21_1_1x" localSheetId="42">'202'!$H$30:$O$30</definedName>
    <definedName name="OSRRefE21_1_1x" localSheetId="43">'203'!$H$31:$O$31</definedName>
    <definedName name="OSRRefE21_1_1x" localSheetId="44">'204'!$H$31:$O$31</definedName>
    <definedName name="OSRRefE21_1_1x" localSheetId="45">'205'!$H$30:$O$30</definedName>
    <definedName name="OSRRefE21_1_1x" localSheetId="46">'206'!$H$30:$O$30</definedName>
    <definedName name="OSRRefE21_1_1x" localSheetId="48">'300'!$H$123:$O$123</definedName>
    <definedName name="OSRRefE21_1_1x" localSheetId="49">'300 &amp; 317'!$H$145:$O$145</definedName>
    <definedName name="OSRRefE21_1_1x" localSheetId="50">'301'!$H$30:$O$30</definedName>
    <definedName name="OSRRefE21_1_1x" localSheetId="52">'307'!$H$48:$O$48</definedName>
    <definedName name="OSRRefE21_1_1x" localSheetId="53">'308'!$H$65:$O$65</definedName>
    <definedName name="OSRRefE21_1_1x" localSheetId="64">'309'!$H$31:$O$31</definedName>
    <definedName name="OSRRefE21_1_1x" localSheetId="63">'310'!$H$37:$O$37</definedName>
    <definedName name="OSRRefE21_1_1x" localSheetId="71">'310 &amp; 491'!$H$42:$O$42</definedName>
    <definedName name="OSRRefE21_1_1x" localSheetId="54">'311'!$H$64:$O$64</definedName>
    <definedName name="OSRRefE21_1_1x" localSheetId="65">'313'!$H$31:$O$31</definedName>
    <definedName name="OSRRefE21_1_1x" localSheetId="57">'315'!$H$87:$O$87</definedName>
    <definedName name="OSRRefE21_1_1x" localSheetId="60">'316'!$H$40:$O$40</definedName>
    <definedName name="OSRRefE21_1_1x" localSheetId="62">'317'!$H$60:$O$60</definedName>
    <definedName name="OSRRefE21_1_1x" localSheetId="66">'321'!$H$33:$O$33</definedName>
    <definedName name="OSRRefE21_1_1x" localSheetId="67">'322'!$H$32:$O$32</definedName>
    <definedName name="OSRRefE21_1_1x" localSheetId="55">'324'!$H$36:$O$36</definedName>
    <definedName name="OSRRefE21_1_1x" localSheetId="68">'325'!$H$31:$O$31</definedName>
    <definedName name="OSRRefE21_1_1x" localSheetId="58">'326'!$H$54:$O$54</definedName>
    <definedName name="OSRRefE21_1_1x" localSheetId="51">'330'!$H$48:$O$48</definedName>
    <definedName name="OSRRefE21_1_1x" localSheetId="56">'331'!$H$87:$O$87</definedName>
    <definedName name="OSRRefE21_1_1x" localSheetId="59">'332'!$H$40:$O$40</definedName>
    <definedName name="OSRRefE21_1_1x" localSheetId="73">'405'!$H$32:$O$32</definedName>
    <definedName name="OSRRefE21_1_1x" localSheetId="75">'411'!$H$30:$O$30</definedName>
    <definedName name="OSRRefE21_1_1x" localSheetId="76">'412'!$H$31:$O$31</definedName>
    <definedName name="OSRRefE21_1_1x" localSheetId="77">'413'!$H$33:$O$33</definedName>
    <definedName name="OSRRefE21_1_1x" localSheetId="78">'414'!$H$34:$O$34</definedName>
    <definedName name="OSRRefE21_1_1x" localSheetId="79">'415'!$H$37:$O$37</definedName>
    <definedName name="OSRRefE21_1_1x" localSheetId="80">'418'!$H$32:$O$32</definedName>
    <definedName name="OSRRefE21_1_1x" localSheetId="82">'423'!$H$29:$O$29</definedName>
    <definedName name="OSRRefE21_1_1x" localSheetId="87">'430'!$H$30:$O$30</definedName>
    <definedName name="OSRRefE21_1_1x" localSheetId="88">'433'!$H$38:$O$38</definedName>
    <definedName name="OSRRefE21_1_1x" localSheetId="90">'444'!$H$38:$O$38</definedName>
    <definedName name="OSRRefE21_1_1x" localSheetId="91">'450'!$H$34:$O$34</definedName>
    <definedName name="OSRRefE21_1_1x" localSheetId="72">'491'!$H$39:$O$39</definedName>
    <definedName name="OSRRefE21_1_1x" localSheetId="86">'492'!$H$38:$O$38</definedName>
    <definedName name="OSRRefE21_1_1x" localSheetId="93">'501'!$H$33:$O$33</definedName>
    <definedName name="OSRRefE21_1_1x" localSheetId="39">'Div 2'!$H$32:$O$32</definedName>
    <definedName name="OSRRefE21_1_1x" localSheetId="47">'Div 3'!$H$127:$O$127</definedName>
    <definedName name="OSRRefE21_1_1x" localSheetId="70">'Div 4'!$H$42:$O$42</definedName>
    <definedName name="OSRRefE21_1_1x" localSheetId="92">'Div 5'!$H$33:$O$33</definedName>
    <definedName name="OSRRefE21_1_1x" localSheetId="61">'Div 6'!$H$60:$O$60</definedName>
    <definedName name="OSRRefE21_1_1x" localSheetId="2">Summary!$H$154:$O$154</definedName>
    <definedName name="OSRRefE21_1_2x" localSheetId="41">'201'!$H$31:$O$31</definedName>
    <definedName name="OSRRefE21_1_2x" localSheetId="42">'202'!$H$31:$O$31</definedName>
    <definedName name="OSRRefE21_1_2x" localSheetId="43">'203'!$H$32:$O$32</definedName>
    <definedName name="OSRRefE21_1_2x" localSheetId="44">'204'!$H$32:$O$32</definedName>
    <definedName name="OSRRefE21_1_2x" localSheetId="45">'205'!$H$31:$O$31</definedName>
    <definedName name="OSRRefE21_1_2x" localSheetId="46">'206'!$H$31:$O$31</definedName>
    <definedName name="OSRRefE21_1_2x" localSheetId="48">'300'!$H$124:$O$124</definedName>
    <definedName name="OSRRefE21_1_2x" localSheetId="49">'300 &amp; 317'!$H$146:$O$146</definedName>
    <definedName name="OSRRefE21_1_2x" localSheetId="50">'301'!$H$31:$O$31</definedName>
    <definedName name="OSRRefE21_1_2x" localSheetId="52">'307'!$H$49:$O$49</definedName>
    <definedName name="OSRRefE21_1_2x" localSheetId="53">'308'!$H$66:$O$66</definedName>
    <definedName name="OSRRefE21_1_2x" localSheetId="64">'309'!$H$32:$O$32</definedName>
    <definedName name="OSRRefE21_1_2x" localSheetId="63">'310'!$H$38:$O$38</definedName>
    <definedName name="OSRRefE21_1_2x" localSheetId="71">'310 &amp; 491'!$H$43:$O$43</definedName>
    <definedName name="OSRRefE21_1_2x" localSheetId="54">'311'!$H$65:$O$65</definedName>
    <definedName name="OSRRefE21_1_2x" localSheetId="65">'313'!$H$32:$O$32</definedName>
    <definedName name="OSRRefE21_1_2x" localSheetId="57">'315'!$H$88:$O$88</definedName>
    <definedName name="OSRRefE21_1_2x" localSheetId="60">'316'!$H$41:$O$41</definedName>
    <definedName name="OSRRefE21_1_2x" localSheetId="62">'317'!$H$61:$O$61</definedName>
    <definedName name="OSRRefE21_1_2x" localSheetId="66">'321'!$H$34:$O$34</definedName>
    <definedName name="OSRRefE21_1_2x" localSheetId="67">'322'!$H$33:$O$33</definedName>
    <definedName name="OSRRefE21_1_2x" localSheetId="55">'324'!$H$37:$O$37</definedName>
    <definedName name="OSRRefE21_1_2x" localSheetId="68">'325'!$H$32:$O$32</definedName>
    <definedName name="OSRRefE21_1_2x" localSheetId="58">'326'!$H$55:$O$55</definedName>
    <definedName name="OSRRefE21_1_2x" localSheetId="51">'330'!$H$49:$O$49</definedName>
    <definedName name="OSRRefE21_1_2x" localSheetId="56">'331'!$H$88:$O$88</definedName>
    <definedName name="OSRRefE21_1_2x" localSheetId="59">'332'!$H$41:$O$41</definedName>
    <definedName name="OSRRefE21_1_2x" localSheetId="73">'405'!$H$33:$O$33</definedName>
    <definedName name="OSRRefE21_1_2x" localSheetId="75">'411'!$H$31:$O$31</definedName>
    <definedName name="OSRRefE21_1_2x" localSheetId="76">'412'!$H$32:$O$32</definedName>
    <definedName name="OSRRefE21_1_2x" localSheetId="77">'413'!$H$34:$O$34</definedName>
    <definedName name="OSRRefE21_1_2x" localSheetId="78">'414'!$H$35:$O$35</definedName>
    <definedName name="OSRRefE21_1_2x" localSheetId="79">'415'!$H$38:$O$38</definedName>
    <definedName name="OSRRefE21_1_2x" localSheetId="80">'418'!$H$33:$O$33</definedName>
    <definedName name="OSRRefE21_1_2x" localSheetId="82">'423'!$H$30:$O$30</definedName>
    <definedName name="OSRRefE21_1_2x" localSheetId="87">'430'!$H$31:$O$31</definedName>
    <definedName name="OSRRefE21_1_2x" localSheetId="88">'433'!$H$39:$O$39</definedName>
    <definedName name="OSRRefE21_1_2x" localSheetId="90">'444'!$H$39:$O$39</definedName>
    <definedName name="OSRRefE21_1_2x" localSheetId="91">'450'!$H$35:$O$35</definedName>
    <definedName name="OSRRefE21_1_2x" localSheetId="72">'491'!$H$40:$O$40</definedName>
    <definedName name="OSRRefE21_1_2x" localSheetId="86">'492'!$H$39:$O$39</definedName>
    <definedName name="OSRRefE21_1_2x" localSheetId="93">'501'!$H$34:$O$34</definedName>
    <definedName name="OSRRefE21_1_2x" localSheetId="39">'Div 2'!$H$33:$O$33</definedName>
    <definedName name="OSRRefE21_1_2x" localSheetId="47">'Div 3'!$H$128:$O$128</definedName>
    <definedName name="OSRRefE21_1_2x" localSheetId="70">'Div 4'!$H$43:$O$43</definedName>
    <definedName name="OSRRefE21_1_2x" localSheetId="92">'Div 5'!$H$34:$O$34</definedName>
    <definedName name="OSRRefE21_1_2x" localSheetId="61">'Div 6'!$H$61:$O$61</definedName>
    <definedName name="OSRRefE21_1_2x" localSheetId="2">Summary!$H$155:$O$155</definedName>
    <definedName name="OSRRefE21_1_3x" localSheetId="41">'201'!$H$32:$O$32</definedName>
    <definedName name="OSRRefE21_1_3x" localSheetId="42">'202'!$H$32:$O$32</definedName>
    <definedName name="OSRRefE21_1_3x" localSheetId="43">'203'!$H$33:$O$33</definedName>
    <definedName name="OSRRefE21_1_3x" localSheetId="44">'204'!$H$33:$O$33</definedName>
    <definedName name="OSRRefE21_1_3x" localSheetId="45">'205'!$H$32:$O$32</definedName>
    <definedName name="OSRRefE21_1_3x" localSheetId="46">'206'!$H$32:$O$32</definedName>
    <definedName name="OSRRefE21_1_3x" localSheetId="48">'300'!$H$125:$O$125</definedName>
    <definedName name="OSRRefE21_1_3x" localSheetId="49">'300 &amp; 317'!$H$147:$O$147</definedName>
    <definedName name="OSRRefE21_1_3x" localSheetId="50">'301'!$H$32:$O$32</definedName>
    <definedName name="OSRRefE21_1_3x" localSheetId="52">'307'!$H$50:$O$50</definedName>
    <definedName name="OSRRefE21_1_3x" localSheetId="53">'308'!$H$67:$O$67</definedName>
    <definedName name="OSRRefE21_1_3x" localSheetId="64">'309'!$H$33:$O$33</definedName>
    <definedName name="OSRRefE21_1_3x" localSheetId="63">'310'!$H$39:$O$39</definedName>
    <definedName name="OSRRefE21_1_3x" localSheetId="71">'310 &amp; 491'!$H$44:$O$44</definedName>
    <definedName name="OSRRefE21_1_3x" localSheetId="54">'311'!$H$66:$O$66</definedName>
    <definedName name="OSRRefE21_1_3x" localSheetId="65">'313'!$H$33:$O$33</definedName>
    <definedName name="OSRRefE21_1_3x" localSheetId="57">'315'!$H$89:$O$89</definedName>
    <definedName name="OSRRefE21_1_3x" localSheetId="60">'316'!$H$42:$O$42</definedName>
    <definedName name="OSRRefE21_1_3x" localSheetId="62">'317'!$H$62:$O$62</definedName>
    <definedName name="OSRRefE21_1_3x" localSheetId="66">'321'!$H$35:$O$35</definedName>
    <definedName name="OSRRefE21_1_3x" localSheetId="67">'322'!$H$34:$O$34</definedName>
    <definedName name="OSRRefE21_1_3x" localSheetId="55">'324'!$H$38:$O$38</definedName>
    <definedName name="OSRRefE21_1_3x" localSheetId="68">'325'!$H$33:$O$33</definedName>
    <definedName name="OSRRefE21_1_3x" localSheetId="58">'326'!$H$56:$O$56</definedName>
    <definedName name="OSRRefE21_1_3x" localSheetId="51">'330'!$H$50:$O$50</definedName>
    <definedName name="OSRRefE21_1_3x" localSheetId="56">'331'!$H$89:$O$89</definedName>
    <definedName name="OSRRefE21_1_3x" localSheetId="59">'332'!$H$42:$O$42</definedName>
    <definedName name="OSRRefE21_1_3x" localSheetId="73">'405'!$H$34:$O$34</definedName>
    <definedName name="OSRRefE21_1_3x" localSheetId="75">'411'!$H$32:$O$32</definedName>
    <definedName name="OSRRefE21_1_3x" localSheetId="76">'412'!$H$33:$O$33</definedName>
    <definedName name="OSRRefE21_1_3x" localSheetId="77">'413'!$H$35:$O$35</definedName>
    <definedName name="OSRRefE21_1_3x" localSheetId="78">'414'!$H$36:$O$36</definedName>
    <definedName name="OSRRefE21_1_3x" localSheetId="79">'415'!$H$39:$O$39</definedName>
    <definedName name="OSRRefE21_1_3x" localSheetId="80">'418'!$H$34:$O$34</definedName>
    <definedName name="OSRRefE21_1_3x" localSheetId="82">'423'!$H$31:$O$31</definedName>
    <definedName name="OSRRefE21_1_3x" localSheetId="87">'430'!$H$32:$O$32</definedName>
    <definedName name="OSRRefE21_1_3x" localSheetId="88">'433'!$H$40:$O$40</definedName>
    <definedName name="OSRRefE21_1_3x" localSheetId="90">'444'!$H$40:$O$40</definedName>
    <definedName name="OSRRefE21_1_3x" localSheetId="91">'450'!$H$36:$O$36</definedName>
    <definedName name="OSRRefE21_1_3x" localSheetId="72">'491'!$H$41:$O$41</definedName>
    <definedName name="OSRRefE21_1_3x" localSheetId="86">'492'!$H$40:$O$40</definedName>
    <definedName name="OSRRefE21_1_3x" localSheetId="93">'501'!$H$35:$O$35</definedName>
    <definedName name="OSRRefE21_1_3x" localSheetId="39">'Div 2'!$H$34:$O$34</definedName>
    <definedName name="OSRRefE21_1_3x" localSheetId="47">'Div 3'!$H$129:$O$129</definedName>
    <definedName name="OSRRefE21_1_3x" localSheetId="70">'Div 4'!$H$44:$O$44</definedName>
    <definedName name="OSRRefE21_1_3x" localSheetId="92">'Div 5'!$H$35:$O$35</definedName>
    <definedName name="OSRRefE21_1_3x" localSheetId="61">'Div 6'!$H$62:$O$62</definedName>
    <definedName name="OSRRefE21_1_3x" localSheetId="2">Summary!$H$156:$O$156</definedName>
    <definedName name="OSRRefE21_1_4x" localSheetId="41">'201'!$H$33:$O$33</definedName>
    <definedName name="OSRRefE21_1_4x" localSheetId="42">'202'!$H$33:$O$33</definedName>
    <definedName name="OSRRefE21_1_4x" localSheetId="43">'203'!$H$34:$O$34</definedName>
    <definedName name="OSRRefE21_1_4x" localSheetId="44">'204'!$H$34:$O$34</definedName>
    <definedName name="OSRRefE21_1_4x" localSheetId="45">'205'!$H$33:$O$33</definedName>
    <definedName name="OSRRefE21_1_4x" localSheetId="46">'206'!$H$33:$O$33</definedName>
    <definedName name="OSRRefE21_1_4x" localSheetId="48">'300'!$H$126:$O$126</definedName>
    <definedName name="OSRRefE21_1_4x" localSheetId="49">'300 &amp; 317'!$H$148:$O$148</definedName>
    <definedName name="OSRRefE21_1_4x" localSheetId="50">'301'!$H$33:$O$33</definedName>
    <definedName name="OSRRefE21_1_4x" localSheetId="52">'307'!$H$51:$O$51</definedName>
    <definedName name="OSRRefE21_1_4x" localSheetId="53">'308'!$H$68:$O$68</definedName>
    <definedName name="OSRRefE21_1_4x" localSheetId="64">'309'!$H$34:$O$34</definedName>
    <definedName name="OSRRefE21_1_4x" localSheetId="63">'310'!$H$40:$O$40</definedName>
    <definedName name="OSRRefE21_1_4x" localSheetId="71">'310 &amp; 491'!$H$45:$O$45</definedName>
    <definedName name="OSRRefE21_1_4x" localSheetId="54">'311'!$H$67:$O$67</definedName>
    <definedName name="OSRRefE21_1_4x" localSheetId="65">'313'!$H$34:$O$34</definedName>
    <definedName name="OSRRefE21_1_4x" localSheetId="57">'315'!$H$90:$O$90</definedName>
    <definedName name="OSRRefE21_1_4x" localSheetId="60">'316'!$H$43:$O$43</definedName>
    <definedName name="OSRRefE21_1_4x" localSheetId="62">'317'!$H$63:$O$63</definedName>
    <definedName name="OSRRefE21_1_4x" localSheetId="66">'321'!$H$36:$O$36</definedName>
    <definedName name="OSRRefE21_1_4x" localSheetId="67">'322'!$H$35:$O$35</definedName>
    <definedName name="OSRRefE21_1_4x" localSheetId="55">'324'!$H$39:$O$39</definedName>
    <definedName name="OSRRefE21_1_4x" localSheetId="68">'325'!$H$34:$O$34</definedName>
    <definedName name="OSRRefE21_1_4x" localSheetId="58">'326'!$H$57:$O$57</definedName>
    <definedName name="OSRRefE21_1_4x" localSheetId="51">'330'!$H$51:$O$51</definedName>
    <definedName name="OSRRefE21_1_4x" localSheetId="56">'331'!$H$90:$O$90</definedName>
    <definedName name="OSRRefE21_1_4x" localSheetId="59">'332'!$H$43:$O$43</definedName>
    <definedName name="OSRRefE21_1_4x" localSheetId="73">'405'!$H$35:$O$35</definedName>
    <definedName name="OSRRefE21_1_4x" localSheetId="75">'411'!$H$33:$O$33</definedName>
    <definedName name="OSRRefE21_1_4x" localSheetId="76">'412'!$H$34:$O$34</definedName>
    <definedName name="OSRRefE21_1_4x" localSheetId="77">'413'!$H$36:$O$36</definedName>
    <definedName name="OSRRefE21_1_4x" localSheetId="78">'414'!$H$37:$O$37</definedName>
    <definedName name="OSRRefE21_1_4x" localSheetId="79">'415'!$H$40:$O$40</definedName>
    <definedName name="OSRRefE21_1_4x" localSheetId="80">'418'!$H$35:$O$35</definedName>
    <definedName name="OSRRefE21_1_4x" localSheetId="82">'423'!$H$32:$O$32</definedName>
    <definedName name="OSRRefE21_1_4x" localSheetId="87">'430'!$H$33:$O$33</definedName>
    <definedName name="OSRRefE21_1_4x" localSheetId="88">'433'!$H$41:$O$41</definedName>
    <definedName name="OSRRefE21_1_4x" localSheetId="90">'444'!$H$41:$O$41</definedName>
    <definedName name="OSRRefE21_1_4x" localSheetId="91">'450'!$H$37:$O$37</definedName>
    <definedName name="OSRRefE21_1_4x" localSheetId="72">'491'!$H$42:$O$42</definedName>
    <definedName name="OSRRefE21_1_4x" localSheetId="86">'492'!$H$41:$O$41</definedName>
    <definedName name="OSRRefE21_1_4x" localSheetId="93">'501'!$H$36:$O$36</definedName>
    <definedName name="OSRRefE21_1_4x" localSheetId="39">'Div 2'!$H$35:$O$35</definedName>
    <definedName name="OSRRefE21_1_4x" localSheetId="47">'Div 3'!$H$130:$O$130</definedName>
    <definedName name="OSRRefE21_1_4x" localSheetId="70">'Div 4'!$H$45:$O$45</definedName>
    <definedName name="OSRRefE21_1_4x" localSheetId="92">'Div 5'!$H$36:$O$36</definedName>
    <definedName name="OSRRefE21_1_4x" localSheetId="61">'Div 6'!$H$63:$O$63</definedName>
    <definedName name="OSRRefE21_1_4x" localSheetId="2">Summary!$H$157:$O$157</definedName>
    <definedName name="OSRRefE21_1_5x" localSheetId="41">'201'!$H$34:$O$34</definedName>
    <definedName name="OSRRefE21_1_5x" localSheetId="42">'202'!$H$34:$O$34</definedName>
    <definedName name="OSRRefE21_1_5x" localSheetId="43">'203'!$H$35:$O$35</definedName>
    <definedName name="OSRRefE21_1_5x" localSheetId="44">'204'!$H$35:$O$35</definedName>
    <definedName name="OSRRefE21_1_5x" localSheetId="45">'205'!$H$34:$O$34</definedName>
    <definedName name="OSRRefE21_1_5x" localSheetId="46">'206'!$H$34:$O$34</definedName>
    <definedName name="OSRRefE21_1_5x" localSheetId="48">'300'!$H$127:$O$127</definedName>
    <definedName name="OSRRefE21_1_5x" localSheetId="49">'300 &amp; 317'!$H$149:$O$149</definedName>
    <definedName name="OSRRefE21_1_5x" localSheetId="50">'301'!$H$34:$O$34</definedName>
    <definedName name="OSRRefE21_1_5x" localSheetId="52">'307'!$H$52:$O$52</definedName>
    <definedName name="OSRRefE21_1_5x" localSheetId="53">'308'!$H$69:$O$69</definedName>
    <definedName name="OSRRefE21_1_5x" localSheetId="64">'309'!$H$35:$O$35</definedName>
    <definedName name="OSRRefE21_1_5x" localSheetId="63">'310'!$H$41:$O$41</definedName>
    <definedName name="OSRRefE21_1_5x" localSheetId="71">'310 &amp; 491'!$H$46:$O$46</definedName>
    <definedName name="OSRRefE21_1_5x" localSheetId="54">'311'!$H$68:$O$68</definedName>
    <definedName name="OSRRefE21_1_5x" localSheetId="65">'313'!$H$35:$O$35</definedName>
    <definedName name="OSRRefE21_1_5x" localSheetId="57">'315'!$H$91:$O$91</definedName>
    <definedName name="OSRRefE21_1_5x" localSheetId="60">'316'!$H$44:$O$44</definedName>
    <definedName name="OSRRefE21_1_5x" localSheetId="62">'317'!$H$64:$O$64</definedName>
    <definedName name="OSRRefE21_1_5x" localSheetId="66">'321'!$H$37:$O$37</definedName>
    <definedName name="OSRRefE21_1_5x" localSheetId="67">'322'!$H$36:$O$36</definedName>
    <definedName name="OSRRefE21_1_5x" localSheetId="55">'324'!$H$40:$O$40</definedName>
    <definedName name="OSRRefE21_1_5x" localSheetId="68">'325'!$H$35:$O$35</definedName>
    <definedName name="OSRRefE21_1_5x" localSheetId="58">'326'!$H$58:$O$58</definedName>
    <definedName name="OSRRefE21_1_5x" localSheetId="51">'330'!$H$52:$O$52</definedName>
    <definedName name="OSRRefE21_1_5x" localSheetId="56">'331'!$H$91:$O$91</definedName>
    <definedName name="OSRRefE21_1_5x" localSheetId="59">'332'!$H$44:$O$44</definedName>
    <definedName name="OSRRefE21_1_5x" localSheetId="73">'405'!$H$36:$O$36</definedName>
    <definedName name="OSRRefE21_1_5x" localSheetId="75">'411'!$H$34:$O$34</definedName>
    <definedName name="OSRRefE21_1_5x" localSheetId="76">'412'!$H$35:$O$35</definedName>
    <definedName name="OSRRefE21_1_5x" localSheetId="77">'413'!$H$37:$O$37</definedName>
    <definedName name="OSRRefE21_1_5x" localSheetId="78">'414'!$H$38:$O$38</definedName>
    <definedName name="OSRRefE21_1_5x" localSheetId="79">'415'!$H$41:$O$41</definedName>
    <definedName name="OSRRefE21_1_5x" localSheetId="80">'418'!$H$36:$O$36</definedName>
    <definedName name="OSRRefE21_1_5x" localSheetId="82">'423'!$H$33:$O$33</definedName>
    <definedName name="OSRRefE21_1_5x" localSheetId="87">'430'!$H$34:$O$34</definedName>
    <definedName name="OSRRefE21_1_5x" localSheetId="88">'433'!$H$42:$O$42</definedName>
    <definedName name="OSRRefE21_1_5x" localSheetId="90">'444'!$H$42:$O$42</definedName>
    <definedName name="OSRRefE21_1_5x" localSheetId="91">'450'!$H$38:$O$38</definedName>
    <definedName name="OSRRefE21_1_5x" localSheetId="72">'491'!$H$43:$O$43</definedName>
    <definedName name="OSRRefE21_1_5x" localSheetId="86">'492'!$H$42:$O$42</definedName>
    <definedName name="OSRRefE21_1_5x" localSheetId="93">'501'!$H$37:$O$37</definedName>
    <definedName name="OSRRefE21_1_5x" localSheetId="39">'Div 2'!$H$36:$O$36</definedName>
    <definedName name="OSRRefE21_1_5x" localSheetId="47">'Div 3'!$H$131:$O$131</definedName>
    <definedName name="OSRRefE21_1_5x" localSheetId="70">'Div 4'!$H$46:$O$46</definedName>
    <definedName name="OSRRefE21_1_5x" localSheetId="92">'Div 5'!$H$37:$O$37</definedName>
    <definedName name="OSRRefE21_1_5x" localSheetId="61">'Div 6'!$H$64:$O$64</definedName>
    <definedName name="OSRRefE21_1_5x" localSheetId="2">Summary!$H$158:$O$158</definedName>
    <definedName name="OSRRefE21_1_6x" localSheetId="41">'201'!$H$35:$O$35</definedName>
    <definedName name="OSRRefE21_1_6x" localSheetId="42">'202'!$H$35:$O$35</definedName>
    <definedName name="OSRRefE21_1_6x" localSheetId="43">'203'!$H$36:$O$36</definedName>
    <definedName name="OSRRefE21_1_6x" localSheetId="44">'204'!$H$36:$O$36</definedName>
    <definedName name="OSRRefE21_1_6x" localSheetId="45">'205'!$H$35:$O$35</definedName>
    <definedName name="OSRRefE21_1_6x" localSheetId="46">'206'!$H$35:$O$35</definedName>
    <definedName name="OSRRefE21_1_6x" localSheetId="48">'300'!$H$128:$O$128</definedName>
    <definedName name="OSRRefE21_1_6x" localSheetId="49">'300 &amp; 317'!$H$150:$O$150</definedName>
    <definedName name="OSRRefE21_1_6x" localSheetId="50">'301'!$H$35:$O$35</definedName>
    <definedName name="OSRRefE21_1_6x" localSheetId="52">'307'!$H$53:$O$53</definedName>
    <definedName name="OSRRefE21_1_6x" localSheetId="53">'308'!$H$70:$O$70</definedName>
    <definedName name="OSRRefE21_1_6x" localSheetId="64">'309'!$H$36:$O$36</definedName>
    <definedName name="OSRRefE21_1_6x" localSheetId="63">'310'!$H$42:$O$42</definedName>
    <definedName name="OSRRefE21_1_6x" localSheetId="71">'310 &amp; 491'!$H$47:$O$47</definedName>
    <definedName name="OSRRefE21_1_6x" localSheetId="54">'311'!$H$69:$O$69</definedName>
    <definedName name="OSRRefE21_1_6x" localSheetId="65">'313'!$H$36:$O$36</definedName>
    <definedName name="OSRRefE21_1_6x" localSheetId="57">'315'!$H$92:$O$92</definedName>
    <definedName name="OSRRefE21_1_6x" localSheetId="60">'316'!$H$45:$O$45</definedName>
    <definedName name="OSRRefE21_1_6x" localSheetId="62">'317'!$H$65:$O$65</definedName>
    <definedName name="OSRRefE21_1_6x" localSheetId="66">'321'!$H$38:$O$38</definedName>
    <definedName name="OSRRefE21_1_6x" localSheetId="67">'322'!$H$37:$O$37</definedName>
    <definedName name="OSRRefE21_1_6x" localSheetId="55">'324'!$H$41:$O$41</definedName>
    <definedName name="OSRRefE21_1_6x" localSheetId="68">'325'!$H$36:$O$36</definedName>
    <definedName name="OSRRefE21_1_6x" localSheetId="58">'326'!$H$59:$O$59</definedName>
    <definedName name="OSRRefE21_1_6x" localSheetId="51">'330'!$H$53:$O$53</definedName>
    <definedName name="OSRRefE21_1_6x" localSheetId="56">'331'!$H$92:$O$92</definedName>
    <definedName name="OSRRefE21_1_6x" localSheetId="59">'332'!$H$45:$O$45</definedName>
    <definedName name="OSRRefE21_1_6x" localSheetId="73">'405'!$H$37:$O$37</definedName>
    <definedName name="OSRRefE21_1_6x" localSheetId="75">'411'!$H$35:$O$35</definedName>
    <definedName name="OSRRefE21_1_6x" localSheetId="76">'412'!$H$36:$O$36</definedName>
    <definedName name="OSRRefE21_1_6x" localSheetId="77">'413'!$H$38:$O$38</definedName>
    <definedName name="OSRRefE21_1_6x" localSheetId="78">'414'!$H$39:$O$39</definedName>
    <definedName name="OSRRefE21_1_6x" localSheetId="79">'415'!$H$42:$O$42</definedName>
    <definedName name="OSRRefE21_1_6x" localSheetId="80">'418'!$H$37:$O$37</definedName>
    <definedName name="OSRRefE21_1_6x" localSheetId="82">'423'!$H$34:$O$34</definedName>
    <definedName name="OSRRefE21_1_6x" localSheetId="87">'430'!$H$35:$O$35</definedName>
    <definedName name="OSRRefE21_1_6x" localSheetId="88">'433'!$H$43:$O$43</definedName>
    <definedName name="OSRRefE21_1_6x" localSheetId="90">'444'!$H$43:$O$43</definedName>
    <definedName name="OSRRefE21_1_6x" localSheetId="91">'450'!$H$39:$O$39</definedName>
    <definedName name="OSRRefE21_1_6x" localSheetId="72">'491'!$H$44:$O$44</definedName>
    <definedName name="OSRRefE21_1_6x" localSheetId="86">'492'!$H$43:$O$43</definedName>
    <definedName name="OSRRefE21_1_6x" localSheetId="93">'501'!$H$38:$O$38</definedName>
    <definedName name="OSRRefE21_1_6x" localSheetId="39">'Div 2'!$H$37:$O$37</definedName>
    <definedName name="OSRRefE21_1_6x" localSheetId="47">'Div 3'!$H$132:$O$132</definedName>
    <definedName name="OSRRefE21_1_6x" localSheetId="70">'Div 4'!$H$47:$O$47</definedName>
    <definedName name="OSRRefE21_1_6x" localSheetId="92">'Div 5'!$H$38:$O$38</definedName>
    <definedName name="OSRRefE21_1_6x" localSheetId="61">'Div 6'!$H$65:$O$65</definedName>
    <definedName name="OSRRefE21_1_6x" localSheetId="2">Summary!$H$159:$O$159</definedName>
    <definedName name="OSRRefE21_1_7x" localSheetId="41">'201'!$H$36:$O$36</definedName>
    <definedName name="OSRRefE21_1_7x" localSheetId="42">'202'!$H$36:$O$36</definedName>
    <definedName name="OSRRefE21_1_7x" localSheetId="43">'203'!$H$37:$O$37</definedName>
    <definedName name="OSRRefE21_1_7x" localSheetId="44">'204'!$H$37:$O$37</definedName>
    <definedName name="OSRRefE21_1_7x" localSheetId="45">'205'!$H$36:$O$36</definedName>
    <definedName name="OSRRefE21_1_7x" localSheetId="46">'206'!$H$36:$O$36</definedName>
    <definedName name="OSRRefE21_1_7x" localSheetId="48">'300'!$H$129:$O$129</definedName>
    <definedName name="OSRRefE21_1_7x" localSheetId="49">'300 &amp; 317'!$H$151:$O$151</definedName>
    <definedName name="OSRRefE21_1_7x" localSheetId="50">'301'!$H$36:$O$36</definedName>
    <definedName name="OSRRefE21_1_7x" localSheetId="52">'307'!$H$54:$O$54</definedName>
    <definedName name="OSRRefE21_1_7x" localSheetId="53">'308'!$H$71:$O$71</definedName>
    <definedName name="OSRRefE21_1_7x" localSheetId="64">'309'!$H$37:$O$37</definedName>
    <definedName name="OSRRefE21_1_7x" localSheetId="63">'310'!$H$43:$O$43</definedName>
    <definedName name="OSRRefE21_1_7x" localSheetId="71">'310 &amp; 491'!$H$48:$O$48</definedName>
    <definedName name="OSRRefE21_1_7x" localSheetId="54">'311'!$H$70:$O$70</definedName>
    <definedName name="OSRRefE21_1_7x" localSheetId="65">'313'!$H$37:$O$37</definedName>
    <definedName name="OSRRefE21_1_7x" localSheetId="57">'315'!$H$93:$O$93</definedName>
    <definedName name="OSRRefE21_1_7x" localSheetId="60">'316'!$H$46:$O$46</definedName>
    <definedName name="OSRRefE21_1_7x" localSheetId="62">'317'!$H$66:$O$66</definedName>
    <definedName name="OSRRefE21_1_7x" localSheetId="66">'321'!$H$39:$O$39</definedName>
    <definedName name="OSRRefE21_1_7x" localSheetId="67">'322'!$H$38:$O$38</definedName>
    <definedName name="OSRRefE21_1_7x" localSheetId="55">'324'!$H$42:$O$42</definedName>
    <definedName name="OSRRefE21_1_7x" localSheetId="68">'325'!$H$37:$O$37</definedName>
    <definedName name="OSRRefE21_1_7x" localSheetId="58">'326'!$H$60:$O$60</definedName>
    <definedName name="OSRRefE21_1_7x" localSheetId="51">'330'!$H$54:$O$54</definedName>
    <definedName name="OSRRefE21_1_7x" localSheetId="56">'331'!$H$93:$O$93</definedName>
    <definedName name="OSRRefE21_1_7x" localSheetId="59">'332'!$H$46:$O$46</definedName>
    <definedName name="OSRRefE21_1_7x" localSheetId="73">'405'!$H$38:$O$38</definedName>
    <definedName name="OSRRefE21_1_7x" localSheetId="75">'411'!$H$36:$O$36</definedName>
    <definedName name="OSRRefE21_1_7x" localSheetId="76">'412'!$H$37:$O$37</definedName>
    <definedName name="OSRRefE21_1_7x" localSheetId="77">'413'!$H$39:$O$39</definedName>
    <definedName name="OSRRefE21_1_7x" localSheetId="78">'414'!$H$40:$O$40</definedName>
    <definedName name="OSRRefE21_1_7x" localSheetId="79">'415'!$H$43:$O$43</definedName>
    <definedName name="OSRRefE21_1_7x" localSheetId="80">'418'!$H$38:$O$38</definedName>
    <definedName name="OSRRefE21_1_7x" localSheetId="82">'423'!$H$35:$O$35</definedName>
    <definedName name="OSRRefE21_1_7x" localSheetId="87">'430'!$H$36:$O$36</definedName>
    <definedName name="OSRRefE21_1_7x" localSheetId="88">'433'!$H$44:$O$44</definedName>
    <definedName name="OSRRefE21_1_7x" localSheetId="90">'444'!$H$44:$O$44</definedName>
    <definedName name="OSRRefE21_1_7x" localSheetId="91">'450'!$H$40:$O$40</definedName>
    <definedName name="OSRRefE21_1_7x" localSheetId="72">'491'!$H$45:$O$45</definedName>
    <definedName name="OSRRefE21_1_7x" localSheetId="86">'492'!$H$44:$O$44</definedName>
    <definedName name="OSRRefE21_1_7x" localSheetId="93">'501'!$H$39:$O$39</definedName>
    <definedName name="OSRRefE21_1_7x" localSheetId="39">'Div 2'!$H$38:$O$38</definedName>
    <definedName name="OSRRefE21_1_7x" localSheetId="47">'Div 3'!$H$133:$O$133</definedName>
    <definedName name="OSRRefE21_1_7x" localSheetId="70">'Div 4'!$H$48:$O$48</definedName>
    <definedName name="OSRRefE21_1_7x" localSheetId="92">'Div 5'!$H$39:$O$39</definedName>
    <definedName name="OSRRefE21_1_7x" localSheetId="61">'Div 6'!$H$66:$O$66</definedName>
    <definedName name="OSRRefE21_1_7x" localSheetId="2">Summary!$H$160:$O$160</definedName>
    <definedName name="OSRRefE21_1_8x" localSheetId="41">'201'!$H$37:$O$37</definedName>
    <definedName name="OSRRefE21_1_8x" localSheetId="42">'202'!$H$37:$O$37</definedName>
    <definedName name="OSRRefE21_1_8x" localSheetId="43">'203'!$H$38:$O$38</definedName>
    <definedName name="OSRRefE21_1_8x" localSheetId="44">'204'!$H$38:$O$38</definedName>
    <definedName name="OSRRefE21_1_8x" localSheetId="45">'205'!$H$37:$O$37</definedName>
    <definedName name="OSRRefE21_1_8x" localSheetId="46">'206'!$H$37:$O$37</definedName>
    <definedName name="OSRRefE21_1_8x" localSheetId="48">'300'!$H$130:$O$130</definedName>
    <definedName name="OSRRefE21_1_8x" localSheetId="49">'300 &amp; 317'!$H$152:$O$152</definedName>
    <definedName name="OSRRefE21_1_8x" localSheetId="50">'301'!$H$37:$O$37</definedName>
    <definedName name="OSRRefE21_1_8x" localSheetId="52">'307'!$H$55:$O$55</definedName>
    <definedName name="OSRRefE21_1_8x" localSheetId="53">'308'!$H$72:$O$72</definedName>
    <definedName name="OSRRefE21_1_8x" localSheetId="64">'309'!$H$38:$O$38</definedName>
    <definedName name="OSRRefE21_1_8x" localSheetId="63">'310'!$H$44:$O$44</definedName>
    <definedName name="OSRRefE21_1_8x" localSheetId="71">'310 &amp; 491'!$H$49:$O$49</definedName>
    <definedName name="OSRRefE21_1_8x" localSheetId="54">'311'!$H$71:$O$71</definedName>
    <definedName name="OSRRefE21_1_8x" localSheetId="65">'313'!$H$38:$O$38</definedName>
    <definedName name="OSRRefE21_1_8x" localSheetId="57">'315'!$H$94:$O$94</definedName>
    <definedName name="OSRRefE21_1_8x" localSheetId="60">'316'!$H$47:$O$47</definedName>
    <definedName name="OSRRefE21_1_8x" localSheetId="62">'317'!$H$67:$O$67</definedName>
    <definedName name="OSRRefE21_1_8x" localSheetId="66">'321'!$H$40:$O$40</definedName>
    <definedName name="OSRRefE21_1_8x" localSheetId="67">'322'!$H$39:$O$39</definedName>
    <definedName name="OSRRefE21_1_8x" localSheetId="55">'324'!$H$43:$O$43</definedName>
    <definedName name="OSRRefE21_1_8x" localSheetId="68">'325'!$H$38:$O$38</definedName>
    <definedName name="OSRRefE21_1_8x" localSheetId="58">'326'!$H$61:$O$61</definedName>
    <definedName name="OSRRefE21_1_8x" localSheetId="51">'330'!$H$55:$O$55</definedName>
    <definedName name="OSRRefE21_1_8x" localSheetId="56">'331'!$H$94:$O$94</definedName>
    <definedName name="OSRRefE21_1_8x" localSheetId="59">'332'!$H$47:$O$47</definedName>
    <definedName name="OSRRefE21_1_8x" localSheetId="73">'405'!$H$39:$O$39</definedName>
    <definedName name="OSRRefE21_1_8x" localSheetId="75">'411'!$H$37:$O$37</definedName>
    <definedName name="OSRRefE21_1_8x" localSheetId="76">'412'!$H$38:$O$38</definedName>
    <definedName name="OSRRefE21_1_8x" localSheetId="77">'413'!$H$40:$O$40</definedName>
    <definedName name="OSRRefE21_1_8x" localSheetId="78">'414'!$H$41:$O$41</definedName>
    <definedName name="OSRRefE21_1_8x" localSheetId="79">'415'!$H$44:$O$44</definedName>
    <definedName name="OSRRefE21_1_8x" localSheetId="80">'418'!$H$39:$O$39</definedName>
    <definedName name="OSRRefE21_1_8x" localSheetId="82">'423'!$H$36:$O$36</definedName>
    <definedName name="OSRRefE21_1_8x" localSheetId="87">'430'!$H$37:$O$37</definedName>
    <definedName name="OSRRefE21_1_8x" localSheetId="88">'433'!$H$45:$O$45</definedName>
    <definedName name="OSRRefE21_1_8x" localSheetId="90">'444'!$H$45:$O$45</definedName>
    <definedName name="OSRRefE21_1_8x" localSheetId="91">'450'!$H$41:$O$41</definedName>
    <definedName name="OSRRefE21_1_8x" localSheetId="72">'491'!$H$46:$O$46</definedName>
    <definedName name="OSRRefE21_1_8x" localSheetId="86">'492'!$H$45:$O$45</definedName>
    <definedName name="OSRRefE21_1_8x" localSheetId="93">'501'!$H$40:$O$40</definedName>
    <definedName name="OSRRefE21_1_8x" localSheetId="39">'Div 2'!$H$39:$O$39</definedName>
    <definedName name="OSRRefE21_1_8x" localSheetId="47">'Div 3'!$H$134:$O$134</definedName>
    <definedName name="OSRRefE21_1_8x" localSheetId="70">'Div 4'!$H$49:$O$49</definedName>
    <definedName name="OSRRefE21_1_8x" localSheetId="92">'Div 5'!$H$40:$O$40</definedName>
    <definedName name="OSRRefE21_1_8x" localSheetId="61">'Div 6'!$H$67:$O$67</definedName>
    <definedName name="OSRRefE21_1_8x" localSheetId="2">Summary!$H$161:$O$161</definedName>
    <definedName name="OSRRefE21_1_9x" localSheetId="41">'201'!$H$38:$O$38</definedName>
    <definedName name="OSRRefE21_1_9x" localSheetId="42">'202'!$H$38:$O$38</definedName>
    <definedName name="OSRRefE21_1_9x" localSheetId="43">'203'!$H$39:$O$39</definedName>
    <definedName name="OSRRefE21_1_9x" localSheetId="44">'204'!$H$39:$O$39</definedName>
    <definedName name="OSRRefE21_1_9x" localSheetId="45">'205'!$H$38:$O$38</definedName>
    <definedName name="OSRRefE21_1_9x" localSheetId="46">'206'!$H$38:$O$38</definedName>
    <definedName name="OSRRefE21_1_9x" localSheetId="48">'300'!$H$131:$O$131</definedName>
    <definedName name="OSRRefE21_1_9x" localSheetId="49">'300 &amp; 317'!$H$153:$O$153</definedName>
    <definedName name="OSRRefE21_1_9x" localSheetId="50">'301'!$H$38:$O$38</definedName>
    <definedName name="OSRRefE21_1_9x" localSheetId="52">'307'!$H$56:$O$56</definedName>
    <definedName name="OSRRefE21_1_9x" localSheetId="53">'308'!$H$73:$O$73</definedName>
    <definedName name="OSRRefE21_1_9x" localSheetId="64">'309'!$H$39:$O$39</definedName>
    <definedName name="OSRRefE21_1_9x" localSheetId="63">'310'!$H$45:$O$45</definedName>
    <definedName name="OSRRefE21_1_9x" localSheetId="71">'310 &amp; 491'!$H$50:$O$50</definedName>
    <definedName name="OSRRefE21_1_9x" localSheetId="54">'311'!$H$72:$O$72</definedName>
    <definedName name="OSRRefE21_1_9x" localSheetId="65">'313'!$H$39:$O$39</definedName>
    <definedName name="OSRRefE21_1_9x" localSheetId="57">'315'!$H$95:$O$95</definedName>
    <definedName name="OSRRefE21_1_9x" localSheetId="60">'316'!$H$48:$O$48</definedName>
    <definedName name="OSRRefE21_1_9x" localSheetId="62">'317'!$H$68:$O$68</definedName>
    <definedName name="OSRRefE21_1_9x" localSheetId="66">'321'!$H$41:$O$41</definedName>
    <definedName name="OSRRefE21_1_9x" localSheetId="67">'322'!$H$40:$O$40</definedName>
    <definedName name="OSRRefE21_1_9x" localSheetId="55">'324'!$H$44:$O$44</definedName>
    <definedName name="OSRRefE21_1_9x" localSheetId="68">'325'!$H$39:$O$39</definedName>
    <definedName name="OSRRefE21_1_9x" localSheetId="58">'326'!$H$62:$O$62</definedName>
    <definedName name="OSRRefE21_1_9x" localSheetId="51">'330'!$H$56:$O$56</definedName>
    <definedName name="OSRRefE21_1_9x" localSheetId="56">'331'!$H$95:$O$95</definedName>
    <definedName name="OSRRefE21_1_9x" localSheetId="59">'332'!$H$48:$O$48</definedName>
    <definedName name="OSRRefE21_1_9x" localSheetId="73">'405'!$H$40:$O$40</definedName>
    <definedName name="OSRRefE21_1_9x" localSheetId="75">'411'!$H$38:$O$38</definedName>
    <definedName name="OSRRefE21_1_9x" localSheetId="76">'412'!$H$39:$O$39</definedName>
    <definedName name="OSRRefE21_1_9x" localSheetId="77">'413'!$H$41:$O$41</definedName>
    <definedName name="OSRRefE21_1_9x" localSheetId="78">'414'!$H$42:$O$42</definedName>
    <definedName name="OSRRefE21_1_9x" localSheetId="79">'415'!$H$45:$O$45</definedName>
    <definedName name="OSRRefE21_1_9x" localSheetId="80">'418'!$H$40:$O$40</definedName>
    <definedName name="OSRRefE21_1_9x" localSheetId="82">'423'!$H$37:$O$37</definedName>
    <definedName name="OSRRefE21_1_9x" localSheetId="87">'430'!$H$38:$O$38</definedName>
    <definedName name="OSRRefE21_1_9x" localSheetId="88">'433'!$H$46:$O$46</definedName>
    <definedName name="OSRRefE21_1_9x" localSheetId="90">'444'!$H$46:$O$46</definedName>
    <definedName name="OSRRefE21_1_9x" localSheetId="91">'450'!$H$42:$O$42</definedName>
    <definedName name="OSRRefE21_1_9x" localSheetId="72">'491'!$H$47:$O$47</definedName>
    <definedName name="OSRRefE21_1_9x" localSheetId="86">'492'!$H$46:$O$46</definedName>
    <definedName name="OSRRefE21_1_9x" localSheetId="93">'501'!$H$41:$O$41</definedName>
    <definedName name="OSRRefE21_1_9x" localSheetId="39">'Div 2'!$H$40:$O$40</definedName>
    <definedName name="OSRRefE21_1_9x" localSheetId="47">'Div 3'!$H$135:$O$135</definedName>
    <definedName name="OSRRefE21_1_9x" localSheetId="70">'Div 4'!$H$50:$O$50</definedName>
    <definedName name="OSRRefE21_1_9x" localSheetId="92">'Div 5'!$H$41:$O$41</definedName>
    <definedName name="OSRRefE21_1_9x" localSheetId="61">'Div 6'!$H$68:$O$68</definedName>
    <definedName name="OSRRefE21_1_9x" localSheetId="2">Summary!$H$162:$O$162</definedName>
    <definedName name="OSRRefE21_10_0x" localSheetId="41">'201'!$H$57:$O$57</definedName>
    <definedName name="OSRRefE21_10_0x" localSheetId="42">'202'!$H$59:$O$59</definedName>
    <definedName name="OSRRefE21_10_0x" localSheetId="43">'203'!$H$59:$O$59</definedName>
    <definedName name="OSRRefE21_10_0x" localSheetId="48">'300'!$H$152:$O$152</definedName>
    <definedName name="OSRRefE21_10_0x" localSheetId="49">'300 &amp; 317'!$H$174:$O$174</definedName>
    <definedName name="OSRRefE21_10_0x" localSheetId="50">'301'!$H$58:$O$58</definedName>
    <definedName name="OSRRefE21_10_0x" localSheetId="52">'307'!$H$78:$O$78</definedName>
    <definedName name="OSRRefE21_10_0x" localSheetId="53">'308'!$H$94:$O$94</definedName>
    <definedName name="OSRRefE21_10_0x" localSheetId="63">'310'!$H$64:$O$64</definedName>
    <definedName name="OSRRefE21_10_0x" localSheetId="71">'310 &amp; 491'!$H$71:$O$71</definedName>
    <definedName name="OSRRefE21_10_0x" localSheetId="54">'311'!$H$93:$O$93</definedName>
    <definedName name="OSRRefE21_10_0x" localSheetId="57">'315'!$H$114:$O$114</definedName>
    <definedName name="OSRRefE21_10_0x" localSheetId="60">'316'!$H$72:$O$72</definedName>
    <definedName name="OSRRefE21_10_0x" localSheetId="62">'317'!$H$87:$O$87</definedName>
    <definedName name="OSRRefE21_10_0x" localSheetId="66">'321'!$H$62:$O$62</definedName>
    <definedName name="OSRRefE21_10_0x" localSheetId="67">'322'!$H$63:$O$63</definedName>
    <definedName name="OSRRefE21_10_0x" localSheetId="68">'325'!$H$58:$O$58</definedName>
    <definedName name="OSRRefE21_10_0x" localSheetId="58">'326'!$H$80:$O$80</definedName>
    <definedName name="OSRRefE21_10_0x" localSheetId="51">'330'!$H$78:$O$78</definedName>
    <definedName name="OSRRefE21_10_0x" localSheetId="56">'331'!$H$114:$O$114</definedName>
    <definedName name="OSRRefE21_10_0x" localSheetId="59">'332'!$H$72:$O$72</definedName>
    <definedName name="OSRRefE21_10_0x" localSheetId="73">'405'!$H$60:$O$60</definedName>
    <definedName name="OSRRefE21_10_0x" localSheetId="75">'411'!$H$58:$O$58</definedName>
    <definedName name="OSRRefE21_10_0x" localSheetId="76">'412'!$H$59:$O$59</definedName>
    <definedName name="OSRRefE21_10_0x" localSheetId="77">'413'!$H$62:$O$62</definedName>
    <definedName name="OSRRefE21_10_0x" localSheetId="78">'414'!$H$61:$O$61</definedName>
    <definedName name="OSRRefE21_10_0x" localSheetId="79">'415'!$H$64:$O$64</definedName>
    <definedName name="OSRRefE21_10_0x" localSheetId="80">'418'!$H$61:$O$61</definedName>
    <definedName name="OSRRefE21_10_0x" localSheetId="88">'433'!$H$64:$O$64</definedName>
    <definedName name="OSRRefE21_10_0x" localSheetId="90">'444'!$H$64:$O$64</definedName>
    <definedName name="OSRRefE21_10_0x" localSheetId="91">'450'!$H$60:$O$60</definedName>
    <definedName name="OSRRefE21_10_0x" localSheetId="72">'491'!$H$67:$O$67</definedName>
    <definedName name="OSRRefE21_10_0x" localSheetId="86">'492'!$H$64:$O$64</definedName>
    <definedName name="OSRRefE21_10_0x" localSheetId="93">'501'!$H$62:$O$62</definedName>
    <definedName name="OSRRefE21_10_0x" localSheetId="39">'Div 2'!$H$60:$O$60</definedName>
    <definedName name="OSRRefE21_10_0x" localSheetId="47">'Div 3'!$H$156:$O$156</definedName>
    <definedName name="OSRRefE21_10_0x" localSheetId="70">'Div 4'!$H$70:$O$70</definedName>
    <definedName name="OSRRefE21_10_0x" localSheetId="92">'Div 5'!$H$62:$O$62</definedName>
    <definedName name="OSRRefE21_10_0x" localSheetId="61">'Div 6'!$H$87:$O$87</definedName>
    <definedName name="OSRRefE21_10_0x" localSheetId="2">Summary!$H$184:$O$184</definedName>
    <definedName name="OSRRefE21_10_1x" localSheetId="41">'201'!$H$58:$O$58</definedName>
    <definedName name="OSRRefE21_10_1x" localSheetId="48">'300'!$H$153:$O$153</definedName>
    <definedName name="OSRRefE21_10_1x" localSheetId="49">'300 &amp; 317'!$H$175:$O$175</definedName>
    <definedName name="OSRRefE21_10_1x" localSheetId="52">'307'!$H$79:$O$79</definedName>
    <definedName name="OSRRefE21_10_1x" localSheetId="53">'308'!$H$95:$O$95</definedName>
    <definedName name="OSRRefE21_10_1x" localSheetId="54">'311'!$H$94:$O$94</definedName>
    <definedName name="OSRRefE21_10_1x" localSheetId="62">'317'!$H$88:$O$88</definedName>
    <definedName name="OSRRefE21_10_1x" localSheetId="66">'321'!$H$63:$O$63</definedName>
    <definedName name="OSRRefE21_10_1x" localSheetId="51">'330'!$H$79:$O$79</definedName>
    <definedName name="OSRRefE21_10_1x" localSheetId="75">'411'!$H$59:$O$59</definedName>
    <definedName name="OSRRefE21_10_1x" localSheetId="76">'412'!$H$60:$O$60</definedName>
    <definedName name="OSRRefE21_10_1x" localSheetId="77">'413'!$H$63:$O$63</definedName>
    <definedName name="OSRRefE21_10_1x" localSheetId="80">'418'!$H$62:$O$62</definedName>
    <definedName name="OSRRefE21_10_1x" localSheetId="47">'Div 3'!$H$157:$O$157</definedName>
    <definedName name="OSRRefE21_10_1x" localSheetId="61">'Div 6'!$H$88:$O$88</definedName>
    <definedName name="OSRRefE21_10_1x" localSheetId="2">Summary!$H$185:$O$185</definedName>
    <definedName name="OSRRefE21_10_2x" localSheetId="41">'201'!$H$59:$O$59</definedName>
    <definedName name="OSRRefE21_10_2x" localSheetId="52">'307'!$H$80:$O$80</definedName>
    <definedName name="OSRRefE21_10_2x" localSheetId="62">'317'!$H$89:$O$89</definedName>
    <definedName name="OSRRefE21_10_2x" localSheetId="51">'330'!$H$80:$O$80</definedName>
    <definedName name="OSRRefE21_10_2x" localSheetId="75">'411'!$H$60:$O$60</definedName>
    <definedName name="OSRRefE21_10_2x" localSheetId="76">'412'!$H$61:$O$61</definedName>
    <definedName name="OSRRefE21_10_2x" localSheetId="77">'413'!$H$64:$O$64</definedName>
    <definedName name="OSRRefE21_10_2x" localSheetId="61">'Div 6'!$H$89:$O$89</definedName>
    <definedName name="OSRRefE21_10_3x" localSheetId="52">'307'!$H$81:$O$81</definedName>
    <definedName name="OSRRefE21_10_3x" localSheetId="51">'330'!$H$81:$O$81</definedName>
    <definedName name="OSRRefE21_10_3x" localSheetId="75">'411'!$H$61:$O$61</definedName>
    <definedName name="OSRRefE21_10_3x" localSheetId="76">'412'!$H$62:$O$62</definedName>
    <definedName name="OSRRefE21_10_3x" localSheetId="77">'413'!$H$65:$O$65</definedName>
    <definedName name="OSRRefE21_10_4x" localSheetId="77">'413'!$H$66:$O$66</definedName>
    <definedName name="OSRRefE21_10_5x" localSheetId="77">'413'!$H$67:$O$67</definedName>
    <definedName name="OSRRefE21_10_6x" localSheetId="77">'413'!$H$68:$O$68</definedName>
    <definedName name="OSRRefE21_10x_0" localSheetId="41">'201'!$H$57:$H$59</definedName>
    <definedName name="OSRRefE21_10x_0" localSheetId="42">'202'!$H$59</definedName>
    <definedName name="OSRRefE21_10x_0" localSheetId="43">'203'!$H$59</definedName>
    <definedName name="OSRRefE21_10x_0" localSheetId="48">'300'!$H$152:$H$153</definedName>
    <definedName name="OSRRefE21_10x_0" localSheetId="49">'300 &amp; 317'!$H$174:$H$175</definedName>
    <definedName name="OSRRefE21_10x_0" localSheetId="50">'301'!$H$58</definedName>
    <definedName name="OSRRefE21_10x_0" localSheetId="52">'307'!$H$78:$H$81</definedName>
    <definedName name="OSRRefE21_10x_0" localSheetId="53">'308'!$H$94:$H$95</definedName>
    <definedName name="OSRRefE21_10x_0" localSheetId="63">'310'!$H$64</definedName>
    <definedName name="OSRRefE21_10x_0" localSheetId="71">'310 &amp; 491'!$H$71</definedName>
    <definedName name="OSRRefE21_10x_0" localSheetId="54">'311'!$H$93:$H$94</definedName>
    <definedName name="OSRRefE21_10x_0" localSheetId="57">'315'!$H$114</definedName>
    <definedName name="OSRRefE21_10x_0" localSheetId="60">'316'!$H$72</definedName>
    <definedName name="OSRRefE21_10x_0" localSheetId="62">'317'!$H$87:$H$89</definedName>
    <definedName name="OSRRefE21_10x_0" localSheetId="66">'321'!$H$62:$H$63</definedName>
    <definedName name="OSRRefE21_10x_0" localSheetId="67">'322'!$H$63</definedName>
    <definedName name="OSRRefE21_10x_0" localSheetId="68">'325'!$H$58</definedName>
    <definedName name="OSRRefE21_10x_0" localSheetId="58">'326'!$H$80</definedName>
    <definedName name="OSRRefE21_10x_0" localSheetId="51">'330'!$H$78:$H$81</definedName>
    <definedName name="OSRRefE21_10x_0" localSheetId="56">'331'!$H$114</definedName>
    <definedName name="OSRRefE21_10x_0" localSheetId="59">'332'!$H$72</definedName>
    <definedName name="OSRRefE21_10x_0" localSheetId="73">'405'!$H$60</definedName>
    <definedName name="OSRRefE21_10x_0" localSheetId="75">'411'!$H$58:$H$61</definedName>
    <definedName name="OSRRefE21_10x_0" localSheetId="76">'412'!$H$59:$H$62</definedName>
    <definedName name="OSRRefE21_10x_0" localSheetId="77">'413'!$H$62:$H$68</definedName>
    <definedName name="OSRRefE21_10x_0" localSheetId="78">'414'!$H$61</definedName>
    <definedName name="OSRRefE21_10x_0" localSheetId="79">'415'!$H$64</definedName>
    <definedName name="OSRRefE21_10x_0" localSheetId="80">'418'!$H$61:$H$62</definedName>
    <definedName name="OSRRefE21_10x_0" localSheetId="88">'433'!$H$64</definedName>
    <definedName name="OSRRefE21_10x_0" localSheetId="90">'444'!$H$64</definedName>
    <definedName name="OSRRefE21_10x_0" localSheetId="91">'450'!$H$60</definedName>
    <definedName name="OSRRefE21_10x_0" localSheetId="72">'491'!$H$67</definedName>
    <definedName name="OSRRefE21_10x_0" localSheetId="86">'492'!$H$64</definedName>
    <definedName name="OSRRefE21_10x_0" localSheetId="93">'501'!$H$62</definedName>
    <definedName name="OSRRefE21_10x_0" localSheetId="39">'Div 2'!$H$60</definedName>
    <definedName name="OSRRefE21_10x_0" localSheetId="47">'Div 3'!$H$156:$H$157</definedName>
    <definedName name="OSRRefE21_10x_0" localSheetId="70">'Div 4'!$H$70</definedName>
    <definedName name="OSRRefE21_10x_0" localSheetId="92">'Div 5'!$H$62</definedName>
    <definedName name="OSRRefE21_10x_0" localSheetId="61">'Div 6'!$H$87:$H$89</definedName>
    <definedName name="OSRRefE21_10x_0" localSheetId="2">Summary!$H$184:$H$185</definedName>
    <definedName name="OSRRefE21_10x_1" localSheetId="41">'201'!$I$57:$I$59</definedName>
    <definedName name="OSRRefE21_10x_1" localSheetId="42">'202'!$I$59</definedName>
    <definedName name="OSRRefE21_10x_1" localSheetId="43">'203'!$I$59</definedName>
    <definedName name="OSRRefE21_10x_1" localSheetId="48">'300'!$I$152:$I$153</definedName>
    <definedName name="OSRRefE21_10x_1" localSheetId="49">'300 &amp; 317'!$I$174:$I$175</definedName>
    <definedName name="OSRRefE21_10x_1" localSheetId="50">'301'!$I$58</definedName>
    <definedName name="OSRRefE21_10x_1" localSheetId="52">'307'!$I$78:$I$81</definedName>
    <definedName name="OSRRefE21_10x_1" localSheetId="53">'308'!$I$94:$I$95</definedName>
    <definedName name="OSRRefE21_10x_1" localSheetId="63">'310'!$I$64</definedName>
    <definedName name="OSRRefE21_10x_1" localSheetId="71">'310 &amp; 491'!$I$71</definedName>
    <definedName name="OSRRefE21_10x_1" localSheetId="54">'311'!$I$93:$I$94</definedName>
    <definedName name="OSRRefE21_10x_1" localSheetId="57">'315'!$I$114</definedName>
    <definedName name="OSRRefE21_10x_1" localSheetId="60">'316'!$I$72</definedName>
    <definedName name="OSRRefE21_10x_1" localSheetId="62">'317'!$I$87:$I$89</definedName>
    <definedName name="OSRRefE21_10x_1" localSheetId="66">'321'!$I$62:$I$63</definedName>
    <definedName name="OSRRefE21_10x_1" localSheetId="67">'322'!$I$63</definedName>
    <definedName name="OSRRefE21_10x_1" localSheetId="68">'325'!$I$58</definedName>
    <definedName name="OSRRefE21_10x_1" localSheetId="58">'326'!$I$80</definedName>
    <definedName name="OSRRefE21_10x_1" localSheetId="51">'330'!$I$78:$I$81</definedName>
    <definedName name="OSRRefE21_10x_1" localSheetId="56">'331'!$I$114</definedName>
    <definedName name="OSRRefE21_10x_1" localSheetId="59">'332'!$I$72</definedName>
    <definedName name="OSRRefE21_10x_1" localSheetId="73">'405'!$I$60</definedName>
    <definedName name="OSRRefE21_10x_1" localSheetId="75">'411'!$I$58:$I$61</definedName>
    <definedName name="OSRRefE21_10x_1" localSheetId="76">'412'!$I$59:$I$62</definedName>
    <definedName name="OSRRefE21_10x_1" localSheetId="77">'413'!$I$62:$I$68</definedName>
    <definedName name="OSRRefE21_10x_1" localSheetId="78">'414'!$I$61</definedName>
    <definedName name="OSRRefE21_10x_1" localSheetId="79">'415'!$I$64</definedName>
    <definedName name="OSRRefE21_10x_1" localSheetId="80">'418'!$I$61:$I$62</definedName>
    <definedName name="OSRRefE21_10x_1" localSheetId="88">'433'!$I$64</definedName>
    <definedName name="OSRRefE21_10x_1" localSheetId="90">'444'!$I$64</definedName>
    <definedName name="OSRRefE21_10x_1" localSheetId="91">'450'!$I$60</definedName>
    <definedName name="OSRRefE21_10x_1" localSheetId="72">'491'!$I$67</definedName>
    <definedName name="OSRRefE21_10x_1" localSheetId="86">'492'!$I$64</definedName>
    <definedName name="OSRRefE21_10x_1" localSheetId="93">'501'!$I$62</definedName>
    <definedName name="OSRRefE21_10x_1" localSheetId="39">'Div 2'!$I$60</definedName>
    <definedName name="OSRRefE21_10x_1" localSheetId="47">'Div 3'!$I$156:$I$157</definedName>
    <definedName name="OSRRefE21_10x_1" localSheetId="70">'Div 4'!$I$70</definedName>
    <definedName name="OSRRefE21_10x_1" localSheetId="92">'Div 5'!$I$62</definedName>
    <definedName name="OSRRefE21_10x_1" localSheetId="61">'Div 6'!$I$87:$I$89</definedName>
    <definedName name="OSRRefE21_10x_1" localSheetId="2">Summary!$I$184:$I$185</definedName>
    <definedName name="OSRRefE21_10x_2" localSheetId="41">'201'!$J$57:$J$59</definedName>
    <definedName name="OSRRefE21_10x_2" localSheetId="42">'202'!$J$59</definedName>
    <definedName name="OSRRefE21_10x_2" localSheetId="43">'203'!$J$59</definedName>
    <definedName name="OSRRefE21_10x_2" localSheetId="48">'300'!$J$152:$J$153</definedName>
    <definedName name="OSRRefE21_10x_2" localSheetId="49">'300 &amp; 317'!$J$174:$J$175</definedName>
    <definedName name="OSRRefE21_10x_2" localSheetId="50">'301'!$J$58</definedName>
    <definedName name="OSRRefE21_10x_2" localSheetId="52">'307'!$J$78:$J$81</definedName>
    <definedName name="OSRRefE21_10x_2" localSheetId="53">'308'!$J$94:$J$95</definedName>
    <definedName name="OSRRefE21_10x_2" localSheetId="63">'310'!$J$64</definedName>
    <definedName name="OSRRefE21_10x_2" localSheetId="71">'310 &amp; 491'!$J$71</definedName>
    <definedName name="OSRRefE21_10x_2" localSheetId="54">'311'!$J$93:$J$94</definedName>
    <definedName name="OSRRefE21_10x_2" localSheetId="57">'315'!$J$114</definedName>
    <definedName name="OSRRefE21_10x_2" localSheetId="60">'316'!$J$72</definedName>
    <definedName name="OSRRefE21_10x_2" localSheetId="62">'317'!$J$87:$J$89</definedName>
    <definedName name="OSRRefE21_10x_2" localSheetId="66">'321'!$J$62:$J$63</definedName>
    <definedName name="OSRRefE21_10x_2" localSheetId="67">'322'!$J$63</definedName>
    <definedName name="OSRRefE21_10x_2" localSheetId="68">'325'!$J$58</definedName>
    <definedName name="OSRRefE21_10x_2" localSheetId="58">'326'!$J$80</definedName>
    <definedName name="OSRRefE21_10x_2" localSheetId="51">'330'!$J$78:$J$81</definedName>
    <definedName name="OSRRefE21_10x_2" localSheetId="56">'331'!$J$114</definedName>
    <definedName name="OSRRefE21_10x_2" localSheetId="59">'332'!$J$72</definedName>
    <definedName name="OSRRefE21_10x_2" localSheetId="73">'405'!$J$60</definedName>
    <definedName name="OSRRefE21_10x_2" localSheetId="75">'411'!$J$58:$J$61</definedName>
    <definedName name="OSRRefE21_10x_2" localSheetId="76">'412'!$J$59:$J$62</definedName>
    <definedName name="OSRRefE21_10x_2" localSheetId="77">'413'!$J$62:$J$68</definedName>
    <definedName name="OSRRefE21_10x_2" localSheetId="78">'414'!$J$61</definedName>
    <definedName name="OSRRefE21_10x_2" localSheetId="79">'415'!$J$64</definedName>
    <definedName name="OSRRefE21_10x_2" localSheetId="80">'418'!$J$61:$J$62</definedName>
    <definedName name="OSRRefE21_10x_2" localSheetId="88">'433'!$J$64</definedName>
    <definedName name="OSRRefE21_10x_2" localSheetId="90">'444'!$J$64</definedName>
    <definedName name="OSRRefE21_10x_2" localSheetId="91">'450'!$J$60</definedName>
    <definedName name="OSRRefE21_10x_2" localSheetId="72">'491'!$J$67</definedName>
    <definedName name="OSRRefE21_10x_2" localSheetId="86">'492'!$J$64</definedName>
    <definedName name="OSRRefE21_10x_2" localSheetId="93">'501'!$J$62</definedName>
    <definedName name="OSRRefE21_10x_2" localSheetId="39">'Div 2'!$J$60</definedName>
    <definedName name="OSRRefE21_10x_2" localSheetId="47">'Div 3'!$J$156:$J$157</definedName>
    <definedName name="OSRRefE21_10x_2" localSheetId="70">'Div 4'!$J$70</definedName>
    <definedName name="OSRRefE21_10x_2" localSheetId="92">'Div 5'!$J$62</definedName>
    <definedName name="OSRRefE21_10x_2" localSheetId="61">'Div 6'!$J$87:$J$89</definedName>
    <definedName name="OSRRefE21_10x_2" localSheetId="2">Summary!$J$184:$J$185</definedName>
    <definedName name="OSRRefE21_10x_3" localSheetId="41">'201'!$K$57:$K$59</definedName>
    <definedName name="OSRRefE21_10x_3" localSheetId="42">'202'!$K$59</definedName>
    <definedName name="OSRRefE21_10x_3" localSheetId="43">'203'!$K$59</definedName>
    <definedName name="OSRRefE21_10x_3" localSheetId="48">'300'!$K$152:$K$153</definedName>
    <definedName name="OSRRefE21_10x_3" localSheetId="49">'300 &amp; 317'!$K$174:$K$175</definedName>
    <definedName name="OSRRefE21_10x_3" localSheetId="50">'301'!$K$58</definedName>
    <definedName name="OSRRefE21_10x_3" localSheetId="52">'307'!$K$78:$K$81</definedName>
    <definedName name="OSRRefE21_10x_3" localSheetId="53">'308'!$K$94:$K$95</definedName>
    <definedName name="OSRRefE21_10x_3" localSheetId="63">'310'!$K$64</definedName>
    <definedName name="OSRRefE21_10x_3" localSheetId="71">'310 &amp; 491'!$K$71</definedName>
    <definedName name="OSRRefE21_10x_3" localSheetId="54">'311'!$K$93:$K$94</definedName>
    <definedName name="OSRRefE21_10x_3" localSheetId="57">'315'!$K$114</definedName>
    <definedName name="OSRRefE21_10x_3" localSheetId="60">'316'!$K$72</definedName>
    <definedName name="OSRRefE21_10x_3" localSheetId="62">'317'!$K$87:$K$89</definedName>
    <definedName name="OSRRefE21_10x_3" localSheetId="66">'321'!$K$62:$K$63</definedName>
    <definedName name="OSRRefE21_10x_3" localSheetId="67">'322'!$K$63</definedName>
    <definedName name="OSRRefE21_10x_3" localSheetId="68">'325'!$K$58</definedName>
    <definedName name="OSRRefE21_10x_3" localSheetId="58">'326'!$K$80</definedName>
    <definedName name="OSRRefE21_10x_3" localSheetId="51">'330'!$K$78:$K$81</definedName>
    <definedName name="OSRRefE21_10x_3" localSheetId="56">'331'!$K$114</definedName>
    <definedName name="OSRRefE21_10x_3" localSheetId="59">'332'!$K$72</definedName>
    <definedName name="OSRRefE21_10x_3" localSheetId="73">'405'!$K$60</definedName>
    <definedName name="OSRRefE21_10x_3" localSheetId="75">'411'!$K$58:$K$61</definedName>
    <definedName name="OSRRefE21_10x_3" localSheetId="76">'412'!$K$59:$K$62</definedName>
    <definedName name="OSRRefE21_10x_3" localSheetId="77">'413'!$K$62:$K$68</definedName>
    <definedName name="OSRRefE21_10x_3" localSheetId="78">'414'!$K$61</definedName>
    <definedName name="OSRRefE21_10x_3" localSheetId="79">'415'!$K$64</definedName>
    <definedName name="OSRRefE21_10x_3" localSheetId="80">'418'!$K$61:$K$62</definedName>
    <definedName name="OSRRefE21_10x_3" localSheetId="88">'433'!$K$64</definedName>
    <definedName name="OSRRefE21_10x_3" localSheetId="90">'444'!$K$64</definedName>
    <definedName name="OSRRefE21_10x_3" localSheetId="91">'450'!$K$60</definedName>
    <definedName name="OSRRefE21_10x_3" localSheetId="72">'491'!$K$67</definedName>
    <definedName name="OSRRefE21_10x_3" localSheetId="86">'492'!$K$64</definedName>
    <definedName name="OSRRefE21_10x_3" localSheetId="93">'501'!$K$62</definedName>
    <definedName name="OSRRefE21_10x_3" localSheetId="39">'Div 2'!$K$60</definedName>
    <definedName name="OSRRefE21_10x_3" localSheetId="47">'Div 3'!$K$156:$K$157</definedName>
    <definedName name="OSRRefE21_10x_3" localSheetId="70">'Div 4'!$K$70</definedName>
    <definedName name="OSRRefE21_10x_3" localSheetId="92">'Div 5'!$K$62</definedName>
    <definedName name="OSRRefE21_10x_3" localSheetId="61">'Div 6'!$K$87:$K$89</definedName>
    <definedName name="OSRRefE21_10x_3" localSheetId="2">Summary!$K$184:$K$185</definedName>
    <definedName name="OSRRefE21_10x_4" localSheetId="41">'201'!$L$57:$L$59</definedName>
    <definedName name="OSRRefE21_10x_4" localSheetId="42">'202'!$L$59</definedName>
    <definedName name="OSRRefE21_10x_4" localSheetId="43">'203'!$L$59</definedName>
    <definedName name="OSRRefE21_10x_4" localSheetId="48">'300'!$L$152:$L$153</definedName>
    <definedName name="OSRRefE21_10x_4" localSheetId="49">'300 &amp; 317'!$L$174:$L$175</definedName>
    <definedName name="OSRRefE21_10x_4" localSheetId="50">'301'!$L$58</definedName>
    <definedName name="OSRRefE21_10x_4" localSheetId="52">'307'!$L$78:$L$81</definedName>
    <definedName name="OSRRefE21_10x_4" localSheetId="53">'308'!$L$94:$L$95</definedName>
    <definedName name="OSRRefE21_10x_4" localSheetId="63">'310'!$L$64</definedName>
    <definedName name="OSRRefE21_10x_4" localSheetId="71">'310 &amp; 491'!$L$71</definedName>
    <definedName name="OSRRefE21_10x_4" localSheetId="54">'311'!$L$93:$L$94</definedName>
    <definedName name="OSRRefE21_10x_4" localSheetId="57">'315'!$L$114</definedName>
    <definedName name="OSRRefE21_10x_4" localSheetId="60">'316'!$L$72</definedName>
    <definedName name="OSRRefE21_10x_4" localSheetId="62">'317'!$L$87:$L$89</definedName>
    <definedName name="OSRRefE21_10x_4" localSheetId="66">'321'!$L$62:$L$63</definedName>
    <definedName name="OSRRefE21_10x_4" localSheetId="67">'322'!$L$63</definedName>
    <definedName name="OSRRefE21_10x_4" localSheetId="68">'325'!$L$58</definedName>
    <definedName name="OSRRefE21_10x_4" localSheetId="58">'326'!$L$80</definedName>
    <definedName name="OSRRefE21_10x_4" localSheetId="51">'330'!$L$78:$L$81</definedName>
    <definedName name="OSRRefE21_10x_4" localSheetId="56">'331'!$L$114</definedName>
    <definedName name="OSRRefE21_10x_4" localSheetId="59">'332'!$L$72</definedName>
    <definedName name="OSRRefE21_10x_4" localSheetId="73">'405'!$L$60</definedName>
    <definedName name="OSRRefE21_10x_4" localSheetId="75">'411'!$L$58:$L$61</definedName>
    <definedName name="OSRRefE21_10x_4" localSheetId="76">'412'!$L$59:$L$62</definedName>
    <definedName name="OSRRefE21_10x_4" localSheetId="77">'413'!$L$62:$L$68</definedName>
    <definedName name="OSRRefE21_10x_4" localSheetId="78">'414'!$L$61</definedName>
    <definedName name="OSRRefE21_10x_4" localSheetId="79">'415'!$L$64</definedName>
    <definedName name="OSRRefE21_10x_4" localSheetId="80">'418'!$L$61:$L$62</definedName>
    <definedName name="OSRRefE21_10x_4" localSheetId="88">'433'!$L$64</definedName>
    <definedName name="OSRRefE21_10x_4" localSheetId="90">'444'!$L$64</definedName>
    <definedName name="OSRRefE21_10x_4" localSheetId="91">'450'!$L$60</definedName>
    <definedName name="OSRRefE21_10x_4" localSheetId="72">'491'!$L$67</definedName>
    <definedName name="OSRRefE21_10x_4" localSheetId="86">'492'!$L$64</definedName>
    <definedName name="OSRRefE21_10x_4" localSheetId="93">'501'!$L$62</definedName>
    <definedName name="OSRRefE21_10x_4" localSheetId="39">'Div 2'!$L$60</definedName>
    <definedName name="OSRRefE21_10x_4" localSheetId="47">'Div 3'!$L$156:$L$157</definedName>
    <definedName name="OSRRefE21_10x_4" localSheetId="70">'Div 4'!$L$70</definedName>
    <definedName name="OSRRefE21_10x_4" localSheetId="92">'Div 5'!$L$62</definedName>
    <definedName name="OSRRefE21_10x_4" localSheetId="61">'Div 6'!$L$87:$L$89</definedName>
    <definedName name="OSRRefE21_10x_4" localSheetId="2">Summary!$L$184:$L$185</definedName>
    <definedName name="OSRRefE21_10x_5" localSheetId="41">'201'!$M$57:$M$59</definedName>
    <definedName name="OSRRefE21_10x_5" localSheetId="42">'202'!$M$59</definedName>
    <definedName name="OSRRefE21_10x_5" localSheetId="43">'203'!$M$59</definedName>
    <definedName name="OSRRefE21_10x_5" localSheetId="48">'300'!$M$152:$M$153</definedName>
    <definedName name="OSRRefE21_10x_5" localSheetId="49">'300 &amp; 317'!$M$174:$M$175</definedName>
    <definedName name="OSRRefE21_10x_5" localSheetId="50">'301'!$M$58</definedName>
    <definedName name="OSRRefE21_10x_5" localSheetId="52">'307'!$M$78:$M$81</definedName>
    <definedName name="OSRRefE21_10x_5" localSheetId="53">'308'!$M$94:$M$95</definedName>
    <definedName name="OSRRefE21_10x_5" localSheetId="63">'310'!$M$64</definedName>
    <definedName name="OSRRefE21_10x_5" localSheetId="71">'310 &amp; 491'!$M$71</definedName>
    <definedName name="OSRRefE21_10x_5" localSheetId="54">'311'!$M$93:$M$94</definedName>
    <definedName name="OSRRefE21_10x_5" localSheetId="57">'315'!$M$114</definedName>
    <definedName name="OSRRefE21_10x_5" localSheetId="60">'316'!$M$72</definedName>
    <definedName name="OSRRefE21_10x_5" localSheetId="62">'317'!$M$87:$M$89</definedName>
    <definedName name="OSRRefE21_10x_5" localSheetId="66">'321'!$M$62:$M$63</definedName>
    <definedName name="OSRRefE21_10x_5" localSheetId="67">'322'!$M$63</definedName>
    <definedName name="OSRRefE21_10x_5" localSheetId="68">'325'!$M$58</definedName>
    <definedName name="OSRRefE21_10x_5" localSheetId="58">'326'!$M$80</definedName>
    <definedName name="OSRRefE21_10x_5" localSheetId="51">'330'!$M$78:$M$81</definedName>
    <definedName name="OSRRefE21_10x_5" localSheetId="56">'331'!$M$114</definedName>
    <definedName name="OSRRefE21_10x_5" localSheetId="59">'332'!$M$72</definedName>
    <definedName name="OSRRefE21_10x_5" localSheetId="73">'405'!$M$60</definedName>
    <definedName name="OSRRefE21_10x_5" localSheetId="75">'411'!$M$58:$M$61</definedName>
    <definedName name="OSRRefE21_10x_5" localSheetId="76">'412'!$M$59:$M$62</definedName>
    <definedName name="OSRRefE21_10x_5" localSheetId="77">'413'!$M$62:$M$68</definedName>
    <definedName name="OSRRefE21_10x_5" localSheetId="78">'414'!$M$61</definedName>
    <definedName name="OSRRefE21_10x_5" localSheetId="79">'415'!$M$64</definedName>
    <definedName name="OSRRefE21_10x_5" localSheetId="80">'418'!$M$61:$M$62</definedName>
    <definedName name="OSRRefE21_10x_5" localSheetId="88">'433'!$M$64</definedName>
    <definedName name="OSRRefE21_10x_5" localSheetId="90">'444'!$M$64</definedName>
    <definedName name="OSRRefE21_10x_5" localSheetId="91">'450'!$M$60</definedName>
    <definedName name="OSRRefE21_10x_5" localSheetId="72">'491'!$M$67</definedName>
    <definedName name="OSRRefE21_10x_5" localSheetId="86">'492'!$M$64</definedName>
    <definedName name="OSRRefE21_10x_5" localSheetId="93">'501'!$M$62</definedName>
    <definedName name="OSRRefE21_10x_5" localSheetId="39">'Div 2'!$M$60</definedName>
    <definedName name="OSRRefE21_10x_5" localSheetId="47">'Div 3'!$M$156:$M$157</definedName>
    <definedName name="OSRRefE21_10x_5" localSheetId="70">'Div 4'!$M$70</definedName>
    <definedName name="OSRRefE21_10x_5" localSheetId="92">'Div 5'!$M$62</definedName>
    <definedName name="OSRRefE21_10x_5" localSheetId="61">'Div 6'!$M$87:$M$89</definedName>
    <definedName name="OSRRefE21_10x_5" localSheetId="2">Summary!$M$184:$M$185</definedName>
    <definedName name="OSRRefE21_10x_6" localSheetId="41">'201'!$N$57:$N$59</definedName>
    <definedName name="OSRRefE21_10x_6" localSheetId="42">'202'!$N$59</definedName>
    <definedName name="OSRRefE21_10x_6" localSheetId="43">'203'!$N$59</definedName>
    <definedName name="OSRRefE21_10x_6" localSheetId="48">'300'!$N$152:$N$153</definedName>
    <definedName name="OSRRefE21_10x_6" localSheetId="49">'300 &amp; 317'!$N$174:$N$175</definedName>
    <definedName name="OSRRefE21_10x_6" localSheetId="50">'301'!$N$58</definedName>
    <definedName name="OSRRefE21_10x_6" localSheetId="52">'307'!$N$78:$N$81</definedName>
    <definedName name="OSRRefE21_10x_6" localSheetId="53">'308'!$N$94:$N$95</definedName>
    <definedName name="OSRRefE21_10x_6" localSheetId="63">'310'!$N$64</definedName>
    <definedName name="OSRRefE21_10x_6" localSheetId="71">'310 &amp; 491'!$N$71</definedName>
    <definedName name="OSRRefE21_10x_6" localSheetId="54">'311'!$N$93:$N$94</definedName>
    <definedName name="OSRRefE21_10x_6" localSheetId="57">'315'!$N$114</definedName>
    <definedName name="OSRRefE21_10x_6" localSheetId="60">'316'!$N$72</definedName>
    <definedName name="OSRRefE21_10x_6" localSheetId="62">'317'!$N$87:$N$89</definedName>
    <definedName name="OSRRefE21_10x_6" localSheetId="66">'321'!$N$62:$N$63</definedName>
    <definedName name="OSRRefE21_10x_6" localSheetId="67">'322'!$N$63</definedName>
    <definedName name="OSRRefE21_10x_6" localSheetId="68">'325'!$N$58</definedName>
    <definedName name="OSRRefE21_10x_6" localSheetId="58">'326'!$N$80</definedName>
    <definedName name="OSRRefE21_10x_6" localSheetId="51">'330'!$N$78:$N$81</definedName>
    <definedName name="OSRRefE21_10x_6" localSheetId="56">'331'!$N$114</definedName>
    <definedName name="OSRRefE21_10x_6" localSheetId="59">'332'!$N$72</definedName>
    <definedName name="OSRRefE21_10x_6" localSheetId="73">'405'!$N$60</definedName>
    <definedName name="OSRRefE21_10x_6" localSheetId="75">'411'!$N$58:$N$61</definedName>
    <definedName name="OSRRefE21_10x_6" localSheetId="76">'412'!$N$59:$N$62</definedName>
    <definedName name="OSRRefE21_10x_6" localSheetId="77">'413'!$N$62:$N$68</definedName>
    <definedName name="OSRRefE21_10x_6" localSheetId="78">'414'!$N$61</definedName>
    <definedName name="OSRRefE21_10x_6" localSheetId="79">'415'!$N$64</definedName>
    <definedName name="OSRRefE21_10x_6" localSheetId="80">'418'!$N$61:$N$62</definedName>
    <definedName name="OSRRefE21_10x_6" localSheetId="88">'433'!$N$64</definedName>
    <definedName name="OSRRefE21_10x_6" localSheetId="90">'444'!$N$64</definedName>
    <definedName name="OSRRefE21_10x_6" localSheetId="91">'450'!$N$60</definedName>
    <definedName name="OSRRefE21_10x_6" localSheetId="72">'491'!$N$67</definedName>
    <definedName name="OSRRefE21_10x_6" localSheetId="86">'492'!$N$64</definedName>
    <definedName name="OSRRefE21_10x_6" localSheetId="93">'501'!$N$62</definedName>
    <definedName name="OSRRefE21_10x_6" localSheetId="39">'Div 2'!$N$60</definedName>
    <definedName name="OSRRefE21_10x_6" localSheetId="47">'Div 3'!$N$156:$N$157</definedName>
    <definedName name="OSRRefE21_10x_6" localSheetId="70">'Div 4'!$N$70</definedName>
    <definedName name="OSRRefE21_10x_6" localSheetId="92">'Div 5'!$N$62</definedName>
    <definedName name="OSRRefE21_10x_6" localSheetId="61">'Div 6'!$N$87:$N$89</definedName>
    <definedName name="OSRRefE21_10x_6" localSheetId="2">Summary!$N$184:$N$185</definedName>
    <definedName name="OSRRefE21_10x_7" localSheetId="41">'201'!$O$57:$O$59</definedName>
    <definedName name="OSRRefE21_10x_7" localSheetId="42">'202'!$O$59</definedName>
    <definedName name="OSRRefE21_10x_7" localSheetId="43">'203'!$O$59</definedName>
    <definedName name="OSRRefE21_10x_7" localSheetId="48">'300'!$O$152:$O$153</definedName>
    <definedName name="OSRRefE21_10x_7" localSheetId="49">'300 &amp; 317'!$O$174:$O$175</definedName>
    <definedName name="OSRRefE21_10x_7" localSheetId="50">'301'!$O$58</definedName>
    <definedName name="OSRRefE21_10x_7" localSheetId="52">'307'!$O$78:$O$81</definedName>
    <definedName name="OSRRefE21_10x_7" localSheetId="53">'308'!$O$94:$O$95</definedName>
    <definedName name="OSRRefE21_10x_7" localSheetId="63">'310'!$O$64</definedName>
    <definedName name="OSRRefE21_10x_7" localSheetId="71">'310 &amp; 491'!$O$71</definedName>
    <definedName name="OSRRefE21_10x_7" localSheetId="54">'311'!$O$93:$O$94</definedName>
    <definedName name="OSRRefE21_10x_7" localSheetId="57">'315'!$O$114</definedName>
    <definedName name="OSRRefE21_10x_7" localSheetId="60">'316'!$O$72</definedName>
    <definedName name="OSRRefE21_10x_7" localSheetId="62">'317'!$O$87:$O$89</definedName>
    <definedName name="OSRRefE21_10x_7" localSheetId="66">'321'!$O$62:$O$63</definedName>
    <definedName name="OSRRefE21_10x_7" localSheetId="67">'322'!$O$63</definedName>
    <definedName name="OSRRefE21_10x_7" localSheetId="68">'325'!$O$58</definedName>
    <definedName name="OSRRefE21_10x_7" localSheetId="58">'326'!$O$80</definedName>
    <definedName name="OSRRefE21_10x_7" localSheetId="51">'330'!$O$78:$O$81</definedName>
    <definedName name="OSRRefE21_10x_7" localSheetId="56">'331'!$O$114</definedName>
    <definedName name="OSRRefE21_10x_7" localSheetId="59">'332'!$O$72</definedName>
    <definedName name="OSRRefE21_10x_7" localSheetId="73">'405'!$O$60</definedName>
    <definedName name="OSRRefE21_10x_7" localSheetId="75">'411'!$O$58:$O$61</definedName>
    <definedName name="OSRRefE21_10x_7" localSheetId="76">'412'!$O$59:$O$62</definedName>
    <definedName name="OSRRefE21_10x_7" localSheetId="77">'413'!$O$62:$O$68</definedName>
    <definedName name="OSRRefE21_10x_7" localSheetId="78">'414'!$O$61</definedName>
    <definedName name="OSRRefE21_10x_7" localSheetId="79">'415'!$O$64</definedName>
    <definedName name="OSRRefE21_10x_7" localSheetId="80">'418'!$O$61:$O$62</definedName>
    <definedName name="OSRRefE21_10x_7" localSheetId="88">'433'!$O$64</definedName>
    <definedName name="OSRRefE21_10x_7" localSheetId="90">'444'!$O$64</definedName>
    <definedName name="OSRRefE21_10x_7" localSheetId="91">'450'!$O$60</definedName>
    <definedName name="OSRRefE21_10x_7" localSheetId="72">'491'!$O$67</definedName>
    <definedName name="OSRRefE21_10x_7" localSheetId="86">'492'!$O$64</definedName>
    <definedName name="OSRRefE21_10x_7" localSheetId="93">'501'!$O$62</definedName>
    <definedName name="OSRRefE21_10x_7" localSheetId="39">'Div 2'!$O$60</definedName>
    <definedName name="OSRRefE21_10x_7" localSheetId="47">'Div 3'!$O$156:$O$157</definedName>
    <definedName name="OSRRefE21_10x_7" localSheetId="70">'Div 4'!$O$70</definedName>
    <definedName name="OSRRefE21_10x_7" localSheetId="92">'Div 5'!$O$62</definedName>
    <definedName name="OSRRefE21_10x_7" localSheetId="61">'Div 6'!$O$87:$O$89</definedName>
    <definedName name="OSRRefE21_10x_7" localSheetId="2">Summary!$O$184:$O$185</definedName>
    <definedName name="OSRRefE21_11_0x" localSheetId="41">'201'!$H$61:$O$61</definedName>
    <definedName name="OSRRefE21_11_0x" localSheetId="42">'202'!$H$61:$O$61</definedName>
    <definedName name="OSRRefE21_11_0x" localSheetId="43">'203'!$H$61:$O$61</definedName>
    <definedName name="OSRRefE21_11_0x" localSheetId="48">'300'!$H$155:$O$155</definedName>
    <definedName name="OSRRefE21_11_0x" localSheetId="49">'300 &amp; 317'!$H$177:$O$177</definedName>
    <definedName name="OSRRefE21_11_0x" localSheetId="50">'301'!$H$60:$O$60</definedName>
    <definedName name="OSRRefE21_11_0x" localSheetId="52">'307'!$H$83:$O$83</definedName>
    <definedName name="OSRRefE21_11_0x" localSheetId="53">'308'!$H$97:$O$97</definedName>
    <definedName name="OSRRefE21_11_0x" localSheetId="63">'310'!$H$66:$O$66</definedName>
    <definedName name="OSRRefE21_11_0x" localSheetId="71">'310 &amp; 491'!$H$73:$O$73</definedName>
    <definedName name="OSRRefE21_11_0x" localSheetId="54">'311'!$H$96:$O$96</definedName>
    <definedName name="OSRRefE21_11_0x" localSheetId="57">'315'!$H$116:$O$116</definedName>
    <definedName name="OSRRefE21_11_0x" localSheetId="60">'316'!$H$74:$O$74</definedName>
    <definedName name="OSRRefE21_11_0x" localSheetId="62">'317'!$H$91:$O$91</definedName>
    <definedName name="OSRRefE21_11_0x" localSheetId="66">'321'!$H$65:$O$65</definedName>
    <definedName name="OSRRefE21_11_0x" localSheetId="68">'325'!$H$60:$O$60</definedName>
    <definedName name="OSRRefE21_11_0x" localSheetId="58">'326'!$H$82:$O$82</definedName>
    <definedName name="OSRRefE21_11_0x" localSheetId="51">'330'!$H$83:$O$83</definedName>
    <definedName name="OSRRefE21_11_0x" localSheetId="56">'331'!$H$116:$O$116</definedName>
    <definedName name="OSRRefE21_11_0x" localSheetId="59">'332'!$H$74:$O$74</definedName>
    <definedName name="OSRRefE21_11_0x" localSheetId="73">'405'!$H$62:$O$62</definedName>
    <definedName name="OSRRefE21_11_0x" localSheetId="75">'411'!$H$63:$O$63</definedName>
    <definedName name="OSRRefE21_11_0x" localSheetId="76">'412'!$H$64:$O$64</definedName>
    <definedName name="OSRRefE21_11_0x" localSheetId="77">'413'!$H$70:$O$70</definedName>
    <definedName name="OSRRefE21_11_0x" localSheetId="78">'414'!$H$63:$O$63</definedName>
    <definedName name="OSRRefE21_11_0x" localSheetId="79">'415'!$H$66:$O$66</definedName>
    <definedName name="OSRRefE21_11_0x" localSheetId="80">'418'!$H$64:$O$64</definedName>
    <definedName name="OSRRefE21_11_0x" localSheetId="88">'433'!$H$66:$O$66</definedName>
    <definedName name="OSRRefE21_11_0x" localSheetId="90">'444'!$H$66:$O$66</definedName>
    <definedName name="OSRRefE21_11_0x" localSheetId="91">'450'!$H$62:$O$62</definedName>
    <definedName name="OSRRefE21_11_0x" localSheetId="72">'491'!$H$69:$O$69</definedName>
    <definedName name="OSRRefE21_11_0x" localSheetId="86">'492'!$H$66:$O$66</definedName>
    <definedName name="OSRRefE21_11_0x" localSheetId="93">'501'!$H$64:$O$64</definedName>
    <definedName name="OSRRefE21_11_0x" localSheetId="39">'Div 2'!$H$62:$O$62</definedName>
    <definedName name="OSRRefE21_11_0x" localSheetId="47">'Div 3'!$H$159:$O$159</definedName>
    <definedName name="OSRRefE21_11_0x" localSheetId="70">'Div 4'!$H$72:$O$72</definedName>
    <definedName name="OSRRefE21_11_0x" localSheetId="92">'Div 5'!$H$64:$O$64</definedName>
    <definedName name="OSRRefE21_11_0x" localSheetId="61">'Div 6'!$H$91:$O$91</definedName>
    <definedName name="OSRRefE21_11_0x" localSheetId="2">Summary!$H$187:$O$187</definedName>
    <definedName name="OSRRefE21_11_1x" localSheetId="43">'203'!$H$62:$O$62</definedName>
    <definedName name="OSRRefE21_11_1x" localSheetId="48">'300'!$H$156:$O$156</definedName>
    <definedName name="OSRRefE21_11_1x" localSheetId="49">'300 &amp; 317'!$H$178:$O$178</definedName>
    <definedName name="OSRRefE21_11_1x" localSheetId="52">'307'!$H$84:$O$84</definedName>
    <definedName name="OSRRefE21_11_1x" localSheetId="53">'308'!$H$98:$O$98</definedName>
    <definedName name="OSRRefE21_11_1x" localSheetId="54">'311'!$H$97:$O$97</definedName>
    <definedName name="OSRRefE21_11_1x" localSheetId="51">'330'!$H$84:$O$84</definedName>
    <definedName name="OSRRefE21_11_1x" localSheetId="73">'405'!$H$63:$O$63</definedName>
    <definedName name="OSRRefE21_11_1x" localSheetId="76">'412'!$H$65:$O$65</definedName>
    <definedName name="OSRRefE21_11_1x" localSheetId="77">'413'!$H$71:$O$71</definedName>
    <definedName name="OSRRefE21_11_1x" localSheetId="79">'415'!$H$67:$O$67</definedName>
    <definedName name="OSRRefE21_11_1x" localSheetId="80">'418'!$H$65:$O$65</definedName>
    <definedName name="OSRRefE21_11_1x" localSheetId="88">'433'!$H$67:$O$67</definedName>
    <definedName name="OSRRefE21_11_1x" localSheetId="90">'444'!$H$67:$O$67</definedName>
    <definedName name="OSRRefE21_11_1x" localSheetId="93">'501'!$H$65:$O$65</definedName>
    <definedName name="OSRRefE21_11_1x" localSheetId="47">'Div 3'!$H$160:$O$160</definedName>
    <definedName name="OSRRefE21_11_1x" localSheetId="92">'Div 5'!$H$65:$O$65</definedName>
    <definedName name="OSRRefE21_11_1x" localSheetId="2">Summary!$H$188:$O$188</definedName>
    <definedName name="OSRRefE21_11_2x" localSheetId="43">'203'!$H$63:$O$63</definedName>
    <definedName name="OSRRefE21_11_2x" localSheetId="53">'308'!$H$99:$O$99</definedName>
    <definedName name="OSRRefE21_11_2x" localSheetId="54">'311'!$H$98:$O$98</definedName>
    <definedName name="OSRRefE21_11_2x" localSheetId="73">'405'!$H$64:$O$64</definedName>
    <definedName name="OSRRefE21_11_2x" localSheetId="76">'412'!$H$66:$O$66</definedName>
    <definedName name="OSRRefE21_11_2x" localSheetId="80">'418'!$H$66:$O$66</definedName>
    <definedName name="OSRRefE21_11_2x" localSheetId="88">'433'!$H$68:$O$68</definedName>
    <definedName name="OSRRefE21_11_2x" localSheetId="90">'444'!$H$68:$O$68</definedName>
    <definedName name="OSRRefE21_11_3x" localSheetId="73">'405'!$H$65:$O$65</definedName>
    <definedName name="OSRRefE21_11_3x" localSheetId="76">'412'!$H$67:$O$67</definedName>
    <definedName name="OSRRefE21_11_3x" localSheetId="80">'418'!$H$67:$O$67</definedName>
    <definedName name="OSRRefE21_11_4x" localSheetId="76">'412'!$H$68:$O$68</definedName>
    <definedName name="OSRRefE21_11_4x" localSheetId="80">'418'!$H$68:$O$68</definedName>
    <definedName name="OSRRefE21_11_5x" localSheetId="80">'418'!$H$69:$O$69</definedName>
    <definedName name="OSRRefE21_11_6x" localSheetId="80">'418'!$H$70:$O$70</definedName>
    <definedName name="OSRRefE21_11_7x" localSheetId="80">'418'!$H$71:$O$71</definedName>
    <definedName name="OSRRefE21_11_8x" localSheetId="80">'418'!$H$72:$O$72</definedName>
    <definedName name="OSRRefE21_11x_0" localSheetId="41">'201'!$H$61</definedName>
    <definedName name="OSRRefE21_11x_0" localSheetId="42">'202'!$H$61</definedName>
    <definedName name="OSRRefE21_11x_0" localSheetId="43">'203'!$H$61:$H$63</definedName>
    <definedName name="OSRRefE21_11x_0" localSheetId="48">'300'!$H$155:$H$156</definedName>
    <definedName name="OSRRefE21_11x_0" localSheetId="49">'300 &amp; 317'!$H$177:$H$178</definedName>
    <definedName name="OSRRefE21_11x_0" localSheetId="50">'301'!$H$60</definedName>
    <definedName name="OSRRefE21_11x_0" localSheetId="52">'307'!$H$83:$H$84</definedName>
    <definedName name="OSRRefE21_11x_0" localSheetId="53">'308'!$H$97:$H$99</definedName>
    <definedName name="OSRRefE21_11x_0" localSheetId="63">'310'!$H$66</definedName>
    <definedName name="OSRRefE21_11x_0" localSheetId="71">'310 &amp; 491'!$H$73</definedName>
    <definedName name="OSRRefE21_11x_0" localSheetId="54">'311'!$H$96:$H$98</definedName>
    <definedName name="OSRRefE21_11x_0" localSheetId="57">'315'!$H$116</definedName>
    <definedName name="OSRRefE21_11x_0" localSheetId="60">'316'!$H$74</definedName>
    <definedName name="OSRRefE21_11x_0" localSheetId="62">'317'!$H$91</definedName>
    <definedName name="OSRRefE21_11x_0" localSheetId="66">'321'!$H$65</definedName>
    <definedName name="OSRRefE21_11x_0" localSheetId="68">'325'!$H$60</definedName>
    <definedName name="OSRRefE21_11x_0" localSheetId="58">'326'!$H$82</definedName>
    <definedName name="OSRRefE21_11x_0" localSheetId="51">'330'!$H$83:$H$84</definedName>
    <definedName name="OSRRefE21_11x_0" localSheetId="56">'331'!$H$116</definedName>
    <definedName name="OSRRefE21_11x_0" localSheetId="59">'332'!$H$74</definedName>
    <definedName name="OSRRefE21_11x_0" localSheetId="73">'405'!$H$62:$H$65</definedName>
    <definedName name="OSRRefE21_11x_0" localSheetId="75">'411'!$H$63</definedName>
    <definedName name="OSRRefE21_11x_0" localSheetId="76">'412'!$H$64:$H$68</definedName>
    <definedName name="OSRRefE21_11x_0" localSheetId="77">'413'!$H$70:$H$71</definedName>
    <definedName name="OSRRefE21_11x_0" localSheetId="78">'414'!$H$63</definedName>
    <definedName name="OSRRefE21_11x_0" localSheetId="79">'415'!$H$66:$H$67</definedName>
    <definedName name="OSRRefE21_11x_0" localSheetId="80">'418'!$H$64:$H$72</definedName>
    <definedName name="OSRRefE21_11x_0" localSheetId="88">'433'!$H$66:$H$68</definedName>
    <definedName name="OSRRefE21_11x_0" localSheetId="90">'444'!$H$66:$H$68</definedName>
    <definedName name="OSRRefE21_11x_0" localSheetId="91">'450'!$H$62</definedName>
    <definedName name="OSRRefE21_11x_0" localSheetId="72">'491'!$H$69</definedName>
    <definedName name="OSRRefE21_11x_0" localSheetId="86">'492'!$H$66</definedName>
    <definedName name="OSRRefE21_11x_0" localSheetId="93">'501'!$H$64:$H$65</definedName>
    <definedName name="OSRRefE21_11x_0" localSheetId="39">'Div 2'!$H$62</definedName>
    <definedName name="OSRRefE21_11x_0" localSheetId="47">'Div 3'!$H$159:$H$160</definedName>
    <definedName name="OSRRefE21_11x_0" localSheetId="70">'Div 4'!$H$72</definedName>
    <definedName name="OSRRefE21_11x_0" localSheetId="92">'Div 5'!$H$64:$H$65</definedName>
    <definedName name="OSRRefE21_11x_0" localSheetId="61">'Div 6'!$H$91</definedName>
    <definedName name="OSRRefE21_11x_0" localSheetId="2">Summary!$H$187:$H$188</definedName>
    <definedName name="OSRRefE21_11x_1" localSheetId="41">'201'!$I$61</definedName>
    <definedName name="OSRRefE21_11x_1" localSheetId="42">'202'!$I$61</definedName>
    <definedName name="OSRRefE21_11x_1" localSheetId="43">'203'!$I$61:$I$63</definedName>
    <definedName name="OSRRefE21_11x_1" localSheetId="48">'300'!$I$155:$I$156</definedName>
    <definedName name="OSRRefE21_11x_1" localSheetId="49">'300 &amp; 317'!$I$177:$I$178</definedName>
    <definedName name="OSRRefE21_11x_1" localSheetId="50">'301'!$I$60</definedName>
    <definedName name="OSRRefE21_11x_1" localSheetId="52">'307'!$I$83:$I$84</definedName>
    <definedName name="OSRRefE21_11x_1" localSheetId="53">'308'!$I$97:$I$99</definedName>
    <definedName name="OSRRefE21_11x_1" localSheetId="63">'310'!$I$66</definedName>
    <definedName name="OSRRefE21_11x_1" localSheetId="71">'310 &amp; 491'!$I$73</definedName>
    <definedName name="OSRRefE21_11x_1" localSheetId="54">'311'!$I$96:$I$98</definedName>
    <definedName name="OSRRefE21_11x_1" localSheetId="57">'315'!$I$116</definedName>
    <definedName name="OSRRefE21_11x_1" localSheetId="60">'316'!$I$74</definedName>
    <definedName name="OSRRefE21_11x_1" localSheetId="62">'317'!$I$91</definedName>
    <definedName name="OSRRefE21_11x_1" localSheetId="66">'321'!$I$65</definedName>
    <definedName name="OSRRefE21_11x_1" localSheetId="68">'325'!$I$60</definedName>
    <definedName name="OSRRefE21_11x_1" localSheetId="58">'326'!$I$82</definedName>
    <definedName name="OSRRefE21_11x_1" localSheetId="51">'330'!$I$83:$I$84</definedName>
    <definedName name="OSRRefE21_11x_1" localSheetId="56">'331'!$I$116</definedName>
    <definedName name="OSRRefE21_11x_1" localSheetId="59">'332'!$I$74</definedName>
    <definedName name="OSRRefE21_11x_1" localSheetId="73">'405'!$I$62:$I$65</definedName>
    <definedName name="OSRRefE21_11x_1" localSheetId="75">'411'!$I$63</definedName>
    <definedName name="OSRRefE21_11x_1" localSheetId="76">'412'!$I$64:$I$68</definedName>
    <definedName name="OSRRefE21_11x_1" localSheetId="77">'413'!$I$70:$I$71</definedName>
    <definedName name="OSRRefE21_11x_1" localSheetId="78">'414'!$I$63</definedName>
    <definedName name="OSRRefE21_11x_1" localSheetId="79">'415'!$I$66:$I$67</definedName>
    <definedName name="OSRRefE21_11x_1" localSheetId="80">'418'!$I$64:$I$72</definedName>
    <definedName name="OSRRefE21_11x_1" localSheetId="88">'433'!$I$66:$I$68</definedName>
    <definedName name="OSRRefE21_11x_1" localSheetId="90">'444'!$I$66:$I$68</definedName>
    <definedName name="OSRRefE21_11x_1" localSheetId="91">'450'!$I$62</definedName>
    <definedName name="OSRRefE21_11x_1" localSheetId="72">'491'!$I$69</definedName>
    <definedName name="OSRRefE21_11x_1" localSheetId="86">'492'!$I$66</definedName>
    <definedName name="OSRRefE21_11x_1" localSheetId="93">'501'!$I$64:$I$65</definedName>
    <definedName name="OSRRefE21_11x_1" localSheetId="39">'Div 2'!$I$62</definedName>
    <definedName name="OSRRefE21_11x_1" localSheetId="47">'Div 3'!$I$159:$I$160</definedName>
    <definedName name="OSRRefE21_11x_1" localSheetId="70">'Div 4'!$I$72</definedName>
    <definedName name="OSRRefE21_11x_1" localSheetId="92">'Div 5'!$I$64:$I$65</definedName>
    <definedName name="OSRRefE21_11x_1" localSheetId="61">'Div 6'!$I$91</definedName>
    <definedName name="OSRRefE21_11x_1" localSheetId="2">Summary!$I$187:$I$188</definedName>
    <definedName name="OSRRefE21_11x_2" localSheetId="41">'201'!$J$61</definedName>
    <definedName name="OSRRefE21_11x_2" localSheetId="42">'202'!$J$61</definedName>
    <definedName name="OSRRefE21_11x_2" localSheetId="43">'203'!$J$61:$J$63</definedName>
    <definedName name="OSRRefE21_11x_2" localSheetId="48">'300'!$J$155:$J$156</definedName>
    <definedName name="OSRRefE21_11x_2" localSheetId="49">'300 &amp; 317'!$J$177:$J$178</definedName>
    <definedName name="OSRRefE21_11x_2" localSheetId="50">'301'!$J$60</definedName>
    <definedName name="OSRRefE21_11x_2" localSheetId="52">'307'!$J$83:$J$84</definedName>
    <definedName name="OSRRefE21_11x_2" localSheetId="53">'308'!$J$97:$J$99</definedName>
    <definedName name="OSRRefE21_11x_2" localSheetId="63">'310'!$J$66</definedName>
    <definedName name="OSRRefE21_11x_2" localSheetId="71">'310 &amp; 491'!$J$73</definedName>
    <definedName name="OSRRefE21_11x_2" localSheetId="54">'311'!$J$96:$J$98</definedName>
    <definedName name="OSRRefE21_11x_2" localSheetId="57">'315'!$J$116</definedName>
    <definedName name="OSRRefE21_11x_2" localSheetId="60">'316'!$J$74</definedName>
    <definedName name="OSRRefE21_11x_2" localSheetId="62">'317'!$J$91</definedName>
    <definedName name="OSRRefE21_11x_2" localSheetId="66">'321'!$J$65</definedName>
    <definedName name="OSRRefE21_11x_2" localSheetId="68">'325'!$J$60</definedName>
    <definedName name="OSRRefE21_11x_2" localSheetId="58">'326'!$J$82</definedName>
    <definedName name="OSRRefE21_11x_2" localSheetId="51">'330'!$J$83:$J$84</definedName>
    <definedName name="OSRRefE21_11x_2" localSheetId="56">'331'!$J$116</definedName>
    <definedName name="OSRRefE21_11x_2" localSheetId="59">'332'!$J$74</definedName>
    <definedName name="OSRRefE21_11x_2" localSheetId="73">'405'!$J$62:$J$65</definedName>
    <definedName name="OSRRefE21_11x_2" localSheetId="75">'411'!$J$63</definedName>
    <definedName name="OSRRefE21_11x_2" localSheetId="76">'412'!$J$64:$J$68</definedName>
    <definedName name="OSRRefE21_11x_2" localSheetId="77">'413'!$J$70:$J$71</definedName>
    <definedName name="OSRRefE21_11x_2" localSheetId="78">'414'!$J$63</definedName>
    <definedName name="OSRRefE21_11x_2" localSheetId="79">'415'!$J$66:$J$67</definedName>
    <definedName name="OSRRefE21_11x_2" localSheetId="80">'418'!$J$64:$J$72</definedName>
    <definedName name="OSRRefE21_11x_2" localSheetId="88">'433'!$J$66:$J$68</definedName>
    <definedName name="OSRRefE21_11x_2" localSheetId="90">'444'!$J$66:$J$68</definedName>
    <definedName name="OSRRefE21_11x_2" localSheetId="91">'450'!$J$62</definedName>
    <definedName name="OSRRefE21_11x_2" localSheetId="72">'491'!$J$69</definedName>
    <definedName name="OSRRefE21_11x_2" localSheetId="86">'492'!$J$66</definedName>
    <definedName name="OSRRefE21_11x_2" localSheetId="93">'501'!$J$64:$J$65</definedName>
    <definedName name="OSRRefE21_11x_2" localSheetId="39">'Div 2'!$J$62</definedName>
    <definedName name="OSRRefE21_11x_2" localSheetId="47">'Div 3'!$J$159:$J$160</definedName>
    <definedName name="OSRRefE21_11x_2" localSheetId="70">'Div 4'!$J$72</definedName>
    <definedName name="OSRRefE21_11x_2" localSheetId="92">'Div 5'!$J$64:$J$65</definedName>
    <definedName name="OSRRefE21_11x_2" localSheetId="61">'Div 6'!$J$91</definedName>
    <definedName name="OSRRefE21_11x_2" localSheetId="2">Summary!$J$187:$J$188</definedName>
    <definedName name="OSRRefE21_11x_3" localSheetId="41">'201'!$K$61</definedName>
    <definedName name="OSRRefE21_11x_3" localSheetId="42">'202'!$K$61</definedName>
    <definedName name="OSRRefE21_11x_3" localSheetId="43">'203'!$K$61:$K$63</definedName>
    <definedName name="OSRRefE21_11x_3" localSheetId="48">'300'!$K$155:$K$156</definedName>
    <definedName name="OSRRefE21_11x_3" localSheetId="49">'300 &amp; 317'!$K$177:$K$178</definedName>
    <definedName name="OSRRefE21_11x_3" localSheetId="50">'301'!$K$60</definedName>
    <definedName name="OSRRefE21_11x_3" localSheetId="52">'307'!$K$83:$K$84</definedName>
    <definedName name="OSRRefE21_11x_3" localSheetId="53">'308'!$K$97:$K$99</definedName>
    <definedName name="OSRRefE21_11x_3" localSheetId="63">'310'!$K$66</definedName>
    <definedName name="OSRRefE21_11x_3" localSheetId="71">'310 &amp; 491'!$K$73</definedName>
    <definedName name="OSRRefE21_11x_3" localSheetId="54">'311'!$K$96:$K$98</definedName>
    <definedName name="OSRRefE21_11x_3" localSheetId="57">'315'!$K$116</definedName>
    <definedName name="OSRRefE21_11x_3" localSheetId="60">'316'!$K$74</definedName>
    <definedName name="OSRRefE21_11x_3" localSheetId="62">'317'!$K$91</definedName>
    <definedName name="OSRRefE21_11x_3" localSheetId="66">'321'!$K$65</definedName>
    <definedName name="OSRRefE21_11x_3" localSheetId="68">'325'!$K$60</definedName>
    <definedName name="OSRRefE21_11x_3" localSheetId="58">'326'!$K$82</definedName>
    <definedName name="OSRRefE21_11x_3" localSheetId="51">'330'!$K$83:$K$84</definedName>
    <definedName name="OSRRefE21_11x_3" localSheetId="56">'331'!$K$116</definedName>
    <definedName name="OSRRefE21_11x_3" localSheetId="59">'332'!$K$74</definedName>
    <definedName name="OSRRefE21_11x_3" localSheetId="73">'405'!$K$62:$K$65</definedName>
    <definedName name="OSRRefE21_11x_3" localSheetId="75">'411'!$K$63</definedName>
    <definedName name="OSRRefE21_11x_3" localSheetId="76">'412'!$K$64:$K$68</definedName>
    <definedName name="OSRRefE21_11x_3" localSheetId="77">'413'!$K$70:$K$71</definedName>
    <definedName name="OSRRefE21_11x_3" localSheetId="78">'414'!$K$63</definedName>
    <definedName name="OSRRefE21_11x_3" localSheetId="79">'415'!$K$66:$K$67</definedName>
    <definedName name="OSRRefE21_11x_3" localSheetId="80">'418'!$K$64:$K$72</definedName>
    <definedName name="OSRRefE21_11x_3" localSheetId="88">'433'!$K$66:$K$68</definedName>
    <definedName name="OSRRefE21_11x_3" localSheetId="90">'444'!$K$66:$K$68</definedName>
    <definedName name="OSRRefE21_11x_3" localSheetId="91">'450'!$K$62</definedName>
    <definedName name="OSRRefE21_11x_3" localSheetId="72">'491'!$K$69</definedName>
    <definedName name="OSRRefE21_11x_3" localSheetId="86">'492'!$K$66</definedName>
    <definedName name="OSRRefE21_11x_3" localSheetId="93">'501'!$K$64:$K$65</definedName>
    <definedName name="OSRRefE21_11x_3" localSheetId="39">'Div 2'!$K$62</definedName>
    <definedName name="OSRRefE21_11x_3" localSheetId="47">'Div 3'!$K$159:$K$160</definedName>
    <definedName name="OSRRefE21_11x_3" localSheetId="70">'Div 4'!$K$72</definedName>
    <definedName name="OSRRefE21_11x_3" localSheetId="92">'Div 5'!$K$64:$K$65</definedName>
    <definedName name="OSRRefE21_11x_3" localSheetId="61">'Div 6'!$K$91</definedName>
    <definedName name="OSRRefE21_11x_3" localSheetId="2">Summary!$K$187:$K$188</definedName>
    <definedName name="OSRRefE21_11x_4" localSheetId="41">'201'!$L$61</definedName>
    <definedName name="OSRRefE21_11x_4" localSheetId="42">'202'!$L$61</definedName>
    <definedName name="OSRRefE21_11x_4" localSheetId="43">'203'!$L$61:$L$63</definedName>
    <definedName name="OSRRefE21_11x_4" localSheetId="48">'300'!$L$155:$L$156</definedName>
    <definedName name="OSRRefE21_11x_4" localSheetId="49">'300 &amp; 317'!$L$177:$L$178</definedName>
    <definedName name="OSRRefE21_11x_4" localSheetId="50">'301'!$L$60</definedName>
    <definedName name="OSRRefE21_11x_4" localSheetId="52">'307'!$L$83:$L$84</definedName>
    <definedName name="OSRRefE21_11x_4" localSheetId="53">'308'!$L$97:$L$99</definedName>
    <definedName name="OSRRefE21_11x_4" localSheetId="63">'310'!$L$66</definedName>
    <definedName name="OSRRefE21_11x_4" localSheetId="71">'310 &amp; 491'!$L$73</definedName>
    <definedName name="OSRRefE21_11x_4" localSheetId="54">'311'!$L$96:$L$98</definedName>
    <definedName name="OSRRefE21_11x_4" localSheetId="57">'315'!$L$116</definedName>
    <definedName name="OSRRefE21_11x_4" localSheetId="60">'316'!$L$74</definedName>
    <definedName name="OSRRefE21_11x_4" localSheetId="62">'317'!$L$91</definedName>
    <definedName name="OSRRefE21_11x_4" localSheetId="66">'321'!$L$65</definedName>
    <definedName name="OSRRefE21_11x_4" localSheetId="68">'325'!$L$60</definedName>
    <definedName name="OSRRefE21_11x_4" localSheetId="58">'326'!$L$82</definedName>
    <definedName name="OSRRefE21_11x_4" localSheetId="51">'330'!$L$83:$L$84</definedName>
    <definedName name="OSRRefE21_11x_4" localSheetId="56">'331'!$L$116</definedName>
    <definedName name="OSRRefE21_11x_4" localSheetId="59">'332'!$L$74</definedName>
    <definedName name="OSRRefE21_11x_4" localSheetId="73">'405'!$L$62:$L$65</definedName>
    <definedName name="OSRRefE21_11x_4" localSheetId="75">'411'!$L$63</definedName>
    <definedName name="OSRRefE21_11x_4" localSheetId="76">'412'!$L$64:$L$68</definedName>
    <definedName name="OSRRefE21_11x_4" localSheetId="77">'413'!$L$70:$L$71</definedName>
    <definedName name="OSRRefE21_11x_4" localSheetId="78">'414'!$L$63</definedName>
    <definedName name="OSRRefE21_11x_4" localSheetId="79">'415'!$L$66:$L$67</definedName>
    <definedName name="OSRRefE21_11x_4" localSheetId="80">'418'!$L$64:$L$72</definedName>
    <definedName name="OSRRefE21_11x_4" localSheetId="88">'433'!$L$66:$L$68</definedName>
    <definedName name="OSRRefE21_11x_4" localSheetId="90">'444'!$L$66:$L$68</definedName>
    <definedName name="OSRRefE21_11x_4" localSheetId="91">'450'!$L$62</definedName>
    <definedName name="OSRRefE21_11x_4" localSheetId="72">'491'!$L$69</definedName>
    <definedName name="OSRRefE21_11x_4" localSheetId="86">'492'!$L$66</definedName>
    <definedName name="OSRRefE21_11x_4" localSheetId="93">'501'!$L$64:$L$65</definedName>
    <definedName name="OSRRefE21_11x_4" localSheetId="39">'Div 2'!$L$62</definedName>
    <definedName name="OSRRefE21_11x_4" localSheetId="47">'Div 3'!$L$159:$L$160</definedName>
    <definedName name="OSRRefE21_11x_4" localSheetId="70">'Div 4'!$L$72</definedName>
    <definedName name="OSRRefE21_11x_4" localSheetId="92">'Div 5'!$L$64:$L$65</definedName>
    <definedName name="OSRRefE21_11x_4" localSheetId="61">'Div 6'!$L$91</definedName>
    <definedName name="OSRRefE21_11x_4" localSheetId="2">Summary!$L$187:$L$188</definedName>
    <definedName name="OSRRefE21_11x_5" localSheetId="41">'201'!$M$61</definedName>
    <definedName name="OSRRefE21_11x_5" localSheetId="42">'202'!$M$61</definedName>
    <definedName name="OSRRefE21_11x_5" localSheetId="43">'203'!$M$61:$M$63</definedName>
    <definedName name="OSRRefE21_11x_5" localSheetId="48">'300'!$M$155:$M$156</definedName>
    <definedName name="OSRRefE21_11x_5" localSheetId="49">'300 &amp; 317'!$M$177:$M$178</definedName>
    <definedName name="OSRRefE21_11x_5" localSheetId="50">'301'!$M$60</definedName>
    <definedName name="OSRRefE21_11x_5" localSheetId="52">'307'!$M$83:$M$84</definedName>
    <definedName name="OSRRefE21_11x_5" localSheetId="53">'308'!$M$97:$M$99</definedName>
    <definedName name="OSRRefE21_11x_5" localSheetId="63">'310'!$M$66</definedName>
    <definedName name="OSRRefE21_11x_5" localSheetId="71">'310 &amp; 491'!$M$73</definedName>
    <definedName name="OSRRefE21_11x_5" localSheetId="54">'311'!$M$96:$M$98</definedName>
    <definedName name="OSRRefE21_11x_5" localSheetId="57">'315'!$M$116</definedName>
    <definedName name="OSRRefE21_11x_5" localSheetId="60">'316'!$M$74</definedName>
    <definedName name="OSRRefE21_11x_5" localSheetId="62">'317'!$M$91</definedName>
    <definedName name="OSRRefE21_11x_5" localSheetId="66">'321'!$M$65</definedName>
    <definedName name="OSRRefE21_11x_5" localSheetId="68">'325'!$M$60</definedName>
    <definedName name="OSRRefE21_11x_5" localSheetId="58">'326'!$M$82</definedName>
    <definedName name="OSRRefE21_11x_5" localSheetId="51">'330'!$M$83:$M$84</definedName>
    <definedName name="OSRRefE21_11x_5" localSheetId="56">'331'!$M$116</definedName>
    <definedName name="OSRRefE21_11x_5" localSheetId="59">'332'!$M$74</definedName>
    <definedName name="OSRRefE21_11x_5" localSheetId="73">'405'!$M$62:$M$65</definedName>
    <definedName name="OSRRefE21_11x_5" localSheetId="75">'411'!$M$63</definedName>
    <definedName name="OSRRefE21_11x_5" localSheetId="76">'412'!$M$64:$M$68</definedName>
    <definedName name="OSRRefE21_11x_5" localSheetId="77">'413'!$M$70:$M$71</definedName>
    <definedName name="OSRRefE21_11x_5" localSheetId="78">'414'!$M$63</definedName>
    <definedName name="OSRRefE21_11x_5" localSheetId="79">'415'!$M$66:$M$67</definedName>
    <definedName name="OSRRefE21_11x_5" localSheetId="80">'418'!$M$64:$M$72</definedName>
    <definedName name="OSRRefE21_11x_5" localSheetId="88">'433'!$M$66:$M$68</definedName>
    <definedName name="OSRRefE21_11x_5" localSheetId="90">'444'!$M$66:$M$68</definedName>
    <definedName name="OSRRefE21_11x_5" localSheetId="91">'450'!$M$62</definedName>
    <definedName name="OSRRefE21_11x_5" localSheetId="72">'491'!$M$69</definedName>
    <definedName name="OSRRefE21_11x_5" localSheetId="86">'492'!$M$66</definedName>
    <definedName name="OSRRefE21_11x_5" localSheetId="93">'501'!$M$64:$M$65</definedName>
    <definedName name="OSRRefE21_11x_5" localSheetId="39">'Div 2'!$M$62</definedName>
    <definedName name="OSRRefE21_11x_5" localSheetId="47">'Div 3'!$M$159:$M$160</definedName>
    <definedName name="OSRRefE21_11x_5" localSheetId="70">'Div 4'!$M$72</definedName>
    <definedName name="OSRRefE21_11x_5" localSheetId="92">'Div 5'!$M$64:$M$65</definedName>
    <definedName name="OSRRefE21_11x_5" localSheetId="61">'Div 6'!$M$91</definedName>
    <definedName name="OSRRefE21_11x_5" localSheetId="2">Summary!$M$187:$M$188</definedName>
    <definedName name="OSRRefE21_11x_6" localSheetId="41">'201'!$N$61</definedName>
    <definedName name="OSRRefE21_11x_6" localSheetId="42">'202'!$N$61</definedName>
    <definedName name="OSRRefE21_11x_6" localSheetId="43">'203'!$N$61:$N$63</definedName>
    <definedName name="OSRRefE21_11x_6" localSheetId="48">'300'!$N$155:$N$156</definedName>
    <definedName name="OSRRefE21_11x_6" localSheetId="49">'300 &amp; 317'!$N$177:$N$178</definedName>
    <definedName name="OSRRefE21_11x_6" localSheetId="50">'301'!$N$60</definedName>
    <definedName name="OSRRefE21_11x_6" localSheetId="52">'307'!$N$83:$N$84</definedName>
    <definedName name="OSRRefE21_11x_6" localSheetId="53">'308'!$N$97:$N$99</definedName>
    <definedName name="OSRRefE21_11x_6" localSheetId="63">'310'!$N$66</definedName>
    <definedName name="OSRRefE21_11x_6" localSheetId="71">'310 &amp; 491'!$N$73</definedName>
    <definedName name="OSRRefE21_11x_6" localSheetId="54">'311'!$N$96:$N$98</definedName>
    <definedName name="OSRRefE21_11x_6" localSheetId="57">'315'!$N$116</definedName>
    <definedName name="OSRRefE21_11x_6" localSheetId="60">'316'!$N$74</definedName>
    <definedName name="OSRRefE21_11x_6" localSheetId="62">'317'!$N$91</definedName>
    <definedName name="OSRRefE21_11x_6" localSheetId="66">'321'!$N$65</definedName>
    <definedName name="OSRRefE21_11x_6" localSheetId="68">'325'!$N$60</definedName>
    <definedName name="OSRRefE21_11x_6" localSheetId="58">'326'!$N$82</definedName>
    <definedName name="OSRRefE21_11x_6" localSheetId="51">'330'!$N$83:$N$84</definedName>
    <definedName name="OSRRefE21_11x_6" localSheetId="56">'331'!$N$116</definedName>
    <definedName name="OSRRefE21_11x_6" localSheetId="59">'332'!$N$74</definedName>
    <definedName name="OSRRefE21_11x_6" localSheetId="73">'405'!$N$62:$N$65</definedName>
    <definedName name="OSRRefE21_11x_6" localSheetId="75">'411'!$N$63</definedName>
    <definedName name="OSRRefE21_11x_6" localSheetId="76">'412'!$N$64:$N$68</definedName>
    <definedName name="OSRRefE21_11x_6" localSheetId="77">'413'!$N$70:$N$71</definedName>
    <definedName name="OSRRefE21_11x_6" localSheetId="78">'414'!$N$63</definedName>
    <definedName name="OSRRefE21_11x_6" localSheetId="79">'415'!$N$66:$N$67</definedName>
    <definedName name="OSRRefE21_11x_6" localSheetId="80">'418'!$N$64:$N$72</definedName>
    <definedName name="OSRRefE21_11x_6" localSheetId="88">'433'!$N$66:$N$68</definedName>
    <definedName name="OSRRefE21_11x_6" localSheetId="90">'444'!$N$66:$N$68</definedName>
    <definedName name="OSRRefE21_11x_6" localSheetId="91">'450'!$N$62</definedName>
    <definedName name="OSRRefE21_11x_6" localSheetId="72">'491'!$N$69</definedName>
    <definedName name="OSRRefE21_11x_6" localSheetId="86">'492'!$N$66</definedName>
    <definedName name="OSRRefE21_11x_6" localSheetId="93">'501'!$N$64:$N$65</definedName>
    <definedName name="OSRRefE21_11x_6" localSheetId="39">'Div 2'!$N$62</definedName>
    <definedName name="OSRRefE21_11x_6" localSheetId="47">'Div 3'!$N$159:$N$160</definedName>
    <definedName name="OSRRefE21_11x_6" localSheetId="70">'Div 4'!$N$72</definedName>
    <definedName name="OSRRefE21_11x_6" localSheetId="92">'Div 5'!$N$64:$N$65</definedName>
    <definedName name="OSRRefE21_11x_6" localSheetId="61">'Div 6'!$N$91</definedName>
    <definedName name="OSRRefE21_11x_6" localSheetId="2">Summary!$N$187:$N$188</definedName>
    <definedName name="OSRRefE21_11x_7" localSheetId="41">'201'!$O$61</definedName>
    <definedName name="OSRRefE21_11x_7" localSheetId="42">'202'!$O$61</definedName>
    <definedName name="OSRRefE21_11x_7" localSheetId="43">'203'!$O$61:$O$63</definedName>
    <definedName name="OSRRefE21_11x_7" localSheetId="48">'300'!$O$155:$O$156</definedName>
    <definedName name="OSRRefE21_11x_7" localSheetId="49">'300 &amp; 317'!$O$177:$O$178</definedName>
    <definedName name="OSRRefE21_11x_7" localSheetId="50">'301'!$O$60</definedName>
    <definedName name="OSRRefE21_11x_7" localSheetId="52">'307'!$O$83:$O$84</definedName>
    <definedName name="OSRRefE21_11x_7" localSheetId="53">'308'!$O$97:$O$99</definedName>
    <definedName name="OSRRefE21_11x_7" localSheetId="63">'310'!$O$66</definedName>
    <definedName name="OSRRefE21_11x_7" localSheetId="71">'310 &amp; 491'!$O$73</definedName>
    <definedName name="OSRRefE21_11x_7" localSheetId="54">'311'!$O$96:$O$98</definedName>
    <definedName name="OSRRefE21_11x_7" localSheetId="57">'315'!$O$116</definedName>
    <definedName name="OSRRefE21_11x_7" localSheetId="60">'316'!$O$74</definedName>
    <definedName name="OSRRefE21_11x_7" localSheetId="62">'317'!$O$91</definedName>
    <definedName name="OSRRefE21_11x_7" localSheetId="66">'321'!$O$65</definedName>
    <definedName name="OSRRefE21_11x_7" localSheetId="68">'325'!$O$60</definedName>
    <definedName name="OSRRefE21_11x_7" localSheetId="58">'326'!$O$82</definedName>
    <definedName name="OSRRefE21_11x_7" localSheetId="51">'330'!$O$83:$O$84</definedName>
    <definedName name="OSRRefE21_11x_7" localSheetId="56">'331'!$O$116</definedName>
    <definedName name="OSRRefE21_11x_7" localSheetId="59">'332'!$O$74</definedName>
    <definedName name="OSRRefE21_11x_7" localSheetId="73">'405'!$O$62:$O$65</definedName>
    <definedName name="OSRRefE21_11x_7" localSheetId="75">'411'!$O$63</definedName>
    <definedName name="OSRRefE21_11x_7" localSheetId="76">'412'!$O$64:$O$68</definedName>
    <definedName name="OSRRefE21_11x_7" localSheetId="77">'413'!$O$70:$O$71</definedName>
    <definedName name="OSRRefE21_11x_7" localSheetId="78">'414'!$O$63</definedName>
    <definedName name="OSRRefE21_11x_7" localSheetId="79">'415'!$O$66:$O$67</definedName>
    <definedName name="OSRRefE21_11x_7" localSheetId="80">'418'!$O$64:$O$72</definedName>
    <definedName name="OSRRefE21_11x_7" localSheetId="88">'433'!$O$66:$O$68</definedName>
    <definedName name="OSRRefE21_11x_7" localSheetId="90">'444'!$O$66:$O$68</definedName>
    <definedName name="OSRRefE21_11x_7" localSheetId="91">'450'!$O$62</definedName>
    <definedName name="OSRRefE21_11x_7" localSheetId="72">'491'!$O$69</definedName>
    <definedName name="OSRRefE21_11x_7" localSheetId="86">'492'!$O$66</definedName>
    <definedName name="OSRRefE21_11x_7" localSheetId="93">'501'!$O$64:$O$65</definedName>
    <definedName name="OSRRefE21_11x_7" localSheetId="39">'Div 2'!$O$62</definedName>
    <definedName name="OSRRefE21_11x_7" localSheetId="47">'Div 3'!$O$159:$O$160</definedName>
    <definedName name="OSRRefE21_11x_7" localSheetId="70">'Div 4'!$O$72</definedName>
    <definedName name="OSRRefE21_11x_7" localSheetId="92">'Div 5'!$O$64:$O$65</definedName>
    <definedName name="OSRRefE21_11x_7" localSheetId="61">'Div 6'!$O$91</definedName>
    <definedName name="OSRRefE21_11x_7" localSheetId="2">Summary!$O$187:$O$188</definedName>
    <definedName name="OSRRefE21_12_0x" localSheetId="41">'201'!$H$63:$O$63</definedName>
    <definedName name="OSRRefE21_12_0x" localSheetId="42">'202'!$H$63:$O$63</definedName>
    <definedName name="OSRRefE21_12_0x" localSheetId="43">'203'!$H$65:$O$65</definedName>
    <definedName name="OSRRefE21_12_0x" localSheetId="48">'300'!$H$158:$O$158</definedName>
    <definedName name="OSRRefE21_12_0x" localSheetId="49">'300 &amp; 317'!$H$180:$O$180</definedName>
    <definedName name="OSRRefE21_12_0x" localSheetId="50">'301'!$H$62:$O$62</definedName>
    <definedName name="OSRRefE21_12_0x" localSheetId="52">'307'!$H$86:$O$86</definedName>
    <definedName name="OSRRefE21_12_0x" localSheetId="53">'308'!$H$101:$O$101</definedName>
    <definedName name="OSRRefE21_12_0x" localSheetId="63">'310'!$H$68:$O$68</definedName>
    <definedName name="OSRRefE21_12_0x" localSheetId="71">'310 &amp; 491'!$H$75:$O$75</definedName>
    <definedName name="OSRRefE21_12_0x" localSheetId="54">'311'!$H$100:$O$100</definedName>
    <definedName name="OSRRefE21_12_0x" localSheetId="57">'315'!$H$118:$O$118</definedName>
    <definedName name="OSRRefE21_12_0x" localSheetId="62">'317'!$H$93:$O$93</definedName>
    <definedName name="OSRRefE21_12_0x" localSheetId="66">'321'!$H$67:$O$67</definedName>
    <definedName name="OSRRefE21_12_0x" localSheetId="68">'325'!$H$62:$O$62</definedName>
    <definedName name="OSRRefE21_12_0x" localSheetId="58">'326'!$H$84:$O$84</definedName>
    <definedName name="OSRRefE21_12_0x" localSheetId="51">'330'!$H$86:$O$86</definedName>
    <definedName name="OSRRefE21_12_0x" localSheetId="56">'331'!$H$118:$O$118</definedName>
    <definedName name="OSRRefE21_12_0x" localSheetId="73">'405'!$H$67:$O$67</definedName>
    <definedName name="OSRRefE21_12_0x" localSheetId="75">'411'!$H$65:$O$65</definedName>
    <definedName name="OSRRefE21_12_0x" localSheetId="76">'412'!$H$70:$O$70</definedName>
    <definedName name="OSRRefE21_12_0x" localSheetId="78">'414'!$H$65:$O$65</definedName>
    <definedName name="OSRRefE21_12_0x" localSheetId="79">'415'!$H$69:$O$69</definedName>
    <definedName name="OSRRefE21_12_0x" localSheetId="80">'418'!$H$74:$O$74</definedName>
    <definedName name="OSRRefE21_12_0x" localSheetId="88">'433'!$H$70:$O$70</definedName>
    <definedName name="OSRRefE21_12_0x" localSheetId="90">'444'!$H$70:$O$70</definedName>
    <definedName name="OSRRefE21_12_0x" localSheetId="91">'450'!$H$64:$O$64</definedName>
    <definedName name="OSRRefE21_12_0x" localSheetId="72">'491'!$H$71:$O$71</definedName>
    <definedName name="OSRRefE21_12_0x" localSheetId="86">'492'!$H$68:$O$68</definedName>
    <definedName name="OSRRefE21_12_0x" localSheetId="93">'501'!$H$67:$O$67</definedName>
    <definedName name="OSRRefE21_12_0x" localSheetId="39">'Div 2'!$H$64:$O$64</definedName>
    <definedName name="OSRRefE21_12_0x" localSheetId="47">'Div 3'!$H$162:$O$162</definedName>
    <definedName name="OSRRefE21_12_0x" localSheetId="70">'Div 4'!$H$74:$O$74</definedName>
    <definedName name="OSRRefE21_12_0x" localSheetId="92">'Div 5'!$H$67:$O$67</definedName>
    <definedName name="OSRRefE21_12_0x" localSheetId="61">'Div 6'!$H$93:$O$93</definedName>
    <definedName name="OSRRefE21_12_0x" localSheetId="2">Summary!$H$190:$O$190</definedName>
    <definedName name="OSRRefE21_12_1x" localSheetId="53">'308'!$H$102:$O$102</definedName>
    <definedName name="OSRRefE21_12_1x" localSheetId="54">'311'!$H$101:$O$101</definedName>
    <definedName name="OSRRefE21_12_1x" localSheetId="57">'315'!$H$119:$O$119</definedName>
    <definedName name="OSRRefE21_12_1x" localSheetId="68">'325'!$H$63:$O$63</definedName>
    <definedName name="OSRRefE21_12_1x" localSheetId="58">'326'!$H$85:$O$85</definedName>
    <definedName name="OSRRefE21_12_1x" localSheetId="75">'411'!$H$66:$O$66</definedName>
    <definedName name="OSRRefE21_12_1x" localSheetId="76">'412'!$H$71:$O$71</definedName>
    <definedName name="OSRRefE21_12_1x" localSheetId="78">'414'!$H$66:$O$66</definedName>
    <definedName name="OSRRefE21_12_1x" localSheetId="79">'415'!$H$70:$O$70</definedName>
    <definedName name="OSRRefE21_12_1x" localSheetId="80">'418'!$H$75:$O$75</definedName>
    <definedName name="OSRRefE21_12_1x" localSheetId="88">'433'!$H$71:$O$71</definedName>
    <definedName name="OSRRefE21_12_1x" localSheetId="90">'444'!$H$71:$O$71</definedName>
    <definedName name="OSRRefE21_12_1x" localSheetId="86">'492'!$H$69:$O$69</definedName>
    <definedName name="OSRRefE21_12_1x" localSheetId="39">'Div 2'!$H$65:$O$65</definedName>
    <definedName name="OSRRefE21_12_2x" localSheetId="57">'315'!$H$120:$O$120</definedName>
    <definedName name="OSRRefE21_12_2x" localSheetId="68">'325'!$H$64:$O$64</definedName>
    <definedName name="OSRRefE21_12_2x" localSheetId="75">'411'!$H$67:$O$67</definedName>
    <definedName name="OSRRefE21_12_2x" localSheetId="78">'414'!$H$67:$O$67</definedName>
    <definedName name="OSRRefE21_12_2x" localSheetId="79">'415'!$H$71:$O$71</definedName>
    <definedName name="OSRRefE21_12_2x" localSheetId="88">'433'!$H$72:$O$72</definedName>
    <definedName name="OSRRefE21_12_2x" localSheetId="90">'444'!$H$72:$O$72</definedName>
    <definedName name="OSRRefE21_12_2x" localSheetId="86">'492'!$H$70:$O$70</definedName>
    <definedName name="OSRRefE21_12_2x" localSheetId="39">'Div 2'!$H$66:$O$66</definedName>
    <definedName name="OSRRefE21_12_3x" localSheetId="68">'325'!$H$65:$O$65</definedName>
    <definedName name="OSRRefE21_12_3x" localSheetId="75">'411'!$H$68:$O$68</definedName>
    <definedName name="OSRRefE21_12_3x" localSheetId="79">'415'!$H$72:$O$72</definedName>
    <definedName name="OSRRefE21_12_3x" localSheetId="88">'433'!$H$73:$O$73</definedName>
    <definedName name="OSRRefE21_12_3x" localSheetId="39">'Div 2'!$H$67:$O$67</definedName>
    <definedName name="OSRRefE21_12_4x" localSheetId="68">'325'!$H$66:$O$66</definedName>
    <definedName name="OSRRefE21_12_4x" localSheetId="75">'411'!$H$69:$O$69</definedName>
    <definedName name="OSRRefE21_12_5x" localSheetId="75">'411'!$H$70:$O$70</definedName>
    <definedName name="OSRRefE21_12x_0" localSheetId="41">'201'!$H$63</definedName>
    <definedName name="OSRRefE21_12x_0" localSheetId="42">'202'!$H$63</definedName>
    <definedName name="OSRRefE21_12x_0" localSheetId="43">'203'!$H$65</definedName>
    <definedName name="OSRRefE21_12x_0" localSheetId="48">'300'!$H$158</definedName>
    <definedName name="OSRRefE21_12x_0" localSheetId="49">'300 &amp; 317'!$H$180</definedName>
    <definedName name="OSRRefE21_12x_0" localSheetId="50">'301'!$H$62</definedName>
    <definedName name="OSRRefE21_12x_0" localSheetId="52">'307'!$H$86</definedName>
    <definedName name="OSRRefE21_12x_0" localSheetId="53">'308'!$H$101:$H$102</definedName>
    <definedName name="OSRRefE21_12x_0" localSheetId="63">'310'!$H$68</definedName>
    <definedName name="OSRRefE21_12x_0" localSheetId="71">'310 &amp; 491'!$H$75</definedName>
    <definedName name="OSRRefE21_12x_0" localSheetId="54">'311'!$H$100:$H$101</definedName>
    <definedName name="OSRRefE21_12x_0" localSheetId="57">'315'!$H$118:$H$120</definedName>
    <definedName name="OSRRefE21_12x_0" localSheetId="62">'317'!$H$93</definedName>
    <definedName name="OSRRefE21_12x_0" localSheetId="66">'321'!$H$67</definedName>
    <definedName name="OSRRefE21_12x_0" localSheetId="68">'325'!$H$62:$H$66</definedName>
    <definedName name="OSRRefE21_12x_0" localSheetId="58">'326'!$H$84:$H$85</definedName>
    <definedName name="OSRRefE21_12x_0" localSheetId="51">'330'!$H$86</definedName>
    <definedName name="OSRRefE21_12x_0" localSheetId="56">'331'!$H$118</definedName>
    <definedName name="OSRRefE21_12x_0" localSheetId="73">'405'!$H$67</definedName>
    <definedName name="OSRRefE21_12x_0" localSheetId="75">'411'!$H$65:$H$70</definedName>
    <definedName name="OSRRefE21_12x_0" localSheetId="76">'412'!$H$70:$H$71</definedName>
    <definedName name="OSRRefE21_12x_0" localSheetId="78">'414'!$H$65:$H$67</definedName>
    <definedName name="OSRRefE21_12x_0" localSheetId="79">'415'!$H$69:$H$72</definedName>
    <definedName name="OSRRefE21_12x_0" localSheetId="80">'418'!$H$74:$H$75</definedName>
    <definedName name="OSRRefE21_12x_0" localSheetId="88">'433'!$H$70:$H$73</definedName>
    <definedName name="OSRRefE21_12x_0" localSheetId="90">'444'!$H$70:$H$72</definedName>
    <definedName name="OSRRefE21_12x_0" localSheetId="91">'450'!$H$64</definedName>
    <definedName name="OSRRefE21_12x_0" localSheetId="72">'491'!$H$71</definedName>
    <definedName name="OSRRefE21_12x_0" localSheetId="86">'492'!$H$68:$H$70</definedName>
    <definedName name="OSRRefE21_12x_0" localSheetId="93">'501'!$H$67</definedName>
    <definedName name="OSRRefE21_12x_0" localSheetId="39">'Div 2'!$H$64:$H$67</definedName>
    <definedName name="OSRRefE21_12x_0" localSheetId="47">'Div 3'!$H$162</definedName>
    <definedName name="OSRRefE21_12x_0" localSheetId="70">'Div 4'!$H$74</definedName>
    <definedName name="OSRRefE21_12x_0" localSheetId="92">'Div 5'!$H$67</definedName>
    <definedName name="OSRRefE21_12x_0" localSheetId="61">'Div 6'!$H$93</definedName>
    <definedName name="OSRRefE21_12x_0" localSheetId="2">Summary!$H$190</definedName>
    <definedName name="OSRRefE21_12x_1" localSheetId="41">'201'!$I$63</definedName>
    <definedName name="OSRRefE21_12x_1" localSheetId="42">'202'!$I$63</definedName>
    <definedName name="OSRRefE21_12x_1" localSheetId="43">'203'!$I$65</definedName>
    <definedName name="OSRRefE21_12x_1" localSheetId="48">'300'!$I$158</definedName>
    <definedName name="OSRRefE21_12x_1" localSheetId="49">'300 &amp; 317'!$I$180</definedName>
    <definedName name="OSRRefE21_12x_1" localSheetId="50">'301'!$I$62</definedName>
    <definedName name="OSRRefE21_12x_1" localSheetId="52">'307'!$I$86</definedName>
    <definedName name="OSRRefE21_12x_1" localSheetId="53">'308'!$I$101:$I$102</definedName>
    <definedName name="OSRRefE21_12x_1" localSheetId="63">'310'!$I$68</definedName>
    <definedName name="OSRRefE21_12x_1" localSheetId="71">'310 &amp; 491'!$I$75</definedName>
    <definedName name="OSRRefE21_12x_1" localSheetId="54">'311'!$I$100:$I$101</definedName>
    <definedName name="OSRRefE21_12x_1" localSheetId="57">'315'!$I$118:$I$120</definedName>
    <definedName name="OSRRefE21_12x_1" localSheetId="62">'317'!$I$93</definedName>
    <definedName name="OSRRefE21_12x_1" localSheetId="66">'321'!$I$67</definedName>
    <definedName name="OSRRefE21_12x_1" localSheetId="68">'325'!$I$62:$I$66</definedName>
    <definedName name="OSRRefE21_12x_1" localSheetId="58">'326'!$I$84:$I$85</definedName>
    <definedName name="OSRRefE21_12x_1" localSheetId="51">'330'!$I$86</definedName>
    <definedName name="OSRRefE21_12x_1" localSheetId="56">'331'!$I$118</definedName>
    <definedName name="OSRRefE21_12x_1" localSheetId="73">'405'!$I$67</definedName>
    <definedName name="OSRRefE21_12x_1" localSheetId="75">'411'!$I$65:$I$70</definedName>
    <definedName name="OSRRefE21_12x_1" localSheetId="76">'412'!$I$70:$I$71</definedName>
    <definedName name="OSRRefE21_12x_1" localSheetId="78">'414'!$I$65:$I$67</definedName>
    <definedName name="OSRRefE21_12x_1" localSheetId="79">'415'!$I$69:$I$72</definedName>
    <definedName name="OSRRefE21_12x_1" localSheetId="80">'418'!$I$74:$I$75</definedName>
    <definedName name="OSRRefE21_12x_1" localSheetId="88">'433'!$I$70:$I$73</definedName>
    <definedName name="OSRRefE21_12x_1" localSheetId="90">'444'!$I$70:$I$72</definedName>
    <definedName name="OSRRefE21_12x_1" localSheetId="91">'450'!$I$64</definedName>
    <definedName name="OSRRefE21_12x_1" localSheetId="72">'491'!$I$71</definedName>
    <definedName name="OSRRefE21_12x_1" localSheetId="86">'492'!$I$68:$I$70</definedName>
    <definedName name="OSRRefE21_12x_1" localSheetId="93">'501'!$I$67</definedName>
    <definedName name="OSRRefE21_12x_1" localSheetId="39">'Div 2'!$I$64:$I$67</definedName>
    <definedName name="OSRRefE21_12x_1" localSheetId="47">'Div 3'!$I$162</definedName>
    <definedName name="OSRRefE21_12x_1" localSheetId="70">'Div 4'!$I$74</definedName>
    <definedName name="OSRRefE21_12x_1" localSheetId="92">'Div 5'!$I$67</definedName>
    <definedName name="OSRRefE21_12x_1" localSheetId="61">'Div 6'!$I$93</definedName>
    <definedName name="OSRRefE21_12x_1" localSheetId="2">Summary!$I$190</definedName>
    <definedName name="OSRRefE21_12x_2" localSheetId="41">'201'!$J$63</definedName>
    <definedName name="OSRRefE21_12x_2" localSheetId="42">'202'!$J$63</definedName>
    <definedName name="OSRRefE21_12x_2" localSheetId="43">'203'!$J$65</definedName>
    <definedName name="OSRRefE21_12x_2" localSheetId="48">'300'!$J$158</definedName>
    <definedName name="OSRRefE21_12x_2" localSheetId="49">'300 &amp; 317'!$J$180</definedName>
    <definedName name="OSRRefE21_12x_2" localSheetId="50">'301'!$J$62</definedName>
    <definedName name="OSRRefE21_12x_2" localSheetId="52">'307'!$J$86</definedName>
    <definedName name="OSRRefE21_12x_2" localSheetId="53">'308'!$J$101:$J$102</definedName>
    <definedName name="OSRRefE21_12x_2" localSheetId="63">'310'!$J$68</definedName>
    <definedName name="OSRRefE21_12x_2" localSheetId="71">'310 &amp; 491'!$J$75</definedName>
    <definedName name="OSRRefE21_12x_2" localSheetId="54">'311'!$J$100:$J$101</definedName>
    <definedName name="OSRRefE21_12x_2" localSheetId="57">'315'!$J$118:$J$120</definedName>
    <definedName name="OSRRefE21_12x_2" localSheetId="62">'317'!$J$93</definedName>
    <definedName name="OSRRefE21_12x_2" localSheetId="66">'321'!$J$67</definedName>
    <definedName name="OSRRefE21_12x_2" localSheetId="68">'325'!$J$62:$J$66</definedName>
    <definedName name="OSRRefE21_12x_2" localSheetId="58">'326'!$J$84:$J$85</definedName>
    <definedName name="OSRRefE21_12x_2" localSheetId="51">'330'!$J$86</definedName>
    <definedName name="OSRRefE21_12x_2" localSheetId="56">'331'!$J$118</definedName>
    <definedName name="OSRRefE21_12x_2" localSheetId="73">'405'!$J$67</definedName>
    <definedName name="OSRRefE21_12x_2" localSheetId="75">'411'!$J$65:$J$70</definedName>
    <definedName name="OSRRefE21_12x_2" localSheetId="76">'412'!$J$70:$J$71</definedName>
    <definedName name="OSRRefE21_12x_2" localSheetId="78">'414'!$J$65:$J$67</definedName>
    <definedName name="OSRRefE21_12x_2" localSheetId="79">'415'!$J$69:$J$72</definedName>
    <definedName name="OSRRefE21_12x_2" localSheetId="80">'418'!$J$74:$J$75</definedName>
    <definedName name="OSRRefE21_12x_2" localSheetId="88">'433'!$J$70:$J$73</definedName>
    <definedName name="OSRRefE21_12x_2" localSheetId="90">'444'!$J$70:$J$72</definedName>
    <definedName name="OSRRefE21_12x_2" localSheetId="91">'450'!$J$64</definedName>
    <definedName name="OSRRefE21_12x_2" localSheetId="72">'491'!$J$71</definedName>
    <definedName name="OSRRefE21_12x_2" localSheetId="86">'492'!$J$68:$J$70</definedName>
    <definedName name="OSRRefE21_12x_2" localSheetId="93">'501'!$J$67</definedName>
    <definedName name="OSRRefE21_12x_2" localSheetId="39">'Div 2'!$J$64:$J$67</definedName>
    <definedName name="OSRRefE21_12x_2" localSheetId="47">'Div 3'!$J$162</definedName>
    <definedName name="OSRRefE21_12x_2" localSheetId="70">'Div 4'!$J$74</definedName>
    <definedName name="OSRRefE21_12x_2" localSheetId="92">'Div 5'!$J$67</definedName>
    <definedName name="OSRRefE21_12x_2" localSheetId="61">'Div 6'!$J$93</definedName>
    <definedName name="OSRRefE21_12x_2" localSheetId="2">Summary!$J$190</definedName>
    <definedName name="OSRRefE21_12x_3" localSheetId="41">'201'!$K$63</definedName>
    <definedName name="OSRRefE21_12x_3" localSheetId="42">'202'!$K$63</definedName>
    <definedName name="OSRRefE21_12x_3" localSheetId="43">'203'!$K$65</definedName>
    <definedName name="OSRRefE21_12x_3" localSheetId="48">'300'!$K$158</definedName>
    <definedName name="OSRRefE21_12x_3" localSheetId="49">'300 &amp; 317'!$K$180</definedName>
    <definedName name="OSRRefE21_12x_3" localSheetId="50">'301'!$K$62</definedName>
    <definedName name="OSRRefE21_12x_3" localSheetId="52">'307'!$K$86</definedName>
    <definedName name="OSRRefE21_12x_3" localSheetId="53">'308'!$K$101:$K$102</definedName>
    <definedName name="OSRRefE21_12x_3" localSheetId="63">'310'!$K$68</definedName>
    <definedName name="OSRRefE21_12x_3" localSheetId="71">'310 &amp; 491'!$K$75</definedName>
    <definedName name="OSRRefE21_12x_3" localSheetId="54">'311'!$K$100:$K$101</definedName>
    <definedName name="OSRRefE21_12x_3" localSheetId="57">'315'!$K$118:$K$120</definedName>
    <definedName name="OSRRefE21_12x_3" localSheetId="62">'317'!$K$93</definedName>
    <definedName name="OSRRefE21_12x_3" localSheetId="66">'321'!$K$67</definedName>
    <definedName name="OSRRefE21_12x_3" localSheetId="68">'325'!$K$62:$K$66</definedName>
    <definedName name="OSRRefE21_12x_3" localSheetId="58">'326'!$K$84:$K$85</definedName>
    <definedName name="OSRRefE21_12x_3" localSheetId="51">'330'!$K$86</definedName>
    <definedName name="OSRRefE21_12x_3" localSheetId="56">'331'!$K$118</definedName>
    <definedName name="OSRRefE21_12x_3" localSheetId="73">'405'!$K$67</definedName>
    <definedName name="OSRRefE21_12x_3" localSheetId="75">'411'!$K$65:$K$70</definedName>
    <definedName name="OSRRefE21_12x_3" localSheetId="76">'412'!$K$70:$K$71</definedName>
    <definedName name="OSRRefE21_12x_3" localSheetId="78">'414'!$K$65:$K$67</definedName>
    <definedName name="OSRRefE21_12x_3" localSheetId="79">'415'!$K$69:$K$72</definedName>
    <definedName name="OSRRefE21_12x_3" localSheetId="80">'418'!$K$74:$K$75</definedName>
    <definedName name="OSRRefE21_12x_3" localSheetId="88">'433'!$K$70:$K$73</definedName>
    <definedName name="OSRRefE21_12x_3" localSheetId="90">'444'!$K$70:$K$72</definedName>
    <definedName name="OSRRefE21_12x_3" localSheetId="91">'450'!$K$64</definedName>
    <definedName name="OSRRefE21_12x_3" localSheetId="72">'491'!$K$71</definedName>
    <definedName name="OSRRefE21_12x_3" localSheetId="86">'492'!$K$68:$K$70</definedName>
    <definedName name="OSRRefE21_12x_3" localSheetId="93">'501'!$K$67</definedName>
    <definedName name="OSRRefE21_12x_3" localSheetId="39">'Div 2'!$K$64:$K$67</definedName>
    <definedName name="OSRRefE21_12x_3" localSheetId="47">'Div 3'!$K$162</definedName>
    <definedName name="OSRRefE21_12x_3" localSheetId="70">'Div 4'!$K$74</definedName>
    <definedName name="OSRRefE21_12x_3" localSheetId="92">'Div 5'!$K$67</definedName>
    <definedName name="OSRRefE21_12x_3" localSheetId="61">'Div 6'!$K$93</definedName>
    <definedName name="OSRRefE21_12x_3" localSheetId="2">Summary!$K$190</definedName>
    <definedName name="OSRRefE21_12x_4" localSheetId="41">'201'!$L$63</definedName>
    <definedName name="OSRRefE21_12x_4" localSheetId="42">'202'!$L$63</definedName>
    <definedName name="OSRRefE21_12x_4" localSheetId="43">'203'!$L$65</definedName>
    <definedName name="OSRRefE21_12x_4" localSheetId="48">'300'!$L$158</definedName>
    <definedName name="OSRRefE21_12x_4" localSheetId="49">'300 &amp; 317'!$L$180</definedName>
    <definedName name="OSRRefE21_12x_4" localSheetId="50">'301'!$L$62</definedName>
    <definedName name="OSRRefE21_12x_4" localSheetId="52">'307'!$L$86</definedName>
    <definedName name="OSRRefE21_12x_4" localSheetId="53">'308'!$L$101:$L$102</definedName>
    <definedName name="OSRRefE21_12x_4" localSheetId="63">'310'!$L$68</definedName>
    <definedName name="OSRRefE21_12x_4" localSheetId="71">'310 &amp; 491'!$L$75</definedName>
    <definedName name="OSRRefE21_12x_4" localSheetId="54">'311'!$L$100:$L$101</definedName>
    <definedName name="OSRRefE21_12x_4" localSheetId="57">'315'!$L$118:$L$120</definedName>
    <definedName name="OSRRefE21_12x_4" localSheetId="62">'317'!$L$93</definedName>
    <definedName name="OSRRefE21_12x_4" localSheetId="66">'321'!$L$67</definedName>
    <definedName name="OSRRefE21_12x_4" localSheetId="68">'325'!$L$62:$L$66</definedName>
    <definedName name="OSRRefE21_12x_4" localSheetId="58">'326'!$L$84:$L$85</definedName>
    <definedName name="OSRRefE21_12x_4" localSheetId="51">'330'!$L$86</definedName>
    <definedName name="OSRRefE21_12x_4" localSheetId="56">'331'!$L$118</definedName>
    <definedName name="OSRRefE21_12x_4" localSheetId="73">'405'!$L$67</definedName>
    <definedName name="OSRRefE21_12x_4" localSheetId="75">'411'!$L$65:$L$70</definedName>
    <definedName name="OSRRefE21_12x_4" localSheetId="76">'412'!$L$70:$L$71</definedName>
    <definedName name="OSRRefE21_12x_4" localSheetId="78">'414'!$L$65:$L$67</definedName>
    <definedName name="OSRRefE21_12x_4" localSheetId="79">'415'!$L$69:$L$72</definedName>
    <definedName name="OSRRefE21_12x_4" localSheetId="80">'418'!$L$74:$L$75</definedName>
    <definedName name="OSRRefE21_12x_4" localSheetId="88">'433'!$L$70:$L$73</definedName>
    <definedName name="OSRRefE21_12x_4" localSheetId="90">'444'!$L$70:$L$72</definedName>
    <definedName name="OSRRefE21_12x_4" localSheetId="91">'450'!$L$64</definedName>
    <definedName name="OSRRefE21_12x_4" localSheetId="72">'491'!$L$71</definedName>
    <definedName name="OSRRefE21_12x_4" localSheetId="86">'492'!$L$68:$L$70</definedName>
    <definedName name="OSRRefE21_12x_4" localSheetId="93">'501'!$L$67</definedName>
    <definedName name="OSRRefE21_12x_4" localSheetId="39">'Div 2'!$L$64:$L$67</definedName>
    <definedName name="OSRRefE21_12x_4" localSheetId="47">'Div 3'!$L$162</definedName>
    <definedName name="OSRRefE21_12x_4" localSheetId="70">'Div 4'!$L$74</definedName>
    <definedName name="OSRRefE21_12x_4" localSheetId="92">'Div 5'!$L$67</definedName>
    <definedName name="OSRRefE21_12x_4" localSheetId="61">'Div 6'!$L$93</definedName>
    <definedName name="OSRRefE21_12x_4" localSheetId="2">Summary!$L$190</definedName>
    <definedName name="OSRRefE21_12x_5" localSheetId="41">'201'!$M$63</definedName>
    <definedName name="OSRRefE21_12x_5" localSheetId="42">'202'!$M$63</definedName>
    <definedName name="OSRRefE21_12x_5" localSheetId="43">'203'!$M$65</definedName>
    <definedName name="OSRRefE21_12x_5" localSheetId="48">'300'!$M$158</definedName>
    <definedName name="OSRRefE21_12x_5" localSheetId="49">'300 &amp; 317'!$M$180</definedName>
    <definedName name="OSRRefE21_12x_5" localSheetId="50">'301'!$M$62</definedName>
    <definedName name="OSRRefE21_12x_5" localSheetId="52">'307'!$M$86</definedName>
    <definedName name="OSRRefE21_12x_5" localSheetId="53">'308'!$M$101:$M$102</definedName>
    <definedName name="OSRRefE21_12x_5" localSheetId="63">'310'!$M$68</definedName>
    <definedName name="OSRRefE21_12x_5" localSheetId="71">'310 &amp; 491'!$M$75</definedName>
    <definedName name="OSRRefE21_12x_5" localSheetId="54">'311'!$M$100:$M$101</definedName>
    <definedName name="OSRRefE21_12x_5" localSheetId="57">'315'!$M$118:$M$120</definedName>
    <definedName name="OSRRefE21_12x_5" localSheetId="62">'317'!$M$93</definedName>
    <definedName name="OSRRefE21_12x_5" localSheetId="66">'321'!$M$67</definedName>
    <definedName name="OSRRefE21_12x_5" localSheetId="68">'325'!$M$62:$M$66</definedName>
    <definedName name="OSRRefE21_12x_5" localSheetId="58">'326'!$M$84:$M$85</definedName>
    <definedName name="OSRRefE21_12x_5" localSheetId="51">'330'!$M$86</definedName>
    <definedName name="OSRRefE21_12x_5" localSheetId="56">'331'!$M$118</definedName>
    <definedName name="OSRRefE21_12x_5" localSheetId="73">'405'!$M$67</definedName>
    <definedName name="OSRRefE21_12x_5" localSheetId="75">'411'!$M$65:$M$70</definedName>
    <definedName name="OSRRefE21_12x_5" localSheetId="76">'412'!$M$70:$M$71</definedName>
    <definedName name="OSRRefE21_12x_5" localSheetId="78">'414'!$M$65:$M$67</definedName>
    <definedName name="OSRRefE21_12x_5" localSheetId="79">'415'!$M$69:$M$72</definedName>
    <definedName name="OSRRefE21_12x_5" localSheetId="80">'418'!$M$74:$M$75</definedName>
    <definedName name="OSRRefE21_12x_5" localSheetId="88">'433'!$M$70:$M$73</definedName>
    <definedName name="OSRRefE21_12x_5" localSheetId="90">'444'!$M$70:$M$72</definedName>
    <definedName name="OSRRefE21_12x_5" localSheetId="91">'450'!$M$64</definedName>
    <definedName name="OSRRefE21_12x_5" localSheetId="72">'491'!$M$71</definedName>
    <definedName name="OSRRefE21_12x_5" localSheetId="86">'492'!$M$68:$M$70</definedName>
    <definedName name="OSRRefE21_12x_5" localSheetId="93">'501'!$M$67</definedName>
    <definedName name="OSRRefE21_12x_5" localSheetId="39">'Div 2'!$M$64:$M$67</definedName>
    <definedName name="OSRRefE21_12x_5" localSheetId="47">'Div 3'!$M$162</definedName>
    <definedName name="OSRRefE21_12x_5" localSheetId="70">'Div 4'!$M$74</definedName>
    <definedName name="OSRRefE21_12x_5" localSheetId="92">'Div 5'!$M$67</definedName>
    <definedName name="OSRRefE21_12x_5" localSheetId="61">'Div 6'!$M$93</definedName>
    <definedName name="OSRRefE21_12x_5" localSheetId="2">Summary!$M$190</definedName>
    <definedName name="OSRRefE21_12x_6" localSheetId="41">'201'!$N$63</definedName>
    <definedName name="OSRRefE21_12x_6" localSheetId="42">'202'!$N$63</definedName>
    <definedName name="OSRRefE21_12x_6" localSheetId="43">'203'!$N$65</definedName>
    <definedName name="OSRRefE21_12x_6" localSheetId="48">'300'!$N$158</definedName>
    <definedName name="OSRRefE21_12x_6" localSheetId="49">'300 &amp; 317'!$N$180</definedName>
    <definedName name="OSRRefE21_12x_6" localSheetId="50">'301'!$N$62</definedName>
    <definedName name="OSRRefE21_12x_6" localSheetId="52">'307'!$N$86</definedName>
    <definedName name="OSRRefE21_12x_6" localSheetId="53">'308'!$N$101:$N$102</definedName>
    <definedName name="OSRRefE21_12x_6" localSheetId="63">'310'!$N$68</definedName>
    <definedName name="OSRRefE21_12x_6" localSheetId="71">'310 &amp; 491'!$N$75</definedName>
    <definedName name="OSRRefE21_12x_6" localSheetId="54">'311'!$N$100:$N$101</definedName>
    <definedName name="OSRRefE21_12x_6" localSheetId="57">'315'!$N$118:$N$120</definedName>
    <definedName name="OSRRefE21_12x_6" localSheetId="62">'317'!$N$93</definedName>
    <definedName name="OSRRefE21_12x_6" localSheetId="66">'321'!$N$67</definedName>
    <definedName name="OSRRefE21_12x_6" localSheetId="68">'325'!$N$62:$N$66</definedName>
    <definedName name="OSRRefE21_12x_6" localSheetId="58">'326'!$N$84:$N$85</definedName>
    <definedName name="OSRRefE21_12x_6" localSheetId="51">'330'!$N$86</definedName>
    <definedName name="OSRRefE21_12x_6" localSheetId="56">'331'!$N$118</definedName>
    <definedName name="OSRRefE21_12x_6" localSheetId="73">'405'!$N$67</definedName>
    <definedName name="OSRRefE21_12x_6" localSheetId="75">'411'!$N$65:$N$70</definedName>
    <definedName name="OSRRefE21_12x_6" localSheetId="76">'412'!$N$70:$N$71</definedName>
    <definedName name="OSRRefE21_12x_6" localSheetId="78">'414'!$N$65:$N$67</definedName>
    <definedName name="OSRRefE21_12x_6" localSheetId="79">'415'!$N$69:$N$72</definedName>
    <definedName name="OSRRefE21_12x_6" localSheetId="80">'418'!$N$74:$N$75</definedName>
    <definedName name="OSRRefE21_12x_6" localSheetId="88">'433'!$N$70:$N$73</definedName>
    <definedName name="OSRRefE21_12x_6" localSheetId="90">'444'!$N$70:$N$72</definedName>
    <definedName name="OSRRefE21_12x_6" localSheetId="91">'450'!$N$64</definedName>
    <definedName name="OSRRefE21_12x_6" localSheetId="72">'491'!$N$71</definedName>
    <definedName name="OSRRefE21_12x_6" localSheetId="86">'492'!$N$68:$N$70</definedName>
    <definedName name="OSRRefE21_12x_6" localSheetId="93">'501'!$N$67</definedName>
    <definedName name="OSRRefE21_12x_6" localSheetId="39">'Div 2'!$N$64:$N$67</definedName>
    <definedName name="OSRRefE21_12x_6" localSheetId="47">'Div 3'!$N$162</definedName>
    <definedName name="OSRRefE21_12x_6" localSheetId="70">'Div 4'!$N$74</definedName>
    <definedName name="OSRRefE21_12x_6" localSheetId="92">'Div 5'!$N$67</definedName>
    <definedName name="OSRRefE21_12x_6" localSheetId="61">'Div 6'!$N$93</definedName>
    <definedName name="OSRRefE21_12x_6" localSheetId="2">Summary!$N$190</definedName>
    <definedName name="OSRRefE21_12x_7" localSheetId="41">'201'!$O$63</definedName>
    <definedName name="OSRRefE21_12x_7" localSheetId="42">'202'!$O$63</definedName>
    <definedName name="OSRRefE21_12x_7" localSheetId="43">'203'!$O$65</definedName>
    <definedName name="OSRRefE21_12x_7" localSheetId="48">'300'!$O$158</definedName>
    <definedName name="OSRRefE21_12x_7" localSheetId="49">'300 &amp; 317'!$O$180</definedName>
    <definedName name="OSRRefE21_12x_7" localSheetId="50">'301'!$O$62</definedName>
    <definedName name="OSRRefE21_12x_7" localSheetId="52">'307'!$O$86</definedName>
    <definedName name="OSRRefE21_12x_7" localSheetId="53">'308'!$O$101:$O$102</definedName>
    <definedName name="OSRRefE21_12x_7" localSheetId="63">'310'!$O$68</definedName>
    <definedName name="OSRRefE21_12x_7" localSheetId="71">'310 &amp; 491'!$O$75</definedName>
    <definedName name="OSRRefE21_12x_7" localSheetId="54">'311'!$O$100:$O$101</definedName>
    <definedName name="OSRRefE21_12x_7" localSheetId="57">'315'!$O$118:$O$120</definedName>
    <definedName name="OSRRefE21_12x_7" localSheetId="62">'317'!$O$93</definedName>
    <definedName name="OSRRefE21_12x_7" localSheetId="66">'321'!$O$67</definedName>
    <definedName name="OSRRefE21_12x_7" localSheetId="68">'325'!$O$62:$O$66</definedName>
    <definedName name="OSRRefE21_12x_7" localSheetId="58">'326'!$O$84:$O$85</definedName>
    <definedName name="OSRRefE21_12x_7" localSheetId="51">'330'!$O$86</definedName>
    <definedName name="OSRRefE21_12x_7" localSheetId="56">'331'!$O$118</definedName>
    <definedName name="OSRRefE21_12x_7" localSheetId="73">'405'!$O$67</definedName>
    <definedName name="OSRRefE21_12x_7" localSheetId="75">'411'!$O$65:$O$70</definedName>
    <definedName name="OSRRefE21_12x_7" localSheetId="76">'412'!$O$70:$O$71</definedName>
    <definedName name="OSRRefE21_12x_7" localSheetId="78">'414'!$O$65:$O$67</definedName>
    <definedName name="OSRRefE21_12x_7" localSheetId="79">'415'!$O$69:$O$72</definedName>
    <definedName name="OSRRefE21_12x_7" localSheetId="80">'418'!$O$74:$O$75</definedName>
    <definedName name="OSRRefE21_12x_7" localSheetId="88">'433'!$O$70:$O$73</definedName>
    <definedName name="OSRRefE21_12x_7" localSheetId="90">'444'!$O$70:$O$72</definedName>
    <definedName name="OSRRefE21_12x_7" localSheetId="91">'450'!$O$64</definedName>
    <definedName name="OSRRefE21_12x_7" localSheetId="72">'491'!$O$71</definedName>
    <definedName name="OSRRefE21_12x_7" localSheetId="86">'492'!$O$68:$O$70</definedName>
    <definedName name="OSRRefE21_12x_7" localSheetId="93">'501'!$O$67</definedName>
    <definedName name="OSRRefE21_12x_7" localSheetId="39">'Div 2'!$O$64:$O$67</definedName>
    <definedName name="OSRRefE21_12x_7" localSheetId="47">'Div 3'!$O$162</definedName>
    <definedName name="OSRRefE21_12x_7" localSheetId="70">'Div 4'!$O$74</definedName>
    <definedName name="OSRRefE21_12x_7" localSheetId="92">'Div 5'!$O$67</definedName>
    <definedName name="OSRRefE21_12x_7" localSheetId="61">'Div 6'!$O$93</definedName>
    <definedName name="OSRRefE21_12x_7" localSheetId="2">Summary!$O$190</definedName>
    <definedName name="OSRRefE21_13_0x" localSheetId="41">'201'!$H$65:$O$65</definedName>
    <definedName name="OSRRefE21_13_0x" localSheetId="43">'203'!$H$67:$O$67</definedName>
    <definedName name="OSRRefE21_13_0x" localSheetId="48">'300'!$H$160:$O$160</definedName>
    <definedName name="OSRRefE21_13_0x" localSheetId="49">'300 &amp; 317'!$H$182:$O$182</definedName>
    <definedName name="OSRRefE21_13_0x" localSheetId="50">'301'!$H$64:$O$64</definedName>
    <definedName name="OSRRefE21_13_0x" localSheetId="53">'308'!$H$104:$O$104</definedName>
    <definedName name="OSRRefE21_13_0x" localSheetId="63">'310'!$H$70:$O$70</definedName>
    <definedName name="OSRRefE21_13_0x" localSheetId="71">'310 &amp; 491'!$H$77:$O$77</definedName>
    <definedName name="OSRRefE21_13_0x" localSheetId="54">'311'!$H$103:$O$103</definedName>
    <definedName name="OSRRefE21_13_0x" localSheetId="57">'315'!$H$122:$O$122</definedName>
    <definedName name="OSRRefE21_13_0x" localSheetId="68">'325'!$H$68:$O$68</definedName>
    <definedName name="OSRRefE21_13_0x" localSheetId="58">'326'!$H$87:$O$87</definedName>
    <definedName name="OSRRefE21_13_0x" localSheetId="56">'331'!$H$120:$O$120</definedName>
    <definedName name="OSRRefE21_13_0x" localSheetId="73">'405'!$H$69:$O$69</definedName>
    <definedName name="OSRRefE21_13_0x" localSheetId="75">'411'!$H$72:$O$72</definedName>
    <definedName name="OSRRefE21_13_0x" localSheetId="76">'412'!$H$73:$O$73</definedName>
    <definedName name="OSRRefE21_13_0x" localSheetId="78">'414'!$H$69:$O$69</definedName>
    <definedName name="OSRRefE21_13_0x" localSheetId="79">'415'!$H$74:$O$74</definedName>
    <definedName name="OSRRefE21_13_0x" localSheetId="80">'418'!$H$77:$O$77</definedName>
    <definedName name="OSRRefE21_13_0x" localSheetId="88">'433'!$H$75:$O$75</definedName>
    <definedName name="OSRRefE21_13_0x" localSheetId="90">'444'!$H$74:$O$74</definedName>
    <definedName name="OSRRefE21_13_0x" localSheetId="91">'450'!$H$66:$O$66</definedName>
    <definedName name="OSRRefE21_13_0x" localSheetId="72">'491'!$H$73:$O$73</definedName>
    <definedName name="OSRRefE21_13_0x" localSheetId="86">'492'!$H$72:$O$72</definedName>
    <definedName name="OSRRefE21_13_0x" localSheetId="93">'501'!$H$69:$O$69</definedName>
    <definedName name="OSRRefE21_13_0x" localSheetId="39">'Div 2'!$H$69:$O$69</definedName>
    <definedName name="OSRRefE21_13_0x" localSheetId="47">'Div 3'!$H$164:$O$164</definedName>
    <definedName name="OSRRefE21_13_0x" localSheetId="70">'Div 4'!$H$76:$O$76</definedName>
    <definedName name="OSRRefE21_13_0x" localSheetId="92">'Div 5'!$H$69:$O$69</definedName>
    <definedName name="OSRRefE21_13_0x" localSheetId="2">Summary!$H$192:$O$192</definedName>
    <definedName name="OSRRefE21_13_1x" localSheetId="41">'201'!$H$66:$O$66</definedName>
    <definedName name="OSRRefE21_13_1x" localSheetId="50">'301'!$H$65:$O$65</definedName>
    <definedName name="OSRRefE21_13_1x" localSheetId="63">'310'!$H$71:$O$71</definedName>
    <definedName name="OSRRefE21_13_1x" localSheetId="57">'315'!$H$123:$O$123</definedName>
    <definedName name="OSRRefE21_13_1x" localSheetId="68">'325'!$H$69:$O$69</definedName>
    <definedName name="OSRRefE21_13_1x" localSheetId="58">'326'!$H$88:$O$88</definedName>
    <definedName name="OSRRefE21_13_1x" localSheetId="56">'331'!$H$121:$O$121</definedName>
    <definedName name="OSRRefE21_13_1x" localSheetId="73">'405'!$H$70:$O$70</definedName>
    <definedName name="OSRRefE21_13_1x" localSheetId="88">'433'!$H$76:$O$76</definedName>
    <definedName name="OSRRefE21_13_1x" localSheetId="90">'444'!$H$75:$O$75</definedName>
    <definedName name="OSRRefE21_13_1x" localSheetId="91">'450'!$H$67:$O$67</definedName>
    <definedName name="OSRRefE21_13_1x" localSheetId="86">'492'!$H$73:$O$73</definedName>
    <definedName name="OSRRefE21_13_1x" localSheetId="39">'Div 2'!$H$70:$O$70</definedName>
    <definedName name="OSRRefE21_13_2x" localSheetId="41">'201'!$H$67:$O$67</definedName>
    <definedName name="OSRRefE21_13_2x" localSheetId="50">'301'!$H$66:$O$66</definedName>
    <definedName name="OSRRefE21_13_2x" localSheetId="58">'326'!$H$89:$O$89</definedName>
    <definedName name="OSRRefE21_13_2x" localSheetId="73">'405'!$H$71:$O$71</definedName>
    <definedName name="OSRRefE21_13_2x" localSheetId="88">'433'!$H$77:$O$77</definedName>
    <definedName name="OSRRefE21_13_2x" localSheetId="90">'444'!$H$76:$O$76</definedName>
    <definedName name="OSRRefE21_13_2x" localSheetId="91">'450'!$H$68:$O$68</definedName>
    <definedName name="OSRRefE21_13_2x" localSheetId="86">'492'!$H$74:$O$74</definedName>
    <definedName name="OSRRefE21_13_2x" localSheetId="39">'Div 2'!$H$71:$O$71</definedName>
    <definedName name="OSRRefE21_13_3x" localSheetId="50">'301'!$H$67:$O$67</definedName>
    <definedName name="OSRRefE21_13_3x" localSheetId="73">'405'!$H$72:$O$72</definedName>
    <definedName name="OSRRefE21_13_3x" localSheetId="88">'433'!$H$78:$O$78</definedName>
    <definedName name="OSRRefE21_13_3x" localSheetId="90">'444'!$H$77:$O$77</definedName>
    <definedName name="OSRRefE21_13_3x" localSheetId="86">'492'!$H$75:$O$75</definedName>
    <definedName name="OSRRefE21_13_3x" localSheetId="39">'Div 2'!$H$72:$O$72</definedName>
    <definedName name="OSRRefE21_13_4x" localSheetId="73">'405'!$H$73:$O$73</definedName>
    <definedName name="OSRRefE21_13_4x" localSheetId="88">'433'!$H$79:$O$79</definedName>
    <definedName name="OSRRefE21_13_4x" localSheetId="90">'444'!$H$78:$O$78</definedName>
    <definedName name="OSRRefE21_13_5x" localSheetId="73">'405'!$H$74:$O$74</definedName>
    <definedName name="OSRRefE21_13_5x" localSheetId="88">'433'!$H$80:$O$80</definedName>
    <definedName name="OSRRefE21_13_5x" localSheetId="90">'444'!$H$79:$O$79</definedName>
    <definedName name="OSRRefE21_13_6x" localSheetId="73">'405'!$H$75:$O$75</definedName>
    <definedName name="OSRRefE21_13_6x" localSheetId="88">'433'!$H$81:$O$81</definedName>
    <definedName name="OSRRefE21_13_6x" localSheetId="90">'444'!$H$80:$O$80</definedName>
    <definedName name="OSRRefE21_13_7x" localSheetId="73">'405'!$H$76:$O$76</definedName>
    <definedName name="OSRRefE21_13_7x" localSheetId="88">'433'!$H$82:$O$82</definedName>
    <definedName name="OSRRefE21_13_7x" localSheetId="90">'444'!$H$81:$O$81</definedName>
    <definedName name="OSRRefE21_13x_0" localSheetId="41">'201'!$H$65:$H$67</definedName>
    <definedName name="OSRRefE21_13x_0" localSheetId="43">'203'!$H$67</definedName>
    <definedName name="OSRRefE21_13x_0" localSheetId="48">'300'!$H$160</definedName>
    <definedName name="OSRRefE21_13x_0" localSheetId="49">'300 &amp; 317'!$H$182</definedName>
    <definedName name="OSRRefE21_13x_0" localSheetId="50">'301'!$H$64:$H$67</definedName>
    <definedName name="OSRRefE21_13x_0" localSheetId="53">'308'!$H$104</definedName>
    <definedName name="OSRRefE21_13x_0" localSheetId="63">'310'!$H$70:$H$71</definedName>
    <definedName name="OSRRefE21_13x_0" localSheetId="71">'310 &amp; 491'!$H$77</definedName>
    <definedName name="OSRRefE21_13x_0" localSheetId="54">'311'!$H$103</definedName>
    <definedName name="OSRRefE21_13x_0" localSheetId="57">'315'!$H$122:$H$123</definedName>
    <definedName name="OSRRefE21_13x_0" localSheetId="68">'325'!$H$68:$H$69</definedName>
    <definedName name="OSRRefE21_13x_0" localSheetId="58">'326'!$H$87:$H$89</definedName>
    <definedName name="OSRRefE21_13x_0" localSheetId="56">'331'!$H$120:$H$121</definedName>
    <definedName name="OSRRefE21_13x_0" localSheetId="73">'405'!$H$69:$H$76</definedName>
    <definedName name="OSRRefE21_13x_0" localSheetId="75">'411'!$H$72</definedName>
    <definedName name="OSRRefE21_13x_0" localSheetId="76">'412'!$H$73</definedName>
    <definedName name="OSRRefE21_13x_0" localSheetId="78">'414'!$H$69</definedName>
    <definedName name="OSRRefE21_13x_0" localSheetId="79">'415'!$H$74</definedName>
    <definedName name="OSRRefE21_13x_0" localSheetId="80">'418'!$H$77</definedName>
    <definedName name="OSRRefE21_13x_0" localSheetId="88">'433'!$H$75:$H$82</definedName>
    <definedName name="OSRRefE21_13x_0" localSheetId="90">'444'!$H$74:$H$81</definedName>
    <definedName name="OSRRefE21_13x_0" localSheetId="91">'450'!$H$66:$H$68</definedName>
    <definedName name="OSRRefE21_13x_0" localSheetId="72">'491'!$H$73</definedName>
    <definedName name="OSRRefE21_13x_0" localSheetId="86">'492'!$H$72:$H$75</definedName>
    <definedName name="OSRRefE21_13x_0" localSheetId="93">'501'!$H$69</definedName>
    <definedName name="OSRRefE21_13x_0" localSheetId="39">'Div 2'!$H$69:$H$72</definedName>
    <definedName name="OSRRefE21_13x_0" localSheetId="47">'Div 3'!$H$164</definedName>
    <definedName name="OSRRefE21_13x_0" localSheetId="70">'Div 4'!$H$76</definedName>
    <definedName name="OSRRefE21_13x_0" localSheetId="92">'Div 5'!$H$69</definedName>
    <definedName name="OSRRefE21_13x_0" localSheetId="2">Summary!$H$192</definedName>
    <definedName name="OSRRefE21_13x_1" localSheetId="41">'201'!$I$65:$I$67</definedName>
    <definedName name="OSRRefE21_13x_1" localSheetId="43">'203'!$I$67</definedName>
    <definedName name="OSRRefE21_13x_1" localSheetId="48">'300'!$I$160</definedName>
    <definedName name="OSRRefE21_13x_1" localSheetId="49">'300 &amp; 317'!$I$182</definedName>
    <definedName name="OSRRefE21_13x_1" localSheetId="50">'301'!$I$64:$I$67</definedName>
    <definedName name="OSRRefE21_13x_1" localSheetId="53">'308'!$I$104</definedName>
    <definedName name="OSRRefE21_13x_1" localSheetId="63">'310'!$I$70:$I$71</definedName>
    <definedName name="OSRRefE21_13x_1" localSheetId="71">'310 &amp; 491'!$I$77</definedName>
    <definedName name="OSRRefE21_13x_1" localSheetId="54">'311'!$I$103</definedName>
    <definedName name="OSRRefE21_13x_1" localSheetId="57">'315'!$I$122:$I$123</definedName>
    <definedName name="OSRRefE21_13x_1" localSheetId="68">'325'!$I$68:$I$69</definedName>
    <definedName name="OSRRefE21_13x_1" localSheetId="58">'326'!$I$87:$I$89</definedName>
    <definedName name="OSRRefE21_13x_1" localSheetId="56">'331'!$I$120:$I$121</definedName>
    <definedName name="OSRRefE21_13x_1" localSheetId="73">'405'!$I$69:$I$76</definedName>
    <definedName name="OSRRefE21_13x_1" localSheetId="75">'411'!$I$72</definedName>
    <definedName name="OSRRefE21_13x_1" localSheetId="76">'412'!$I$73</definedName>
    <definedName name="OSRRefE21_13x_1" localSheetId="78">'414'!$I$69</definedName>
    <definedName name="OSRRefE21_13x_1" localSheetId="79">'415'!$I$74</definedName>
    <definedName name="OSRRefE21_13x_1" localSheetId="80">'418'!$I$77</definedName>
    <definedName name="OSRRefE21_13x_1" localSheetId="88">'433'!$I$75:$I$82</definedName>
    <definedName name="OSRRefE21_13x_1" localSheetId="90">'444'!$I$74:$I$81</definedName>
    <definedName name="OSRRefE21_13x_1" localSheetId="91">'450'!$I$66:$I$68</definedName>
    <definedName name="OSRRefE21_13x_1" localSheetId="72">'491'!$I$73</definedName>
    <definedName name="OSRRefE21_13x_1" localSheetId="86">'492'!$I$72:$I$75</definedName>
    <definedName name="OSRRefE21_13x_1" localSheetId="93">'501'!$I$69</definedName>
    <definedName name="OSRRefE21_13x_1" localSheetId="39">'Div 2'!$I$69:$I$72</definedName>
    <definedName name="OSRRefE21_13x_1" localSheetId="47">'Div 3'!$I$164</definedName>
    <definedName name="OSRRefE21_13x_1" localSheetId="70">'Div 4'!$I$76</definedName>
    <definedName name="OSRRefE21_13x_1" localSheetId="92">'Div 5'!$I$69</definedName>
    <definedName name="OSRRefE21_13x_1" localSheetId="2">Summary!$I$192</definedName>
    <definedName name="OSRRefE21_13x_2" localSheetId="41">'201'!$J$65:$J$67</definedName>
    <definedName name="OSRRefE21_13x_2" localSheetId="43">'203'!$J$67</definedName>
    <definedName name="OSRRefE21_13x_2" localSheetId="48">'300'!$J$160</definedName>
    <definedName name="OSRRefE21_13x_2" localSheetId="49">'300 &amp; 317'!$J$182</definedName>
    <definedName name="OSRRefE21_13x_2" localSheetId="50">'301'!$J$64:$J$67</definedName>
    <definedName name="OSRRefE21_13x_2" localSheetId="53">'308'!$J$104</definedName>
    <definedName name="OSRRefE21_13x_2" localSheetId="63">'310'!$J$70:$J$71</definedName>
    <definedName name="OSRRefE21_13x_2" localSheetId="71">'310 &amp; 491'!$J$77</definedName>
    <definedName name="OSRRefE21_13x_2" localSheetId="54">'311'!$J$103</definedName>
    <definedName name="OSRRefE21_13x_2" localSheetId="57">'315'!$J$122:$J$123</definedName>
    <definedName name="OSRRefE21_13x_2" localSheetId="68">'325'!$J$68:$J$69</definedName>
    <definedName name="OSRRefE21_13x_2" localSheetId="58">'326'!$J$87:$J$89</definedName>
    <definedName name="OSRRefE21_13x_2" localSheetId="56">'331'!$J$120:$J$121</definedName>
    <definedName name="OSRRefE21_13x_2" localSheetId="73">'405'!$J$69:$J$76</definedName>
    <definedName name="OSRRefE21_13x_2" localSheetId="75">'411'!$J$72</definedName>
    <definedName name="OSRRefE21_13x_2" localSheetId="76">'412'!$J$73</definedName>
    <definedName name="OSRRefE21_13x_2" localSheetId="78">'414'!$J$69</definedName>
    <definedName name="OSRRefE21_13x_2" localSheetId="79">'415'!$J$74</definedName>
    <definedName name="OSRRefE21_13x_2" localSheetId="80">'418'!$J$77</definedName>
    <definedName name="OSRRefE21_13x_2" localSheetId="88">'433'!$J$75:$J$82</definedName>
    <definedName name="OSRRefE21_13x_2" localSheetId="90">'444'!$J$74:$J$81</definedName>
    <definedName name="OSRRefE21_13x_2" localSheetId="91">'450'!$J$66:$J$68</definedName>
    <definedName name="OSRRefE21_13x_2" localSheetId="72">'491'!$J$73</definedName>
    <definedName name="OSRRefE21_13x_2" localSheetId="86">'492'!$J$72:$J$75</definedName>
    <definedName name="OSRRefE21_13x_2" localSheetId="93">'501'!$J$69</definedName>
    <definedName name="OSRRefE21_13x_2" localSheetId="39">'Div 2'!$J$69:$J$72</definedName>
    <definedName name="OSRRefE21_13x_2" localSheetId="47">'Div 3'!$J$164</definedName>
    <definedName name="OSRRefE21_13x_2" localSheetId="70">'Div 4'!$J$76</definedName>
    <definedName name="OSRRefE21_13x_2" localSheetId="92">'Div 5'!$J$69</definedName>
    <definedName name="OSRRefE21_13x_2" localSheetId="2">Summary!$J$192</definedName>
    <definedName name="OSRRefE21_13x_3" localSheetId="41">'201'!$K$65:$K$67</definedName>
    <definedName name="OSRRefE21_13x_3" localSheetId="43">'203'!$K$67</definedName>
    <definedName name="OSRRefE21_13x_3" localSheetId="48">'300'!$K$160</definedName>
    <definedName name="OSRRefE21_13x_3" localSheetId="49">'300 &amp; 317'!$K$182</definedName>
    <definedName name="OSRRefE21_13x_3" localSheetId="50">'301'!$K$64:$K$67</definedName>
    <definedName name="OSRRefE21_13x_3" localSheetId="53">'308'!$K$104</definedName>
    <definedName name="OSRRefE21_13x_3" localSheetId="63">'310'!$K$70:$K$71</definedName>
    <definedName name="OSRRefE21_13x_3" localSheetId="71">'310 &amp; 491'!$K$77</definedName>
    <definedName name="OSRRefE21_13x_3" localSheetId="54">'311'!$K$103</definedName>
    <definedName name="OSRRefE21_13x_3" localSheetId="57">'315'!$K$122:$K$123</definedName>
    <definedName name="OSRRefE21_13x_3" localSheetId="68">'325'!$K$68:$K$69</definedName>
    <definedName name="OSRRefE21_13x_3" localSheetId="58">'326'!$K$87:$K$89</definedName>
    <definedName name="OSRRefE21_13x_3" localSheetId="56">'331'!$K$120:$K$121</definedName>
    <definedName name="OSRRefE21_13x_3" localSheetId="73">'405'!$K$69:$K$76</definedName>
    <definedName name="OSRRefE21_13x_3" localSheetId="75">'411'!$K$72</definedName>
    <definedName name="OSRRefE21_13x_3" localSheetId="76">'412'!$K$73</definedName>
    <definedName name="OSRRefE21_13x_3" localSheetId="78">'414'!$K$69</definedName>
    <definedName name="OSRRefE21_13x_3" localSheetId="79">'415'!$K$74</definedName>
    <definedName name="OSRRefE21_13x_3" localSheetId="80">'418'!$K$77</definedName>
    <definedName name="OSRRefE21_13x_3" localSheetId="88">'433'!$K$75:$K$82</definedName>
    <definedName name="OSRRefE21_13x_3" localSheetId="90">'444'!$K$74:$K$81</definedName>
    <definedName name="OSRRefE21_13x_3" localSheetId="91">'450'!$K$66:$K$68</definedName>
    <definedName name="OSRRefE21_13x_3" localSheetId="72">'491'!$K$73</definedName>
    <definedName name="OSRRefE21_13x_3" localSheetId="86">'492'!$K$72:$K$75</definedName>
    <definedName name="OSRRefE21_13x_3" localSheetId="93">'501'!$K$69</definedName>
    <definedName name="OSRRefE21_13x_3" localSheetId="39">'Div 2'!$K$69:$K$72</definedName>
    <definedName name="OSRRefE21_13x_3" localSheetId="47">'Div 3'!$K$164</definedName>
    <definedName name="OSRRefE21_13x_3" localSheetId="70">'Div 4'!$K$76</definedName>
    <definedName name="OSRRefE21_13x_3" localSheetId="92">'Div 5'!$K$69</definedName>
    <definedName name="OSRRefE21_13x_3" localSheetId="2">Summary!$K$192</definedName>
    <definedName name="OSRRefE21_13x_4" localSheetId="41">'201'!$L$65:$L$67</definedName>
    <definedName name="OSRRefE21_13x_4" localSheetId="43">'203'!$L$67</definedName>
    <definedName name="OSRRefE21_13x_4" localSheetId="48">'300'!$L$160</definedName>
    <definedName name="OSRRefE21_13x_4" localSheetId="49">'300 &amp; 317'!$L$182</definedName>
    <definedName name="OSRRefE21_13x_4" localSheetId="50">'301'!$L$64:$L$67</definedName>
    <definedName name="OSRRefE21_13x_4" localSheetId="53">'308'!$L$104</definedName>
    <definedName name="OSRRefE21_13x_4" localSheetId="63">'310'!$L$70:$L$71</definedName>
    <definedName name="OSRRefE21_13x_4" localSheetId="71">'310 &amp; 491'!$L$77</definedName>
    <definedName name="OSRRefE21_13x_4" localSheetId="54">'311'!$L$103</definedName>
    <definedName name="OSRRefE21_13x_4" localSheetId="57">'315'!$L$122:$L$123</definedName>
    <definedName name="OSRRefE21_13x_4" localSheetId="68">'325'!$L$68:$L$69</definedName>
    <definedName name="OSRRefE21_13x_4" localSheetId="58">'326'!$L$87:$L$89</definedName>
    <definedName name="OSRRefE21_13x_4" localSheetId="56">'331'!$L$120:$L$121</definedName>
    <definedName name="OSRRefE21_13x_4" localSheetId="73">'405'!$L$69:$L$76</definedName>
    <definedName name="OSRRefE21_13x_4" localSheetId="75">'411'!$L$72</definedName>
    <definedName name="OSRRefE21_13x_4" localSheetId="76">'412'!$L$73</definedName>
    <definedName name="OSRRefE21_13x_4" localSheetId="78">'414'!$L$69</definedName>
    <definedName name="OSRRefE21_13x_4" localSheetId="79">'415'!$L$74</definedName>
    <definedName name="OSRRefE21_13x_4" localSheetId="80">'418'!$L$77</definedName>
    <definedName name="OSRRefE21_13x_4" localSheetId="88">'433'!$L$75:$L$82</definedName>
    <definedName name="OSRRefE21_13x_4" localSheetId="90">'444'!$L$74:$L$81</definedName>
    <definedName name="OSRRefE21_13x_4" localSheetId="91">'450'!$L$66:$L$68</definedName>
    <definedName name="OSRRefE21_13x_4" localSheetId="72">'491'!$L$73</definedName>
    <definedName name="OSRRefE21_13x_4" localSheetId="86">'492'!$L$72:$L$75</definedName>
    <definedName name="OSRRefE21_13x_4" localSheetId="93">'501'!$L$69</definedName>
    <definedName name="OSRRefE21_13x_4" localSheetId="39">'Div 2'!$L$69:$L$72</definedName>
    <definedName name="OSRRefE21_13x_4" localSheetId="47">'Div 3'!$L$164</definedName>
    <definedName name="OSRRefE21_13x_4" localSheetId="70">'Div 4'!$L$76</definedName>
    <definedName name="OSRRefE21_13x_4" localSheetId="92">'Div 5'!$L$69</definedName>
    <definedName name="OSRRefE21_13x_4" localSheetId="2">Summary!$L$192</definedName>
    <definedName name="OSRRefE21_13x_5" localSheetId="41">'201'!$M$65:$M$67</definedName>
    <definedName name="OSRRefE21_13x_5" localSheetId="43">'203'!$M$67</definedName>
    <definedName name="OSRRefE21_13x_5" localSheetId="48">'300'!$M$160</definedName>
    <definedName name="OSRRefE21_13x_5" localSheetId="49">'300 &amp; 317'!$M$182</definedName>
    <definedName name="OSRRefE21_13x_5" localSheetId="50">'301'!$M$64:$M$67</definedName>
    <definedName name="OSRRefE21_13x_5" localSheetId="53">'308'!$M$104</definedName>
    <definedName name="OSRRefE21_13x_5" localSheetId="63">'310'!$M$70:$M$71</definedName>
    <definedName name="OSRRefE21_13x_5" localSheetId="71">'310 &amp; 491'!$M$77</definedName>
    <definedName name="OSRRefE21_13x_5" localSheetId="54">'311'!$M$103</definedName>
    <definedName name="OSRRefE21_13x_5" localSheetId="57">'315'!$M$122:$M$123</definedName>
    <definedName name="OSRRefE21_13x_5" localSheetId="68">'325'!$M$68:$M$69</definedName>
    <definedName name="OSRRefE21_13x_5" localSheetId="58">'326'!$M$87:$M$89</definedName>
    <definedName name="OSRRefE21_13x_5" localSheetId="56">'331'!$M$120:$M$121</definedName>
    <definedName name="OSRRefE21_13x_5" localSheetId="73">'405'!$M$69:$M$76</definedName>
    <definedName name="OSRRefE21_13x_5" localSheetId="75">'411'!$M$72</definedName>
    <definedName name="OSRRefE21_13x_5" localSheetId="76">'412'!$M$73</definedName>
    <definedName name="OSRRefE21_13x_5" localSheetId="78">'414'!$M$69</definedName>
    <definedName name="OSRRefE21_13x_5" localSheetId="79">'415'!$M$74</definedName>
    <definedName name="OSRRefE21_13x_5" localSheetId="80">'418'!$M$77</definedName>
    <definedName name="OSRRefE21_13x_5" localSheetId="88">'433'!$M$75:$M$82</definedName>
    <definedName name="OSRRefE21_13x_5" localSheetId="90">'444'!$M$74:$M$81</definedName>
    <definedName name="OSRRefE21_13x_5" localSheetId="91">'450'!$M$66:$M$68</definedName>
    <definedName name="OSRRefE21_13x_5" localSheetId="72">'491'!$M$73</definedName>
    <definedName name="OSRRefE21_13x_5" localSheetId="86">'492'!$M$72:$M$75</definedName>
    <definedName name="OSRRefE21_13x_5" localSheetId="93">'501'!$M$69</definedName>
    <definedName name="OSRRefE21_13x_5" localSheetId="39">'Div 2'!$M$69:$M$72</definedName>
    <definedName name="OSRRefE21_13x_5" localSheetId="47">'Div 3'!$M$164</definedName>
    <definedName name="OSRRefE21_13x_5" localSheetId="70">'Div 4'!$M$76</definedName>
    <definedName name="OSRRefE21_13x_5" localSheetId="92">'Div 5'!$M$69</definedName>
    <definedName name="OSRRefE21_13x_5" localSheetId="2">Summary!$M$192</definedName>
    <definedName name="OSRRefE21_13x_6" localSheetId="41">'201'!$N$65:$N$67</definedName>
    <definedName name="OSRRefE21_13x_6" localSheetId="43">'203'!$N$67</definedName>
    <definedName name="OSRRefE21_13x_6" localSheetId="48">'300'!$N$160</definedName>
    <definedName name="OSRRefE21_13x_6" localSheetId="49">'300 &amp; 317'!$N$182</definedName>
    <definedName name="OSRRefE21_13x_6" localSheetId="50">'301'!$N$64:$N$67</definedName>
    <definedName name="OSRRefE21_13x_6" localSheetId="53">'308'!$N$104</definedName>
    <definedName name="OSRRefE21_13x_6" localSheetId="63">'310'!$N$70:$N$71</definedName>
    <definedName name="OSRRefE21_13x_6" localSheetId="71">'310 &amp; 491'!$N$77</definedName>
    <definedName name="OSRRefE21_13x_6" localSheetId="54">'311'!$N$103</definedName>
    <definedName name="OSRRefE21_13x_6" localSheetId="57">'315'!$N$122:$N$123</definedName>
    <definedName name="OSRRefE21_13x_6" localSheetId="68">'325'!$N$68:$N$69</definedName>
    <definedName name="OSRRefE21_13x_6" localSheetId="58">'326'!$N$87:$N$89</definedName>
    <definedName name="OSRRefE21_13x_6" localSheetId="56">'331'!$N$120:$N$121</definedName>
    <definedName name="OSRRefE21_13x_6" localSheetId="73">'405'!$N$69:$N$76</definedName>
    <definedName name="OSRRefE21_13x_6" localSheetId="75">'411'!$N$72</definedName>
    <definedName name="OSRRefE21_13x_6" localSheetId="76">'412'!$N$73</definedName>
    <definedName name="OSRRefE21_13x_6" localSheetId="78">'414'!$N$69</definedName>
    <definedName name="OSRRefE21_13x_6" localSheetId="79">'415'!$N$74</definedName>
    <definedName name="OSRRefE21_13x_6" localSheetId="80">'418'!$N$77</definedName>
    <definedName name="OSRRefE21_13x_6" localSheetId="88">'433'!$N$75:$N$82</definedName>
    <definedName name="OSRRefE21_13x_6" localSheetId="90">'444'!$N$74:$N$81</definedName>
    <definedName name="OSRRefE21_13x_6" localSheetId="91">'450'!$N$66:$N$68</definedName>
    <definedName name="OSRRefE21_13x_6" localSheetId="72">'491'!$N$73</definedName>
    <definedName name="OSRRefE21_13x_6" localSheetId="86">'492'!$N$72:$N$75</definedName>
    <definedName name="OSRRefE21_13x_6" localSheetId="93">'501'!$N$69</definedName>
    <definedName name="OSRRefE21_13x_6" localSheetId="39">'Div 2'!$N$69:$N$72</definedName>
    <definedName name="OSRRefE21_13x_6" localSheetId="47">'Div 3'!$N$164</definedName>
    <definedName name="OSRRefE21_13x_6" localSheetId="70">'Div 4'!$N$76</definedName>
    <definedName name="OSRRefE21_13x_6" localSheetId="92">'Div 5'!$N$69</definedName>
    <definedName name="OSRRefE21_13x_6" localSheetId="2">Summary!$N$192</definedName>
    <definedName name="OSRRefE21_13x_7" localSheetId="41">'201'!$O$65:$O$67</definedName>
    <definedName name="OSRRefE21_13x_7" localSheetId="43">'203'!$O$67</definedName>
    <definedName name="OSRRefE21_13x_7" localSheetId="48">'300'!$O$160</definedName>
    <definedName name="OSRRefE21_13x_7" localSheetId="49">'300 &amp; 317'!$O$182</definedName>
    <definedName name="OSRRefE21_13x_7" localSheetId="50">'301'!$O$64:$O$67</definedName>
    <definedName name="OSRRefE21_13x_7" localSheetId="53">'308'!$O$104</definedName>
    <definedName name="OSRRefE21_13x_7" localSheetId="63">'310'!$O$70:$O$71</definedName>
    <definedName name="OSRRefE21_13x_7" localSheetId="71">'310 &amp; 491'!$O$77</definedName>
    <definedName name="OSRRefE21_13x_7" localSheetId="54">'311'!$O$103</definedName>
    <definedName name="OSRRefE21_13x_7" localSheetId="57">'315'!$O$122:$O$123</definedName>
    <definedName name="OSRRefE21_13x_7" localSheetId="68">'325'!$O$68:$O$69</definedName>
    <definedName name="OSRRefE21_13x_7" localSheetId="58">'326'!$O$87:$O$89</definedName>
    <definedName name="OSRRefE21_13x_7" localSheetId="56">'331'!$O$120:$O$121</definedName>
    <definedName name="OSRRefE21_13x_7" localSheetId="73">'405'!$O$69:$O$76</definedName>
    <definedName name="OSRRefE21_13x_7" localSheetId="75">'411'!$O$72</definedName>
    <definedName name="OSRRefE21_13x_7" localSheetId="76">'412'!$O$73</definedName>
    <definedName name="OSRRefE21_13x_7" localSheetId="78">'414'!$O$69</definedName>
    <definedName name="OSRRefE21_13x_7" localSheetId="79">'415'!$O$74</definedName>
    <definedName name="OSRRefE21_13x_7" localSheetId="80">'418'!$O$77</definedName>
    <definedName name="OSRRefE21_13x_7" localSheetId="88">'433'!$O$75:$O$82</definedName>
    <definedName name="OSRRefE21_13x_7" localSheetId="90">'444'!$O$74:$O$81</definedName>
    <definedName name="OSRRefE21_13x_7" localSheetId="91">'450'!$O$66:$O$68</definedName>
    <definedName name="OSRRefE21_13x_7" localSheetId="72">'491'!$O$73</definedName>
    <definedName name="OSRRefE21_13x_7" localSheetId="86">'492'!$O$72:$O$75</definedName>
    <definedName name="OSRRefE21_13x_7" localSheetId="93">'501'!$O$69</definedName>
    <definedName name="OSRRefE21_13x_7" localSheetId="39">'Div 2'!$O$69:$O$72</definedName>
    <definedName name="OSRRefE21_13x_7" localSheetId="47">'Div 3'!$O$164</definedName>
    <definedName name="OSRRefE21_13x_7" localSheetId="70">'Div 4'!$O$76</definedName>
    <definedName name="OSRRefE21_13x_7" localSheetId="92">'Div 5'!$O$69</definedName>
    <definedName name="OSRRefE21_13x_7" localSheetId="2">Summary!$O$192</definedName>
    <definedName name="OSRRefE21_14_0x" localSheetId="41">'201'!$H$69:$O$69</definedName>
    <definedName name="OSRRefE21_14_0x" localSheetId="48">'300'!$H$162:$O$162</definedName>
    <definedName name="OSRRefE21_14_0x" localSheetId="49">'300 &amp; 317'!$H$184:$O$184</definedName>
    <definedName name="OSRRefE21_14_0x" localSheetId="50">'301'!$H$69:$O$69</definedName>
    <definedName name="OSRRefE21_14_0x" localSheetId="53">'308'!$H$106:$O$106</definedName>
    <definedName name="OSRRefE21_14_0x" localSheetId="63">'310'!$H$73:$O$73</definedName>
    <definedName name="OSRRefE21_14_0x" localSheetId="71">'310 &amp; 491'!$H$79:$O$79</definedName>
    <definedName name="OSRRefE21_14_0x" localSheetId="54">'311'!$H$105:$O$105</definedName>
    <definedName name="OSRRefE21_14_0x" localSheetId="57">'315'!$H$125:$O$125</definedName>
    <definedName name="OSRRefE21_14_0x" localSheetId="68">'325'!$H$71:$O$71</definedName>
    <definedName name="OSRRefE21_14_0x" localSheetId="58">'326'!$H$91:$O$91</definedName>
    <definedName name="OSRRefE21_14_0x" localSheetId="56">'331'!$H$123:$O$123</definedName>
    <definedName name="OSRRefE21_14_0x" localSheetId="73">'405'!$H$78:$O$78</definedName>
    <definedName name="OSRRefE21_14_0x" localSheetId="75">'411'!$H$74:$O$74</definedName>
    <definedName name="OSRRefE21_14_0x" localSheetId="78">'414'!$H$71:$O$71</definedName>
    <definedName name="OSRRefE21_14_0x" localSheetId="79">'415'!$H$76:$O$76</definedName>
    <definedName name="OSRRefE21_14_0x" localSheetId="88">'433'!$H$84:$O$84</definedName>
    <definedName name="OSRRefE21_14_0x" localSheetId="90">'444'!$H$83:$O$83</definedName>
    <definedName name="OSRRefE21_14_0x" localSheetId="91">'450'!$H$70:$O$70</definedName>
    <definedName name="OSRRefE21_14_0x" localSheetId="72">'491'!$H$75:$O$75</definedName>
    <definedName name="OSRRefE21_14_0x" localSheetId="86">'492'!$H$77:$O$77</definedName>
    <definedName name="OSRRefE21_14_0x" localSheetId="39">'Div 2'!$H$74:$O$74</definedName>
    <definedName name="OSRRefE21_14_0x" localSheetId="47">'Div 3'!$H$166:$O$166</definedName>
    <definedName name="OSRRefE21_14_0x" localSheetId="70">'Div 4'!$H$78:$O$78</definedName>
    <definedName name="OSRRefE21_14_0x" localSheetId="2">Summary!$H$194:$O$194</definedName>
    <definedName name="OSRRefE21_14_1x" localSheetId="50">'301'!$H$70:$O$70</definedName>
    <definedName name="OSRRefE21_14_1x" localSheetId="71">'310 &amp; 491'!$H$80:$O$80</definedName>
    <definedName name="OSRRefE21_14_1x" localSheetId="57">'315'!$H$126:$O$126</definedName>
    <definedName name="OSRRefE21_14_1x" localSheetId="58">'326'!$H$92:$O$92</definedName>
    <definedName name="OSRRefE21_14_1x" localSheetId="56">'331'!$H$124:$O$124</definedName>
    <definedName name="OSRRefE21_14_1x" localSheetId="79">'415'!$H$77:$O$77</definedName>
    <definedName name="OSRRefE21_14_1x" localSheetId="90">'444'!$H$84:$O$84</definedName>
    <definedName name="OSRRefE21_14_1x" localSheetId="91">'450'!$H$71:$O$71</definedName>
    <definedName name="OSRRefE21_14_1x" localSheetId="72">'491'!$H$76:$O$76</definedName>
    <definedName name="OSRRefE21_14_1x" localSheetId="86">'492'!$H$78:$O$78</definedName>
    <definedName name="OSRRefE21_14_1x" localSheetId="39">'Div 2'!$H$75:$O$75</definedName>
    <definedName name="OSRRefE21_14_2x" localSheetId="50">'301'!$H$71:$O$71</definedName>
    <definedName name="OSRRefE21_14_2x" localSheetId="71">'310 &amp; 491'!$H$81:$O$81</definedName>
    <definedName name="OSRRefE21_14_2x" localSheetId="57">'315'!$H$127:$O$127</definedName>
    <definedName name="OSRRefE21_14_2x" localSheetId="56">'331'!$H$125:$O$125</definedName>
    <definedName name="OSRRefE21_14_2x" localSheetId="79">'415'!$H$78:$O$78</definedName>
    <definedName name="OSRRefE21_14_2x" localSheetId="91">'450'!$H$72:$O$72</definedName>
    <definedName name="OSRRefE21_14_2x" localSheetId="72">'491'!$H$77:$O$77</definedName>
    <definedName name="OSRRefE21_14_2x" localSheetId="86">'492'!$H$79:$O$79</definedName>
    <definedName name="OSRRefE21_14_3x" localSheetId="57">'315'!$H$128:$O$128</definedName>
    <definedName name="OSRRefE21_14_3x" localSheetId="79">'415'!$H$79:$O$79</definedName>
    <definedName name="OSRRefE21_14_3x" localSheetId="91">'450'!$H$73:$O$73</definedName>
    <definedName name="OSRRefE21_14_3x" localSheetId="86">'492'!$H$80:$O$80</definedName>
    <definedName name="OSRRefE21_14_4x" localSheetId="57">'315'!$H$129:$O$129</definedName>
    <definedName name="OSRRefE21_14_4x" localSheetId="79">'415'!$H$80:$O$80</definedName>
    <definedName name="OSRRefE21_14_4x" localSheetId="91">'450'!$H$74:$O$74</definedName>
    <definedName name="OSRRefE21_14_4x" localSheetId="86">'492'!$H$81:$O$81</definedName>
    <definedName name="OSRRefE21_14_5x" localSheetId="57">'315'!$H$130:$O$130</definedName>
    <definedName name="OSRRefE21_14_5x" localSheetId="79">'415'!$H$81:$O$81</definedName>
    <definedName name="OSRRefE21_14_5x" localSheetId="91">'450'!$H$75:$O$75</definedName>
    <definedName name="OSRRefE21_14_5x" localSheetId="86">'492'!$H$82:$O$82</definedName>
    <definedName name="OSRRefE21_14_6x" localSheetId="57">'315'!$H$131:$O$131</definedName>
    <definedName name="OSRRefE21_14_6x" localSheetId="86">'492'!$H$83:$O$83</definedName>
    <definedName name="OSRRefE21_14_7x" localSheetId="86">'492'!$H$84:$O$84</definedName>
    <definedName name="OSRRefE21_14_8x" localSheetId="86">'492'!$H$85:$O$85</definedName>
    <definedName name="OSRRefE21_14_9x" localSheetId="86">'492'!$H$86:$O$86</definedName>
    <definedName name="OSRRefE21_14x_0" localSheetId="41">'201'!$H$69</definedName>
    <definedName name="OSRRefE21_14x_0" localSheetId="48">'300'!$H$162</definedName>
    <definedName name="OSRRefE21_14x_0" localSheetId="49">'300 &amp; 317'!$H$184</definedName>
    <definedName name="OSRRefE21_14x_0" localSheetId="50">'301'!$H$69:$H$71</definedName>
    <definedName name="OSRRefE21_14x_0" localSheetId="53">'308'!$H$106</definedName>
    <definedName name="OSRRefE21_14x_0" localSheetId="63">'310'!$H$73</definedName>
    <definedName name="OSRRefE21_14x_0" localSheetId="71">'310 &amp; 491'!$H$79:$H$81</definedName>
    <definedName name="OSRRefE21_14x_0" localSheetId="54">'311'!$H$105</definedName>
    <definedName name="OSRRefE21_14x_0" localSheetId="57">'315'!$H$125:$H$131</definedName>
    <definedName name="OSRRefE21_14x_0" localSheetId="68">'325'!$H$71</definedName>
    <definedName name="OSRRefE21_14x_0" localSheetId="58">'326'!$H$91:$H$92</definedName>
    <definedName name="OSRRefE21_14x_0" localSheetId="56">'331'!$H$123:$H$125</definedName>
    <definedName name="OSRRefE21_14x_0" localSheetId="73">'405'!$H$78</definedName>
    <definedName name="OSRRefE21_14x_0" localSheetId="75">'411'!$H$74</definedName>
    <definedName name="OSRRefE21_14x_0" localSheetId="78">'414'!$H$71</definedName>
    <definedName name="OSRRefE21_14x_0" localSheetId="79">'415'!$H$76:$H$81</definedName>
    <definedName name="OSRRefE21_14x_0" localSheetId="88">'433'!$H$84</definedName>
    <definedName name="OSRRefE21_14x_0" localSheetId="90">'444'!$H$83:$H$84</definedName>
    <definedName name="OSRRefE21_14x_0" localSheetId="91">'450'!$H$70:$H$75</definedName>
    <definedName name="OSRRefE21_14x_0" localSheetId="72">'491'!$H$75:$H$77</definedName>
    <definedName name="OSRRefE21_14x_0" localSheetId="86">'492'!$H$77:$H$86</definedName>
    <definedName name="OSRRefE21_14x_0" localSheetId="39">'Div 2'!$H$74:$H$75</definedName>
    <definedName name="OSRRefE21_14x_0" localSheetId="47">'Div 3'!$H$166</definedName>
    <definedName name="OSRRefE21_14x_0" localSheetId="70">'Div 4'!$H$78</definedName>
    <definedName name="OSRRefE21_14x_0" localSheetId="2">Summary!$H$194</definedName>
    <definedName name="OSRRefE21_14x_1" localSheetId="41">'201'!$I$69</definedName>
    <definedName name="OSRRefE21_14x_1" localSheetId="48">'300'!$I$162</definedName>
    <definedName name="OSRRefE21_14x_1" localSheetId="49">'300 &amp; 317'!$I$184</definedName>
    <definedName name="OSRRefE21_14x_1" localSheetId="50">'301'!$I$69:$I$71</definedName>
    <definedName name="OSRRefE21_14x_1" localSheetId="53">'308'!$I$106</definedName>
    <definedName name="OSRRefE21_14x_1" localSheetId="63">'310'!$I$73</definedName>
    <definedName name="OSRRefE21_14x_1" localSheetId="71">'310 &amp; 491'!$I$79:$I$81</definedName>
    <definedName name="OSRRefE21_14x_1" localSheetId="54">'311'!$I$105</definedName>
    <definedName name="OSRRefE21_14x_1" localSheetId="57">'315'!$I$125:$I$131</definedName>
    <definedName name="OSRRefE21_14x_1" localSheetId="68">'325'!$I$71</definedName>
    <definedName name="OSRRefE21_14x_1" localSheetId="58">'326'!$I$91:$I$92</definedName>
    <definedName name="OSRRefE21_14x_1" localSheetId="56">'331'!$I$123:$I$125</definedName>
    <definedName name="OSRRefE21_14x_1" localSheetId="73">'405'!$I$78</definedName>
    <definedName name="OSRRefE21_14x_1" localSheetId="75">'411'!$I$74</definedName>
    <definedName name="OSRRefE21_14x_1" localSheetId="78">'414'!$I$71</definedName>
    <definedName name="OSRRefE21_14x_1" localSheetId="79">'415'!$I$76:$I$81</definedName>
    <definedName name="OSRRefE21_14x_1" localSheetId="88">'433'!$I$84</definedName>
    <definedName name="OSRRefE21_14x_1" localSheetId="90">'444'!$I$83:$I$84</definedName>
    <definedName name="OSRRefE21_14x_1" localSheetId="91">'450'!$I$70:$I$75</definedName>
    <definedName name="OSRRefE21_14x_1" localSheetId="72">'491'!$I$75:$I$77</definedName>
    <definedName name="OSRRefE21_14x_1" localSheetId="86">'492'!$I$77:$I$86</definedName>
    <definedName name="OSRRefE21_14x_1" localSheetId="39">'Div 2'!$I$74:$I$75</definedName>
    <definedName name="OSRRefE21_14x_1" localSheetId="47">'Div 3'!$I$166</definedName>
    <definedName name="OSRRefE21_14x_1" localSheetId="70">'Div 4'!$I$78</definedName>
    <definedName name="OSRRefE21_14x_1" localSheetId="2">Summary!$I$194</definedName>
    <definedName name="OSRRefE21_14x_2" localSheetId="41">'201'!$J$69</definedName>
    <definedName name="OSRRefE21_14x_2" localSheetId="48">'300'!$J$162</definedName>
    <definedName name="OSRRefE21_14x_2" localSheetId="49">'300 &amp; 317'!$J$184</definedName>
    <definedName name="OSRRefE21_14x_2" localSheetId="50">'301'!$J$69:$J$71</definedName>
    <definedName name="OSRRefE21_14x_2" localSheetId="53">'308'!$J$106</definedName>
    <definedName name="OSRRefE21_14x_2" localSheetId="63">'310'!$J$73</definedName>
    <definedName name="OSRRefE21_14x_2" localSheetId="71">'310 &amp; 491'!$J$79:$J$81</definedName>
    <definedName name="OSRRefE21_14x_2" localSheetId="54">'311'!$J$105</definedName>
    <definedName name="OSRRefE21_14x_2" localSheetId="57">'315'!$J$125:$J$131</definedName>
    <definedName name="OSRRefE21_14x_2" localSheetId="68">'325'!$J$71</definedName>
    <definedName name="OSRRefE21_14x_2" localSheetId="58">'326'!$J$91:$J$92</definedName>
    <definedName name="OSRRefE21_14x_2" localSheetId="56">'331'!$J$123:$J$125</definedName>
    <definedName name="OSRRefE21_14x_2" localSheetId="73">'405'!$J$78</definedName>
    <definedName name="OSRRefE21_14x_2" localSheetId="75">'411'!$J$74</definedName>
    <definedName name="OSRRefE21_14x_2" localSheetId="78">'414'!$J$71</definedName>
    <definedName name="OSRRefE21_14x_2" localSheetId="79">'415'!$J$76:$J$81</definedName>
    <definedName name="OSRRefE21_14x_2" localSheetId="88">'433'!$J$84</definedName>
    <definedName name="OSRRefE21_14x_2" localSheetId="90">'444'!$J$83:$J$84</definedName>
    <definedName name="OSRRefE21_14x_2" localSheetId="91">'450'!$J$70:$J$75</definedName>
    <definedName name="OSRRefE21_14x_2" localSheetId="72">'491'!$J$75:$J$77</definedName>
    <definedName name="OSRRefE21_14x_2" localSheetId="86">'492'!$J$77:$J$86</definedName>
    <definedName name="OSRRefE21_14x_2" localSheetId="39">'Div 2'!$J$74:$J$75</definedName>
    <definedName name="OSRRefE21_14x_2" localSheetId="47">'Div 3'!$J$166</definedName>
    <definedName name="OSRRefE21_14x_2" localSheetId="70">'Div 4'!$J$78</definedName>
    <definedName name="OSRRefE21_14x_2" localSheetId="2">Summary!$J$194</definedName>
    <definedName name="OSRRefE21_14x_3" localSheetId="41">'201'!$K$69</definedName>
    <definedName name="OSRRefE21_14x_3" localSheetId="48">'300'!$K$162</definedName>
    <definedName name="OSRRefE21_14x_3" localSheetId="49">'300 &amp; 317'!$K$184</definedName>
    <definedName name="OSRRefE21_14x_3" localSheetId="50">'301'!$K$69:$K$71</definedName>
    <definedName name="OSRRefE21_14x_3" localSheetId="53">'308'!$K$106</definedName>
    <definedName name="OSRRefE21_14x_3" localSheetId="63">'310'!$K$73</definedName>
    <definedName name="OSRRefE21_14x_3" localSheetId="71">'310 &amp; 491'!$K$79:$K$81</definedName>
    <definedName name="OSRRefE21_14x_3" localSheetId="54">'311'!$K$105</definedName>
    <definedName name="OSRRefE21_14x_3" localSheetId="57">'315'!$K$125:$K$131</definedName>
    <definedName name="OSRRefE21_14x_3" localSheetId="68">'325'!$K$71</definedName>
    <definedName name="OSRRefE21_14x_3" localSheetId="58">'326'!$K$91:$K$92</definedName>
    <definedName name="OSRRefE21_14x_3" localSheetId="56">'331'!$K$123:$K$125</definedName>
    <definedName name="OSRRefE21_14x_3" localSheetId="73">'405'!$K$78</definedName>
    <definedName name="OSRRefE21_14x_3" localSheetId="75">'411'!$K$74</definedName>
    <definedName name="OSRRefE21_14x_3" localSheetId="78">'414'!$K$71</definedName>
    <definedName name="OSRRefE21_14x_3" localSheetId="79">'415'!$K$76:$K$81</definedName>
    <definedName name="OSRRefE21_14x_3" localSheetId="88">'433'!$K$84</definedName>
    <definedName name="OSRRefE21_14x_3" localSheetId="90">'444'!$K$83:$K$84</definedName>
    <definedName name="OSRRefE21_14x_3" localSheetId="91">'450'!$K$70:$K$75</definedName>
    <definedName name="OSRRefE21_14x_3" localSheetId="72">'491'!$K$75:$K$77</definedName>
    <definedName name="OSRRefE21_14x_3" localSheetId="86">'492'!$K$77:$K$86</definedName>
    <definedName name="OSRRefE21_14x_3" localSheetId="39">'Div 2'!$K$74:$K$75</definedName>
    <definedName name="OSRRefE21_14x_3" localSheetId="47">'Div 3'!$K$166</definedName>
    <definedName name="OSRRefE21_14x_3" localSheetId="70">'Div 4'!$K$78</definedName>
    <definedName name="OSRRefE21_14x_3" localSheetId="2">Summary!$K$194</definedName>
    <definedName name="OSRRefE21_14x_4" localSheetId="41">'201'!$L$69</definedName>
    <definedName name="OSRRefE21_14x_4" localSheetId="48">'300'!$L$162</definedName>
    <definedName name="OSRRefE21_14x_4" localSheetId="49">'300 &amp; 317'!$L$184</definedName>
    <definedName name="OSRRefE21_14x_4" localSheetId="50">'301'!$L$69:$L$71</definedName>
    <definedName name="OSRRefE21_14x_4" localSheetId="53">'308'!$L$106</definedName>
    <definedName name="OSRRefE21_14x_4" localSheetId="63">'310'!$L$73</definedName>
    <definedName name="OSRRefE21_14x_4" localSheetId="71">'310 &amp; 491'!$L$79:$L$81</definedName>
    <definedName name="OSRRefE21_14x_4" localSheetId="54">'311'!$L$105</definedName>
    <definedName name="OSRRefE21_14x_4" localSheetId="57">'315'!$L$125:$L$131</definedName>
    <definedName name="OSRRefE21_14x_4" localSheetId="68">'325'!$L$71</definedName>
    <definedName name="OSRRefE21_14x_4" localSheetId="58">'326'!$L$91:$L$92</definedName>
    <definedName name="OSRRefE21_14x_4" localSheetId="56">'331'!$L$123:$L$125</definedName>
    <definedName name="OSRRefE21_14x_4" localSheetId="73">'405'!$L$78</definedName>
    <definedName name="OSRRefE21_14x_4" localSheetId="75">'411'!$L$74</definedName>
    <definedName name="OSRRefE21_14x_4" localSheetId="78">'414'!$L$71</definedName>
    <definedName name="OSRRefE21_14x_4" localSheetId="79">'415'!$L$76:$L$81</definedName>
    <definedName name="OSRRefE21_14x_4" localSheetId="88">'433'!$L$84</definedName>
    <definedName name="OSRRefE21_14x_4" localSheetId="90">'444'!$L$83:$L$84</definedName>
    <definedName name="OSRRefE21_14x_4" localSheetId="91">'450'!$L$70:$L$75</definedName>
    <definedName name="OSRRefE21_14x_4" localSheetId="72">'491'!$L$75:$L$77</definedName>
    <definedName name="OSRRefE21_14x_4" localSheetId="86">'492'!$L$77:$L$86</definedName>
    <definedName name="OSRRefE21_14x_4" localSheetId="39">'Div 2'!$L$74:$L$75</definedName>
    <definedName name="OSRRefE21_14x_4" localSheetId="47">'Div 3'!$L$166</definedName>
    <definedName name="OSRRefE21_14x_4" localSheetId="70">'Div 4'!$L$78</definedName>
    <definedName name="OSRRefE21_14x_4" localSheetId="2">Summary!$L$194</definedName>
    <definedName name="OSRRefE21_14x_5" localSheetId="41">'201'!$M$69</definedName>
    <definedName name="OSRRefE21_14x_5" localSheetId="48">'300'!$M$162</definedName>
    <definedName name="OSRRefE21_14x_5" localSheetId="49">'300 &amp; 317'!$M$184</definedName>
    <definedName name="OSRRefE21_14x_5" localSheetId="50">'301'!$M$69:$M$71</definedName>
    <definedName name="OSRRefE21_14x_5" localSheetId="53">'308'!$M$106</definedName>
    <definedName name="OSRRefE21_14x_5" localSheetId="63">'310'!$M$73</definedName>
    <definedName name="OSRRefE21_14x_5" localSheetId="71">'310 &amp; 491'!$M$79:$M$81</definedName>
    <definedName name="OSRRefE21_14x_5" localSheetId="54">'311'!$M$105</definedName>
    <definedName name="OSRRefE21_14x_5" localSheetId="57">'315'!$M$125:$M$131</definedName>
    <definedName name="OSRRefE21_14x_5" localSheetId="68">'325'!$M$71</definedName>
    <definedName name="OSRRefE21_14x_5" localSheetId="58">'326'!$M$91:$M$92</definedName>
    <definedName name="OSRRefE21_14x_5" localSheetId="56">'331'!$M$123:$M$125</definedName>
    <definedName name="OSRRefE21_14x_5" localSheetId="73">'405'!$M$78</definedName>
    <definedName name="OSRRefE21_14x_5" localSheetId="75">'411'!$M$74</definedName>
    <definedName name="OSRRefE21_14x_5" localSheetId="78">'414'!$M$71</definedName>
    <definedName name="OSRRefE21_14x_5" localSheetId="79">'415'!$M$76:$M$81</definedName>
    <definedName name="OSRRefE21_14x_5" localSheetId="88">'433'!$M$84</definedName>
    <definedName name="OSRRefE21_14x_5" localSheetId="90">'444'!$M$83:$M$84</definedName>
    <definedName name="OSRRefE21_14x_5" localSheetId="91">'450'!$M$70:$M$75</definedName>
    <definedName name="OSRRefE21_14x_5" localSheetId="72">'491'!$M$75:$M$77</definedName>
    <definedName name="OSRRefE21_14x_5" localSheetId="86">'492'!$M$77:$M$86</definedName>
    <definedName name="OSRRefE21_14x_5" localSheetId="39">'Div 2'!$M$74:$M$75</definedName>
    <definedName name="OSRRefE21_14x_5" localSheetId="47">'Div 3'!$M$166</definedName>
    <definedName name="OSRRefE21_14x_5" localSheetId="70">'Div 4'!$M$78</definedName>
    <definedName name="OSRRefE21_14x_5" localSheetId="2">Summary!$M$194</definedName>
    <definedName name="OSRRefE21_14x_6" localSheetId="41">'201'!$N$69</definedName>
    <definedName name="OSRRefE21_14x_6" localSheetId="48">'300'!$N$162</definedName>
    <definedName name="OSRRefE21_14x_6" localSheetId="49">'300 &amp; 317'!$N$184</definedName>
    <definedName name="OSRRefE21_14x_6" localSheetId="50">'301'!$N$69:$N$71</definedName>
    <definedName name="OSRRefE21_14x_6" localSheetId="53">'308'!$N$106</definedName>
    <definedName name="OSRRefE21_14x_6" localSheetId="63">'310'!$N$73</definedName>
    <definedName name="OSRRefE21_14x_6" localSheetId="71">'310 &amp; 491'!$N$79:$N$81</definedName>
    <definedName name="OSRRefE21_14x_6" localSheetId="54">'311'!$N$105</definedName>
    <definedName name="OSRRefE21_14x_6" localSheetId="57">'315'!$N$125:$N$131</definedName>
    <definedName name="OSRRefE21_14x_6" localSheetId="68">'325'!$N$71</definedName>
    <definedName name="OSRRefE21_14x_6" localSheetId="58">'326'!$N$91:$N$92</definedName>
    <definedName name="OSRRefE21_14x_6" localSheetId="56">'331'!$N$123:$N$125</definedName>
    <definedName name="OSRRefE21_14x_6" localSheetId="73">'405'!$N$78</definedName>
    <definedName name="OSRRefE21_14x_6" localSheetId="75">'411'!$N$74</definedName>
    <definedName name="OSRRefE21_14x_6" localSheetId="78">'414'!$N$71</definedName>
    <definedName name="OSRRefE21_14x_6" localSheetId="79">'415'!$N$76:$N$81</definedName>
    <definedName name="OSRRefE21_14x_6" localSheetId="88">'433'!$N$84</definedName>
    <definedName name="OSRRefE21_14x_6" localSheetId="90">'444'!$N$83:$N$84</definedName>
    <definedName name="OSRRefE21_14x_6" localSheetId="91">'450'!$N$70:$N$75</definedName>
    <definedName name="OSRRefE21_14x_6" localSheetId="72">'491'!$N$75:$N$77</definedName>
    <definedName name="OSRRefE21_14x_6" localSheetId="86">'492'!$N$77:$N$86</definedName>
    <definedName name="OSRRefE21_14x_6" localSheetId="39">'Div 2'!$N$74:$N$75</definedName>
    <definedName name="OSRRefE21_14x_6" localSheetId="47">'Div 3'!$N$166</definedName>
    <definedName name="OSRRefE21_14x_6" localSheetId="70">'Div 4'!$N$78</definedName>
    <definedName name="OSRRefE21_14x_6" localSheetId="2">Summary!$N$194</definedName>
    <definedName name="OSRRefE21_14x_7" localSheetId="41">'201'!$O$69</definedName>
    <definedName name="OSRRefE21_14x_7" localSheetId="48">'300'!$O$162</definedName>
    <definedName name="OSRRefE21_14x_7" localSheetId="49">'300 &amp; 317'!$O$184</definedName>
    <definedName name="OSRRefE21_14x_7" localSheetId="50">'301'!$O$69:$O$71</definedName>
    <definedName name="OSRRefE21_14x_7" localSheetId="53">'308'!$O$106</definedName>
    <definedName name="OSRRefE21_14x_7" localSheetId="63">'310'!$O$73</definedName>
    <definedName name="OSRRefE21_14x_7" localSheetId="71">'310 &amp; 491'!$O$79:$O$81</definedName>
    <definedName name="OSRRefE21_14x_7" localSheetId="54">'311'!$O$105</definedName>
    <definedName name="OSRRefE21_14x_7" localSheetId="57">'315'!$O$125:$O$131</definedName>
    <definedName name="OSRRefE21_14x_7" localSheetId="68">'325'!$O$71</definedName>
    <definedName name="OSRRefE21_14x_7" localSheetId="58">'326'!$O$91:$O$92</definedName>
    <definedName name="OSRRefE21_14x_7" localSheetId="56">'331'!$O$123:$O$125</definedName>
    <definedName name="OSRRefE21_14x_7" localSheetId="73">'405'!$O$78</definedName>
    <definedName name="OSRRefE21_14x_7" localSheetId="75">'411'!$O$74</definedName>
    <definedName name="OSRRefE21_14x_7" localSheetId="78">'414'!$O$71</definedName>
    <definedName name="OSRRefE21_14x_7" localSheetId="79">'415'!$O$76:$O$81</definedName>
    <definedName name="OSRRefE21_14x_7" localSheetId="88">'433'!$O$84</definedName>
    <definedName name="OSRRefE21_14x_7" localSheetId="90">'444'!$O$83:$O$84</definedName>
    <definedName name="OSRRefE21_14x_7" localSheetId="91">'450'!$O$70:$O$75</definedName>
    <definedName name="OSRRefE21_14x_7" localSheetId="72">'491'!$O$75:$O$77</definedName>
    <definedName name="OSRRefE21_14x_7" localSheetId="86">'492'!$O$77:$O$86</definedName>
    <definedName name="OSRRefE21_14x_7" localSheetId="39">'Div 2'!$O$74:$O$75</definedName>
    <definedName name="OSRRefE21_14x_7" localSheetId="47">'Div 3'!$O$166</definedName>
    <definedName name="OSRRefE21_14x_7" localSheetId="70">'Div 4'!$O$78</definedName>
    <definedName name="OSRRefE21_14x_7" localSheetId="2">Summary!$O$194</definedName>
    <definedName name="OSRRefE21_15_0x" localSheetId="41">'201'!$H$71:$O$71</definedName>
    <definedName name="OSRRefE21_15_0x" localSheetId="48">'300'!$H$164:$O$164</definedName>
    <definedName name="OSRRefE21_15_0x" localSheetId="49">'300 &amp; 317'!$H$186:$O$186</definedName>
    <definedName name="OSRRefE21_15_0x" localSheetId="50">'301'!$H$73:$O$73</definedName>
    <definedName name="OSRRefE21_15_0x" localSheetId="63">'310'!$H$75:$O$75</definedName>
    <definedName name="OSRRefE21_15_0x" localSheetId="71">'310 &amp; 491'!$H$83:$O$83</definedName>
    <definedName name="OSRRefE21_15_0x" localSheetId="57">'315'!$H$133:$O$133</definedName>
    <definedName name="OSRRefE21_15_0x" localSheetId="58">'326'!$H$94:$O$94</definedName>
    <definedName name="OSRRefE21_15_0x" localSheetId="56">'331'!$H$127:$O$127</definedName>
    <definedName name="OSRRefE21_15_0x" localSheetId="73">'405'!$H$80:$O$80</definedName>
    <definedName name="OSRRefE21_15_0x" localSheetId="75">'411'!$H$76:$O$76</definedName>
    <definedName name="OSRRefE21_15_0x" localSheetId="79">'415'!$H$83:$O$83</definedName>
    <definedName name="OSRRefE21_15_0x" localSheetId="88">'433'!$H$86:$O$86</definedName>
    <definedName name="OSRRefE21_15_0x" localSheetId="90">'444'!$H$86:$O$86</definedName>
    <definedName name="OSRRefE21_15_0x" localSheetId="91">'450'!$H$77:$O$77</definedName>
    <definedName name="OSRRefE21_15_0x" localSheetId="72">'491'!$H$79:$O$79</definedName>
    <definedName name="OSRRefE21_15_0x" localSheetId="86">'492'!$H$88:$O$88</definedName>
    <definedName name="OSRRefE21_15_0x" localSheetId="39">'Div 2'!$H$77:$O$77</definedName>
    <definedName name="OSRRefE21_15_0x" localSheetId="47">'Div 3'!$H$168:$O$168</definedName>
    <definedName name="OSRRefE21_15_0x" localSheetId="70">'Div 4'!$H$80:$O$80</definedName>
    <definedName name="OSRRefE21_15_0x" localSheetId="2">Summary!$H$196:$O$196</definedName>
    <definedName name="OSRRefE21_15_1x" localSheetId="63">'310'!$H$76:$O$76</definedName>
    <definedName name="OSRRefE21_15_1x" localSheetId="71">'310 &amp; 491'!$H$84:$O$84</definedName>
    <definedName name="OSRRefE21_15_1x" localSheetId="58">'326'!$H$95:$O$95</definedName>
    <definedName name="OSRRefE21_15_1x" localSheetId="56">'331'!$H$128:$O$128</definedName>
    <definedName name="OSRRefE21_15_1x" localSheetId="79">'415'!$H$84:$O$84</definedName>
    <definedName name="OSRRefE21_15_1x" localSheetId="91">'450'!$H$78:$O$78</definedName>
    <definedName name="OSRRefE21_15_1x" localSheetId="72">'491'!$H$80:$O$80</definedName>
    <definedName name="OSRRefE21_15_1x" localSheetId="86">'492'!$H$89:$O$89</definedName>
    <definedName name="OSRRefE21_15_1x" localSheetId="39">'Div 2'!$H$78:$O$78</definedName>
    <definedName name="OSRRefE21_15_1x" localSheetId="70">'Div 4'!$H$81:$O$81</definedName>
    <definedName name="OSRRefE21_15_2x" localSheetId="58">'326'!$H$96:$O$96</definedName>
    <definedName name="OSRRefE21_15_2x" localSheetId="56">'331'!$H$129:$O$129</definedName>
    <definedName name="OSRRefE21_15_2x" localSheetId="70">'Div 4'!$H$82:$O$82</definedName>
    <definedName name="OSRRefE21_15_3x" localSheetId="58">'326'!$H$97:$O$97</definedName>
    <definedName name="OSRRefE21_15_3x" localSheetId="70">'Div 4'!$H$83:$O$83</definedName>
    <definedName name="OSRRefE21_15_4x" localSheetId="58">'326'!$H$98:$O$98</definedName>
    <definedName name="OSRRefE21_15_5x" localSheetId="58">'326'!$H$99:$O$99</definedName>
    <definedName name="OSRRefE21_15x_0" localSheetId="41">'201'!$H$71</definedName>
    <definedName name="OSRRefE21_15x_0" localSheetId="48">'300'!$H$164</definedName>
    <definedName name="OSRRefE21_15x_0" localSheetId="49">'300 &amp; 317'!$H$186</definedName>
    <definedName name="OSRRefE21_15x_0" localSheetId="50">'301'!$H$73</definedName>
    <definedName name="OSRRefE21_15x_0" localSheetId="63">'310'!$H$75:$H$76</definedName>
    <definedName name="OSRRefE21_15x_0" localSheetId="71">'310 &amp; 491'!$H$83:$H$84</definedName>
    <definedName name="OSRRefE21_15x_0" localSheetId="57">'315'!$H$133</definedName>
    <definedName name="OSRRefE21_15x_0" localSheetId="58">'326'!$H$94:$H$99</definedName>
    <definedName name="OSRRefE21_15x_0" localSheetId="56">'331'!$H$127:$H$129</definedName>
    <definedName name="OSRRefE21_15x_0" localSheetId="73">'405'!$H$80</definedName>
    <definedName name="OSRRefE21_15x_0" localSheetId="75">'411'!$H$76</definedName>
    <definedName name="OSRRefE21_15x_0" localSheetId="79">'415'!$H$83:$H$84</definedName>
    <definedName name="OSRRefE21_15x_0" localSheetId="88">'433'!$H$86</definedName>
    <definedName name="OSRRefE21_15x_0" localSheetId="90">'444'!$H$86</definedName>
    <definedName name="OSRRefE21_15x_0" localSheetId="91">'450'!$H$77:$H$78</definedName>
    <definedName name="OSRRefE21_15x_0" localSheetId="72">'491'!$H$79:$H$80</definedName>
    <definedName name="OSRRefE21_15x_0" localSheetId="86">'492'!$H$88:$H$89</definedName>
    <definedName name="OSRRefE21_15x_0" localSheetId="39">'Div 2'!$H$77:$H$78</definedName>
    <definedName name="OSRRefE21_15x_0" localSheetId="47">'Div 3'!$H$168</definedName>
    <definedName name="OSRRefE21_15x_0" localSheetId="70">'Div 4'!$H$80:$H$83</definedName>
    <definedName name="OSRRefE21_15x_0" localSheetId="2">Summary!$H$196</definedName>
    <definedName name="OSRRefE21_15x_1" localSheetId="41">'201'!$I$71</definedName>
    <definedName name="OSRRefE21_15x_1" localSheetId="48">'300'!$I$164</definedName>
    <definedName name="OSRRefE21_15x_1" localSheetId="49">'300 &amp; 317'!$I$186</definedName>
    <definedName name="OSRRefE21_15x_1" localSheetId="50">'301'!$I$73</definedName>
    <definedName name="OSRRefE21_15x_1" localSheetId="63">'310'!$I$75:$I$76</definedName>
    <definedName name="OSRRefE21_15x_1" localSheetId="71">'310 &amp; 491'!$I$83:$I$84</definedName>
    <definedName name="OSRRefE21_15x_1" localSheetId="57">'315'!$I$133</definedName>
    <definedName name="OSRRefE21_15x_1" localSheetId="58">'326'!$I$94:$I$99</definedName>
    <definedName name="OSRRefE21_15x_1" localSheetId="56">'331'!$I$127:$I$129</definedName>
    <definedName name="OSRRefE21_15x_1" localSheetId="73">'405'!$I$80</definedName>
    <definedName name="OSRRefE21_15x_1" localSheetId="75">'411'!$I$76</definedName>
    <definedName name="OSRRefE21_15x_1" localSheetId="79">'415'!$I$83:$I$84</definedName>
    <definedName name="OSRRefE21_15x_1" localSheetId="88">'433'!$I$86</definedName>
    <definedName name="OSRRefE21_15x_1" localSheetId="90">'444'!$I$86</definedName>
    <definedName name="OSRRefE21_15x_1" localSheetId="91">'450'!$I$77:$I$78</definedName>
    <definedName name="OSRRefE21_15x_1" localSheetId="72">'491'!$I$79:$I$80</definedName>
    <definedName name="OSRRefE21_15x_1" localSheetId="86">'492'!$I$88:$I$89</definedName>
    <definedName name="OSRRefE21_15x_1" localSheetId="39">'Div 2'!$I$77:$I$78</definedName>
    <definedName name="OSRRefE21_15x_1" localSheetId="47">'Div 3'!$I$168</definedName>
    <definedName name="OSRRefE21_15x_1" localSheetId="70">'Div 4'!$I$80:$I$83</definedName>
    <definedName name="OSRRefE21_15x_1" localSheetId="2">Summary!$I$196</definedName>
    <definedName name="OSRRefE21_15x_2" localSheetId="41">'201'!$J$71</definedName>
    <definedName name="OSRRefE21_15x_2" localSheetId="48">'300'!$J$164</definedName>
    <definedName name="OSRRefE21_15x_2" localSheetId="49">'300 &amp; 317'!$J$186</definedName>
    <definedName name="OSRRefE21_15x_2" localSheetId="50">'301'!$J$73</definedName>
    <definedName name="OSRRefE21_15x_2" localSheetId="63">'310'!$J$75:$J$76</definedName>
    <definedName name="OSRRefE21_15x_2" localSheetId="71">'310 &amp; 491'!$J$83:$J$84</definedName>
    <definedName name="OSRRefE21_15x_2" localSheetId="57">'315'!$J$133</definedName>
    <definedName name="OSRRefE21_15x_2" localSheetId="58">'326'!$J$94:$J$99</definedName>
    <definedName name="OSRRefE21_15x_2" localSheetId="56">'331'!$J$127:$J$129</definedName>
    <definedName name="OSRRefE21_15x_2" localSheetId="73">'405'!$J$80</definedName>
    <definedName name="OSRRefE21_15x_2" localSheetId="75">'411'!$J$76</definedName>
    <definedName name="OSRRefE21_15x_2" localSheetId="79">'415'!$J$83:$J$84</definedName>
    <definedName name="OSRRefE21_15x_2" localSheetId="88">'433'!$J$86</definedName>
    <definedName name="OSRRefE21_15x_2" localSheetId="90">'444'!$J$86</definedName>
    <definedName name="OSRRefE21_15x_2" localSheetId="91">'450'!$J$77:$J$78</definedName>
    <definedName name="OSRRefE21_15x_2" localSheetId="72">'491'!$J$79:$J$80</definedName>
    <definedName name="OSRRefE21_15x_2" localSheetId="86">'492'!$J$88:$J$89</definedName>
    <definedName name="OSRRefE21_15x_2" localSheetId="39">'Div 2'!$J$77:$J$78</definedName>
    <definedName name="OSRRefE21_15x_2" localSheetId="47">'Div 3'!$J$168</definedName>
    <definedName name="OSRRefE21_15x_2" localSheetId="70">'Div 4'!$J$80:$J$83</definedName>
    <definedName name="OSRRefE21_15x_2" localSheetId="2">Summary!$J$196</definedName>
    <definedName name="OSRRefE21_15x_3" localSheetId="41">'201'!$K$71</definedName>
    <definedName name="OSRRefE21_15x_3" localSheetId="48">'300'!$K$164</definedName>
    <definedName name="OSRRefE21_15x_3" localSheetId="49">'300 &amp; 317'!$K$186</definedName>
    <definedName name="OSRRefE21_15x_3" localSheetId="50">'301'!$K$73</definedName>
    <definedName name="OSRRefE21_15x_3" localSheetId="63">'310'!$K$75:$K$76</definedName>
    <definedName name="OSRRefE21_15x_3" localSheetId="71">'310 &amp; 491'!$K$83:$K$84</definedName>
    <definedName name="OSRRefE21_15x_3" localSheetId="57">'315'!$K$133</definedName>
    <definedName name="OSRRefE21_15x_3" localSheetId="58">'326'!$K$94:$K$99</definedName>
    <definedName name="OSRRefE21_15x_3" localSheetId="56">'331'!$K$127:$K$129</definedName>
    <definedName name="OSRRefE21_15x_3" localSheetId="73">'405'!$K$80</definedName>
    <definedName name="OSRRefE21_15x_3" localSheetId="75">'411'!$K$76</definedName>
    <definedName name="OSRRefE21_15x_3" localSheetId="79">'415'!$K$83:$K$84</definedName>
    <definedName name="OSRRefE21_15x_3" localSheetId="88">'433'!$K$86</definedName>
    <definedName name="OSRRefE21_15x_3" localSheetId="90">'444'!$K$86</definedName>
    <definedName name="OSRRefE21_15x_3" localSheetId="91">'450'!$K$77:$K$78</definedName>
    <definedName name="OSRRefE21_15x_3" localSheetId="72">'491'!$K$79:$K$80</definedName>
    <definedName name="OSRRefE21_15x_3" localSheetId="86">'492'!$K$88:$K$89</definedName>
    <definedName name="OSRRefE21_15x_3" localSheetId="39">'Div 2'!$K$77:$K$78</definedName>
    <definedName name="OSRRefE21_15x_3" localSheetId="47">'Div 3'!$K$168</definedName>
    <definedName name="OSRRefE21_15x_3" localSheetId="70">'Div 4'!$K$80:$K$83</definedName>
    <definedName name="OSRRefE21_15x_3" localSheetId="2">Summary!$K$196</definedName>
    <definedName name="OSRRefE21_15x_4" localSheetId="41">'201'!$L$71</definedName>
    <definedName name="OSRRefE21_15x_4" localSheetId="48">'300'!$L$164</definedName>
    <definedName name="OSRRefE21_15x_4" localSheetId="49">'300 &amp; 317'!$L$186</definedName>
    <definedName name="OSRRefE21_15x_4" localSheetId="50">'301'!$L$73</definedName>
    <definedName name="OSRRefE21_15x_4" localSheetId="63">'310'!$L$75:$L$76</definedName>
    <definedName name="OSRRefE21_15x_4" localSheetId="71">'310 &amp; 491'!$L$83:$L$84</definedName>
    <definedName name="OSRRefE21_15x_4" localSheetId="57">'315'!$L$133</definedName>
    <definedName name="OSRRefE21_15x_4" localSheetId="58">'326'!$L$94:$L$99</definedName>
    <definedName name="OSRRefE21_15x_4" localSheetId="56">'331'!$L$127:$L$129</definedName>
    <definedName name="OSRRefE21_15x_4" localSheetId="73">'405'!$L$80</definedName>
    <definedName name="OSRRefE21_15x_4" localSheetId="75">'411'!$L$76</definedName>
    <definedName name="OSRRefE21_15x_4" localSheetId="79">'415'!$L$83:$L$84</definedName>
    <definedName name="OSRRefE21_15x_4" localSheetId="88">'433'!$L$86</definedName>
    <definedName name="OSRRefE21_15x_4" localSheetId="90">'444'!$L$86</definedName>
    <definedName name="OSRRefE21_15x_4" localSheetId="91">'450'!$L$77:$L$78</definedName>
    <definedName name="OSRRefE21_15x_4" localSheetId="72">'491'!$L$79:$L$80</definedName>
    <definedName name="OSRRefE21_15x_4" localSheetId="86">'492'!$L$88:$L$89</definedName>
    <definedName name="OSRRefE21_15x_4" localSheetId="39">'Div 2'!$L$77:$L$78</definedName>
    <definedName name="OSRRefE21_15x_4" localSheetId="47">'Div 3'!$L$168</definedName>
    <definedName name="OSRRefE21_15x_4" localSheetId="70">'Div 4'!$L$80:$L$83</definedName>
    <definedName name="OSRRefE21_15x_4" localSheetId="2">Summary!$L$196</definedName>
    <definedName name="OSRRefE21_15x_5" localSheetId="41">'201'!$M$71</definedName>
    <definedName name="OSRRefE21_15x_5" localSheetId="48">'300'!$M$164</definedName>
    <definedName name="OSRRefE21_15x_5" localSheetId="49">'300 &amp; 317'!$M$186</definedName>
    <definedName name="OSRRefE21_15x_5" localSheetId="50">'301'!$M$73</definedName>
    <definedName name="OSRRefE21_15x_5" localSheetId="63">'310'!$M$75:$M$76</definedName>
    <definedName name="OSRRefE21_15x_5" localSheetId="71">'310 &amp; 491'!$M$83:$M$84</definedName>
    <definedName name="OSRRefE21_15x_5" localSheetId="57">'315'!$M$133</definedName>
    <definedName name="OSRRefE21_15x_5" localSheetId="58">'326'!$M$94:$M$99</definedName>
    <definedName name="OSRRefE21_15x_5" localSheetId="56">'331'!$M$127:$M$129</definedName>
    <definedName name="OSRRefE21_15x_5" localSheetId="73">'405'!$M$80</definedName>
    <definedName name="OSRRefE21_15x_5" localSheetId="75">'411'!$M$76</definedName>
    <definedName name="OSRRefE21_15x_5" localSheetId="79">'415'!$M$83:$M$84</definedName>
    <definedName name="OSRRefE21_15x_5" localSheetId="88">'433'!$M$86</definedName>
    <definedName name="OSRRefE21_15x_5" localSheetId="90">'444'!$M$86</definedName>
    <definedName name="OSRRefE21_15x_5" localSheetId="91">'450'!$M$77:$M$78</definedName>
    <definedName name="OSRRefE21_15x_5" localSheetId="72">'491'!$M$79:$M$80</definedName>
    <definedName name="OSRRefE21_15x_5" localSheetId="86">'492'!$M$88:$M$89</definedName>
    <definedName name="OSRRefE21_15x_5" localSheetId="39">'Div 2'!$M$77:$M$78</definedName>
    <definedName name="OSRRefE21_15x_5" localSheetId="47">'Div 3'!$M$168</definedName>
    <definedName name="OSRRefE21_15x_5" localSheetId="70">'Div 4'!$M$80:$M$83</definedName>
    <definedName name="OSRRefE21_15x_5" localSheetId="2">Summary!$M$196</definedName>
    <definedName name="OSRRefE21_15x_6" localSheetId="41">'201'!$N$71</definedName>
    <definedName name="OSRRefE21_15x_6" localSheetId="48">'300'!$N$164</definedName>
    <definedName name="OSRRefE21_15x_6" localSheetId="49">'300 &amp; 317'!$N$186</definedName>
    <definedName name="OSRRefE21_15x_6" localSheetId="50">'301'!$N$73</definedName>
    <definedName name="OSRRefE21_15x_6" localSheetId="63">'310'!$N$75:$N$76</definedName>
    <definedName name="OSRRefE21_15x_6" localSheetId="71">'310 &amp; 491'!$N$83:$N$84</definedName>
    <definedName name="OSRRefE21_15x_6" localSheetId="57">'315'!$N$133</definedName>
    <definedName name="OSRRefE21_15x_6" localSheetId="58">'326'!$N$94:$N$99</definedName>
    <definedName name="OSRRefE21_15x_6" localSheetId="56">'331'!$N$127:$N$129</definedName>
    <definedName name="OSRRefE21_15x_6" localSheetId="73">'405'!$N$80</definedName>
    <definedName name="OSRRefE21_15x_6" localSheetId="75">'411'!$N$76</definedName>
    <definedName name="OSRRefE21_15x_6" localSheetId="79">'415'!$N$83:$N$84</definedName>
    <definedName name="OSRRefE21_15x_6" localSheetId="88">'433'!$N$86</definedName>
    <definedName name="OSRRefE21_15x_6" localSheetId="90">'444'!$N$86</definedName>
    <definedName name="OSRRefE21_15x_6" localSheetId="91">'450'!$N$77:$N$78</definedName>
    <definedName name="OSRRefE21_15x_6" localSheetId="72">'491'!$N$79:$N$80</definedName>
    <definedName name="OSRRefE21_15x_6" localSheetId="86">'492'!$N$88:$N$89</definedName>
    <definedName name="OSRRefE21_15x_6" localSheetId="39">'Div 2'!$N$77:$N$78</definedName>
    <definedName name="OSRRefE21_15x_6" localSheetId="47">'Div 3'!$N$168</definedName>
    <definedName name="OSRRefE21_15x_6" localSheetId="70">'Div 4'!$N$80:$N$83</definedName>
    <definedName name="OSRRefE21_15x_6" localSheetId="2">Summary!$N$196</definedName>
    <definedName name="OSRRefE21_15x_7" localSheetId="41">'201'!$O$71</definedName>
    <definedName name="OSRRefE21_15x_7" localSheetId="48">'300'!$O$164</definedName>
    <definedName name="OSRRefE21_15x_7" localSheetId="49">'300 &amp; 317'!$O$186</definedName>
    <definedName name="OSRRefE21_15x_7" localSheetId="50">'301'!$O$73</definedName>
    <definedName name="OSRRefE21_15x_7" localSheetId="63">'310'!$O$75:$O$76</definedName>
    <definedName name="OSRRefE21_15x_7" localSheetId="71">'310 &amp; 491'!$O$83:$O$84</definedName>
    <definedName name="OSRRefE21_15x_7" localSheetId="57">'315'!$O$133</definedName>
    <definedName name="OSRRefE21_15x_7" localSheetId="58">'326'!$O$94:$O$99</definedName>
    <definedName name="OSRRefE21_15x_7" localSheetId="56">'331'!$O$127:$O$129</definedName>
    <definedName name="OSRRefE21_15x_7" localSheetId="73">'405'!$O$80</definedName>
    <definedName name="OSRRefE21_15x_7" localSheetId="75">'411'!$O$76</definedName>
    <definedName name="OSRRefE21_15x_7" localSheetId="79">'415'!$O$83:$O$84</definedName>
    <definedName name="OSRRefE21_15x_7" localSheetId="88">'433'!$O$86</definedName>
    <definedName name="OSRRefE21_15x_7" localSheetId="90">'444'!$O$86</definedName>
    <definedName name="OSRRefE21_15x_7" localSheetId="91">'450'!$O$77:$O$78</definedName>
    <definedName name="OSRRefE21_15x_7" localSheetId="72">'491'!$O$79:$O$80</definedName>
    <definedName name="OSRRefE21_15x_7" localSheetId="86">'492'!$O$88:$O$89</definedName>
    <definedName name="OSRRefE21_15x_7" localSheetId="39">'Div 2'!$O$77:$O$78</definedName>
    <definedName name="OSRRefE21_15x_7" localSheetId="47">'Div 3'!$O$168</definedName>
    <definedName name="OSRRefE21_15x_7" localSheetId="70">'Div 4'!$O$80:$O$83</definedName>
    <definedName name="OSRRefE21_15x_7" localSheetId="2">Summary!$O$196</definedName>
    <definedName name="OSRRefE21_16_0x" localSheetId="41">'201'!$H$73:$O$73</definedName>
    <definedName name="OSRRefE21_16_0x" localSheetId="48">'300'!$H$166:$O$166</definedName>
    <definedName name="OSRRefE21_16_0x" localSheetId="49">'300 &amp; 317'!$H$188:$O$188</definedName>
    <definedName name="OSRRefE21_16_0x" localSheetId="50">'301'!$H$75:$O$75</definedName>
    <definedName name="OSRRefE21_16_0x" localSheetId="63">'310'!$H$78:$O$78</definedName>
    <definedName name="OSRRefE21_16_0x" localSheetId="71">'310 &amp; 491'!$H$86:$O$86</definedName>
    <definedName name="OSRRefE21_16_0x" localSheetId="57">'315'!$H$135:$O$135</definedName>
    <definedName name="OSRRefE21_16_0x" localSheetId="58">'326'!$H$101:$O$101</definedName>
    <definedName name="OSRRefE21_16_0x" localSheetId="56">'331'!$H$131:$O$131</definedName>
    <definedName name="OSRRefE21_16_0x" localSheetId="73">'405'!$H$82:$O$82</definedName>
    <definedName name="OSRRefE21_16_0x" localSheetId="79">'415'!$H$86:$O$86</definedName>
    <definedName name="OSRRefE21_16_0x" localSheetId="91">'450'!$H$80:$O$80</definedName>
    <definedName name="OSRRefE21_16_0x" localSheetId="72">'491'!$H$82:$O$82</definedName>
    <definedName name="OSRRefE21_16_0x" localSheetId="86">'492'!$H$91:$O$91</definedName>
    <definedName name="OSRRefE21_16_0x" localSheetId="39">'Div 2'!$H$80:$O$80</definedName>
    <definedName name="OSRRefE21_16_0x" localSheetId="47">'Div 3'!$H$170:$O$170</definedName>
    <definedName name="OSRRefE21_16_0x" localSheetId="70">'Div 4'!$H$85:$O$85</definedName>
    <definedName name="OSRRefE21_16_0x" localSheetId="2">Summary!$H$198:$O$198</definedName>
    <definedName name="OSRRefE21_16_1x" localSheetId="48">'300'!$H$167:$O$167</definedName>
    <definedName name="OSRRefE21_16_1x" localSheetId="49">'300 &amp; 317'!$H$189:$O$189</definedName>
    <definedName name="OSRRefE21_16_1x" localSheetId="50">'301'!$H$76:$O$76</definedName>
    <definedName name="OSRRefE21_16_1x" localSheetId="63">'310'!$H$79:$O$79</definedName>
    <definedName name="OSRRefE21_16_1x" localSheetId="71">'310 &amp; 491'!$H$87:$O$87</definedName>
    <definedName name="OSRRefE21_16_1x" localSheetId="58">'326'!$H$102:$O$102</definedName>
    <definedName name="OSRRefE21_16_1x" localSheetId="56">'331'!$H$132:$O$132</definedName>
    <definedName name="OSRRefE21_16_1x" localSheetId="72">'491'!$H$83:$O$83</definedName>
    <definedName name="OSRRefE21_16_1x" localSheetId="39">'Div 2'!$H$81:$O$81</definedName>
    <definedName name="OSRRefE21_16_1x" localSheetId="70">'Div 4'!$H$86:$O$86</definedName>
    <definedName name="OSRRefE21_16_2x" localSheetId="48">'300'!$H$168:$O$168</definedName>
    <definedName name="OSRRefE21_16_2x" localSheetId="49">'300 &amp; 317'!$H$190:$O$190</definedName>
    <definedName name="OSRRefE21_16_2x" localSheetId="50">'301'!$H$77:$O$77</definedName>
    <definedName name="OSRRefE21_16_2x" localSheetId="63">'310'!$H$80:$O$80</definedName>
    <definedName name="OSRRefE21_16_2x" localSheetId="71">'310 &amp; 491'!$H$88:$O$88</definedName>
    <definedName name="OSRRefE21_16_2x" localSheetId="72">'491'!$H$84:$O$84</definedName>
    <definedName name="OSRRefE21_16_2x" localSheetId="39">'Div 2'!$H$82:$O$82</definedName>
    <definedName name="OSRRefE21_16_3x" localSheetId="48">'300'!$H$169:$O$169</definedName>
    <definedName name="OSRRefE21_16_3x" localSheetId="49">'300 &amp; 317'!$H$191:$O$191</definedName>
    <definedName name="OSRRefE21_16_3x" localSheetId="50">'301'!$H$78:$O$78</definedName>
    <definedName name="OSRRefE21_16_3x" localSheetId="63">'310'!$H$81:$O$81</definedName>
    <definedName name="OSRRefE21_16_3x" localSheetId="71">'310 &amp; 491'!$H$89:$O$89</definedName>
    <definedName name="OSRRefE21_16_3x" localSheetId="72">'491'!$H$85:$O$85</definedName>
    <definedName name="OSRRefE21_16_3x" localSheetId="39">'Div 2'!$H$83:$O$83</definedName>
    <definedName name="OSRRefE21_16_4x" localSheetId="50">'301'!$H$79:$O$79</definedName>
    <definedName name="OSRRefE21_16_4x" localSheetId="63">'310'!$H$82:$O$82</definedName>
    <definedName name="OSRRefE21_16_4x" localSheetId="71">'310 &amp; 491'!$H$90:$O$90</definedName>
    <definedName name="OSRRefE21_16_4x" localSheetId="72">'491'!$H$86:$O$86</definedName>
    <definedName name="OSRRefE21_16_5x" localSheetId="50">'301'!$H$80:$O$80</definedName>
    <definedName name="OSRRefE21_16_5x" localSheetId="63">'310'!$H$83:$O$83</definedName>
    <definedName name="OSRRefE21_16_6x" localSheetId="50">'301'!$H$81:$O$81</definedName>
    <definedName name="OSRRefE21_16_6x" localSheetId="63">'310'!$H$84:$O$84</definedName>
    <definedName name="OSRRefE21_16x_0" localSheetId="41">'201'!$H$73</definedName>
    <definedName name="OSRRefE21_16x_0" localSheetId="48">'300'!$H$166:$H$169</definedName>
    <definedName name="OSRRefE21_16x_0" localSheetId="49">'300 &amp; 317'!$H$188:$H$191</definedName>
    <definedName name="OSRRefE21_16x_0" localSheetId="50">'301'!$H$75:$H$81</definedName>
    <definedName name="OSRRefE21_16x_0" localSheetId="63">'310'!$H$78:$H$84</definedName>
    <definedName name="OSRRefE21_16x_0" localSheetId="71">'310 &amp; 491'!$H$86:$H$90</definedName>
    <definedName name="OSRRefE21_16x_0" localSheetId="57">'315'!$H$135</definedName>
    <definedName name="OSRRefE21_16x_0" localSheetId="58">'326'!$H$101:$H$102</definedName>
    <definedName name="OSRRefE21_16x_0" localSheetId="56">'331'!$H$131:$H$132</definedName>
    <definedName name="OSRRefE21_16x_0" localSheetId="73">'405'!$H$82</definedName>
    <definedName name="OSRRefE21_16x_0" localSheetId="79">'415'!$H$86</definedName>
    <definedName name="OSRRefE21_16x_0" localSheetId="91">'450'!$H$80</definedName>
    <definedName name="OSRRefE21_16x_0" localSheetId="72">'491'!$H$82:$H$86</definedName>
    <definedName name="OSRRefE21_16x_0" localSheetId="86">'492'!$H$91</definedName>
    <definedName name="OSRRefE21_16x_0" localSheetId="39">'Div 2'!$H$80:$H$83</definedName>
    <definedName name="OSRRefE21_16x_0" localSheetId="47">'Div 3'!$H$170</definedName>
    <definedName name="OSRRefE21_16x_0" localSheetId="70">'Div 4'!$H$85:$H$86</definedName>
    <definedName name="OSRRefE21_16x_0" localSheetId="2">Summary!$H$198</definedName>
    <definedName name="OSRRefE21_16x_1" localSheetId="41">'201'!$I$73</definedName>
    <definedName name="OSRRefE21_16x_1" localSheetId="48">'300'!$I$166:$I$169</definedName>
    <definedName name="OSRRefE21_16x_1" localSheetId="49">'300 &amp; 317'!$I$188:$I$191</definedName>
    <definedName name="OSRRefE21_16x_1" localSheetId="50">'301'!$I$75:$I$81</definedName>
    <definedName name="OSRRefE21_16x_1" localSheetId="63">'310'!$I$78:$I$84</definedName>
    <definedName name="OSRRefE21_16x_1" localSheetId="71">'310 &amp; 491'!$I$86:$I$90</definedName>
    <definedName name="OSRRefE21_16x_1" localSheetId="57">'315'!$I$135</definedName>
    <definedName name="OSRRefE21_16x_1" localSheetId="58">'326'!$I$101:$I$102</definedName>
    <definedName name="OSRRefE21_16x_1" localSheetId="56">'331'!$I$131:$I$132</definedName>
    <definedName name="OSRRefE21_16x_1" localSheetId="73">'405'!$I$82</definedName>
    <definedName name="OSRRefE21_16x_1" localSheetId="79">'415'!$I$86</definedName>
    <definedName name="OSRRefE21_16x_1" localSheetId="91">'450'!$I$80</definedName>
    <definedName name="OSRRefE21_16x_1" localSheetId="72">'491'!$I$82:$I$86</definedName>
    <definedName name="OSRRefE21_16x_1" localSheetId="86">'492'!$I$91</definedName>
    <definedName name="OSRRefE21_16x_1" localSheetId="39">'Div 2'!$I$80:$I$83</definedName>
    <definedName name="OSRRefE21_16x_1" localSheetId="47">'Div 3'!$I$170</definedName>
    <definedName name="OSRRefE21_16x_1" localSheetId="70">'Div 4'!$I$85:$I$86</definedName>
    <definedName name="OSRRefE21_16x_1" localSheetId="2">Summary!$I$198</definedName>
    <definedName name="OSRRefE21_16x_2" localSheetId="41">'201'!$J$73</definedName>
    <definedName name="OSRRefE21_16x_2" localSheetId="48">'300'!$J$166:$J$169</definedName>
    <definedName name="OSRRefE21_16x_2" localSheetId="49">'300 &amp; 317'!$J$188:$J$191</definedName>
    <definedName name="OSRRefE21_16x_2" localSheetId="50">'301'!$J$75:$J$81</definedName>
    <definedName name="OSRRefE21_16x_2" localSheetId="63">'310'!$J$78:$J$84</definedName>
    <definedName name="OSRRefE21_16x_2" localSheetId="71">'310 &amp; 491'!$J$86:$J$90</definedName>
    <definedName name="OSRRefE21_16x_2" localSheetId="57">'315'!$J$135</definedName>
    <definedName name="OSRRefE21_16x_2" localSheetId="58">'326'!$J$101:$J$102</definedName>
    <definedName name="OSRRefE21_16x_2" localSheetId="56">'331'!$J$131:$J$132</definedName>
    <definedName name="OSRRefE21_16x_2" localSheetId="73">'405'!$J$82</definedName>
    <definedName name="OSRRefE21_16x_2" localSheetId="79">'415'!$J$86</definedName>
    <definedName name="OSRRefE21_16x_2" localSheetId="91">'450'!$J$80</definedName>
    <definedName name="OSRRefE21_16x_2" localSheetId="72">'491'!$J$82:$J$86</definedName>
    <definedName name="OSRRefE21_16x_2" localSheetId="86">'492'!$J$91</definedName>
    <definedName name="OSRRefE21_16x_2" localSheetId="39">'Div 2'!$J$80:$J$83</definedName>
    <definedName name="OSRRefE21_16x_2" localSheetId="47">'Div 3'!$J$170</definedName>
    <definedName name="OSRRefE21_16x_2" localSheetId="70">'Div 4'!$J$85:$J$86</definedName>
    <definedName name="OSRRefE21_16x_2" localSheetId="2">Summary!$J$198</definedName>
    <definedName name="OSRRefE21_16x_3" localSheetId="41">'201'!$K$73</definedName>
    <definedName name="OSRRefE21_16x_3" localSheetId="48">'300'!$K$166:$K$169</definedName>
    <definedName name="OSRRefE21_16x_3" localSheetId="49">'300 &amp; 317'!$K$188:$K$191</definedName>
    <definedName name="OSRRefE21_16x_3" localSheetId="50">'301'!$K$75:$K$81</definedName>
    <definedName name="OSRRefE21_16x_3" localSheetId="63">'310'!$K$78:$K$84</definedName>
    <definedName name="OSRRefE21_16x_3" localSheetId="71">'310 &amp; 491'!$K$86:$K$90</definedName>
    <definedName name="OSRRefE21_16x_3" localSheetId="57">'315'!$K$135</definedName>
    <definedName name="OSRRefE21_16x_3" localSheetId="58">'326'!$K$101:$K$102</definedName>
    <definedName name="OSRRefE21_16x_3" localSheetId="56">'331'!$K$131:$K$132</definedName>
    <definedName name="OSRRefE21_16x_3" localSheetId="73">'405'!$K$82</definedName>
    <definedName name="OSRRefE21_16x_3" localSheetId="79">'415'!$K$86</definedName>
    <definedName name="OSRRefE21_16x_3" localSheetId="91">'450'!$K$80</definedName>
    <definedName name="OSRRefE21_16x_3" localSheetId="72">'491'!$K$82:$K$86</definedName>
    <definedName name="OSRRefE21_16x_3" localSheetId="86">'492'!$K$91</definedName>
    <definedName name="OSRRefE21_16x_3" localSheetId="39">'Div 2'!$K$80:$K$83</definedName>
    <definedName name="OSRRefE21_16x_3" localSheetId="47">'Div 3'!$K$170</definedName>
    <definedName name="OSRRefE21_16x_3" localSheetId="70">'Div 4'!$K$85:$K$86</definedName>
    <definedName name="OSRRefE21_16x_3" localSheetId="2">Summary!$K$198</definedName>
    <definedName name="OSRRefE21_16x_4" localSheetId="41">'201'!$L$73</definedName>
    <definedName name="OSRRefE21_16x_4" localSheetId="48">'300'!$L$166:$L$169</definedName>
    <definedName name="OSRRefE21_16x_4" localSheetId="49">'300 &amp; 317'!$L$188:$L$191</definedName>
    <definedName name="OSRRefE21_16x_4" localSheetId="50">'301'!$L$75:$L$81</definedName>
    <definedName name="OSRRefE21_16x_4" localSheetId="63">'310'!$L$78:$L$84</definedName>
    <definedName name="OSRRefE21_16x_4" localSheetId="71">'310 &amp; 491'!$L$86:$L$90</definedName>
    <definedName name="OSRRefE21_16x_4" localSheetId="57">'315'!$L$135</definedName>
    <definedName name="OSRRefE21_16x_4" localSheetId="58">'326'!$L$101:$L$102</definedName>
    <definedName name="OSRRefE21_16x_4" localSheetId="56">'331'!$L$131:$L$132</definedName>
    <definedName name="OSRRefE21_16x_4" localSheetId="73">'405'!$L$82</definedName>
    <definedName name="OSRRefE21_16x_4" localSheetId="79">'415'!$L$86</definedName>
    <definedName name="OSRRefE21_16x_4" localSheetId="91">'450'!$L$80</definedName>
    <definedName name="OSRRefE21_16x_4" localSheetId="72">'491'!$L$82:$L$86</definedName>
    <definedName name="OSRRefE21_16x_4" localSheetId="86">'492'!$L$91</definedName>
    <definedName name="OSRRefE21_16x_4" localSheetId="39">'Div 2'!$L$80:$L$83</definedName>
    <definedName name="OSRRefE21_16x_4" localSheetId="47">'Div 3'!$L$170</definedName>
    <definedName name="OSRRefE21_16x_4" localSheetId="70">'Div 4'!$L$85:$L$86</definedName>
    <definedName name="OSRRefE21_16x_4" localSheetId="2">Summary!$L$198</definedName>
    <definedName name="OSRRefE21_16x_5" localSheetId="41">'201'!$M$73</definedName>
    <definedName name="OSRRefE21_16x_5" localSheetId="48">'300'!$M$166:$M$169</definedName>
    <definedName name="OSRRefE21_16x_5" localSheetId="49">'300 &amp; 317'!$M$188:$M$191</definedName>
    <definedName name="OSRRefE21_16x_5" localSheetId="50">'301'!$M$75:$M$81</definedName>
    <definedName name="OSRRefE21_16x_5" localSheetId="63">'310'!$M$78:$M$84</definedName>
    <definedName name="OSRRefE21_16x_5" localSheetId="71">'310 &amp; 491'!$M$86:$M$90</definedName>
    <definedName name="OSRRefE21_16x_5" localSheetId="57">'315'!$M$135</definedName>
    <definedName name="OSRRefE21_16x_5" localSheetId="58">'326'!$M$101:$M$102</definedName>
    <definedName name="OSRRefE21_16x_5" localSheetId="56">'331'!$M$131:$M$132</definedName>
    <definedName name="OSRRefE21_16x_5" localSheetId="73">'405'!$M$82</definedName>
    <definedName name="OSRRefE21_16x_5" localSheetId="79">'415'!$M$86</definedName>
    <definedName name="OSRRefE21_16x_5" localSheetId="91">'450'!$M$80</definedName>
    <definedName name="OSRRefE21_16x_5" localSheetId="72">'491'!$M$82:$M$86</definedName>
    <definedName name="OSRRefE21_16x_5" localSheetId="86">'492'!$M$91</definedName>
    <definedName name="OSRRefE21_16x_5" localSheetId="39">'Div 2'!$M$80:$M$83</definedName>
    <definedName name="OSRRefE21_16x_5" localSheetId="47">'Div 3'!$M$170</definedName>
    <definedName name="OSRRefE21_16x_5" localSheetId="70">'Div 4'!$M$85:$M$86</definedName>
    <definedName name="OSRRefE21_16x_5" localSheetId="2">Summary!$M$198</definedName>
    <definedName name="OSRRefE21_16x_6" localSheetId="41">'201'!$N$73</definedName>
    <definedName name="OSRRefE21_16x_6" localSheetId="48">'300'!$N$166:$N$169</definedName>
    <definedName name="OSRRefE21_16x_6" localSheetId="49">'300 &amp; 317'!$N$188:$N$191</definedName>
    <definedName name="OSRRefE21_16x_6" localSheetId="50">'301'!$N$75:$N$81</definedName>
    <definedName name="OSRRefE21_16x_6" localSheetId="63">'310'!$N$78:$N$84</definedName>
    <definedName name="OSRRefE21_16x_6" localSheetId="71">'310 &amp; 491'!$N$86:$N$90</definedName>
    <definedName name="OSRRefE21_16x_6" localSheetId="57">'315'!$N$135</definedName>
    <definedName name="OSRRefE21_16x_6" localSheetId="58">'326'!$N$101:$N$102</definedName>
    <definedName name="OSRRefE21_16x_6" localSheetId="56">'331'!$N$131:$N$132</definedName>
    <definedName name="OSRRefE21_16x_6" localSheetId="73">'405'!$N$82</definedName>
    <definedName name="OSRRefE21_16x_6" localSheetId="79">'415'!$N$86</definedName>
    <definedName name="OSRRefE21_16x_6" localSheetId="91">'450'!$N$80</definedName>
    <definedName name="OSRRefE21_16x_6" localSheetId="72">'491'!$N$82:$N$86</definedName>
    <definedName name="OSRRefE21_16x_6" localSheetId="86">'492'!$N$91</definedName>
    <definedName name="OSRRefE21_16x_6" localSheetId="39">'Div 2'!$N$80:$N$83</definedName>
    <definedName name="OSRRefE21_16x_6" localSheetId="47">'Div 3'!$N$170</definedName>
    <definedName name="OSRRefE21_16x_6" localSheetId="70">'Div 4'!$N$85:$N$86</definedName>
    <definedName name="OSRRefE21_16x_6" localSheetId="2">Summary!$N$198</definedName>
    <definedName name="OSRRefE21_16x_7" localSheetId="41">'201'!$O$73</definedName>
    <definedName name="OSRRefE21_16x_7" localSheetId="48">'300'!$O$166:$O$169</definedName>
    <definedName name="OSRRefE21_16x_7" localSheetId="49">'300 &amp; 317'!$O$188:$O$191</definedName>
    <definedName name="OSRRefE21_16x_7" localSheetId="50">'301'!$O$75:$O$81</definedName>
    <definedName name="OSRRefE21_16x_7" localSheetId="63">'310'!$O$78:$O$84</definedName>
    <definedName name="OSRRefE21_16x_7" localSheetId="71">'310 &amp; 491'!$O$86:$O$90</definedName>
    <definedName name="OSRRefE21_16x_7" localSheetId="57">'315'!$O$135</definedName>
    <definedName name="OSRRefE21_16x_7" localSheetId="58">'326'!$O$101:$O$102</definedName>
    <definedName name="OSRRefE21_16x_7" localSheetId="56">'331'!$O$131:$O$132</definedName>
    <definedName name="OSRRefE21_16x_7" localSheetId="73">'405'!$O$82</definedName>
    <definedName name="OSRRefE21_16x_7" localSheetId="79">'415'!$O$86</definedName>
    <definedName name="OSRRefE21_16x_7" localSheetId="91">'450'!$O$80</definedName>
    <definedName name="OSRRefE21_16x_7" localSheetId="72">'491'!$O$82:$O$86</definedName>
    <definedName name="OSRRefE21_16x_7" localSheetId="86">'492'!$O$91</definedName>
    <definedName name="OSRRefE21_16x_7" localSheetId="39">'Div 2'!$O$80:$O$83</definedName>
    <definedName name="OSRRefE21_16x_7" localSheetId="47">'Div 3'!$O$170</definedName>
    <definedName name="OSRRefE21_16x_7" localSheetId="70">'Div 4'!$O$85:$O$86</definedName>
    <definedName name="OSRRefE21_16x_7" localSheetId="2">Summary!$O$198</definedName>
    <definedName name="OSRRefE21_17_0x" localSheetId="48">'300'!$H$171:$O$171</definedName>
    <definedName name="OSRRefE21_17_0x" localSheetId="49">'300 &amp; 317'!$H$193:$O$193</definedName>
    <definedName name="OSRRefE21_17_0x" localSheetId="50">'301'!$H$83:$O$83</definedName>
    <definedName name="OSRRefE21_17_0x" localSheetId="63">'310'!$H$86:$O$86</definedName>
    <definedName name="OSRRefE21_17_0x" localSheetId="71">'310 &amp; 491'!$H$92:$O$92</definedName>
    <definedName name="OSRRefE21_17_0x" localSheetId="57">'315'!$H$137:$O$137</definedName>
    <definedName name="OSRRefE21_17_0x" localSheetId="58">'326'!$H$104:$O$104</definedName>
    <definedName name="OSRRefE21_17_0x" localSheetId="56">'331'!$H$134:$O$134</definedName>
    <definedName name="OSRRefE21_17_0x" localSheetId="72">'491'!$H$88:$O$88</definedName>
    <definedName name="OSRRefE21_17_0x" localSheetId="86">'492'!$H$93:$O$93</definedName>
    <definedName name="OSRRefE21_17_0x" localSheetId="39">'Div 2'!$H$85:$O$85</definedName>
    <definedName name="OSRRefE21_17_0x" localSheetId="47">'Div 3'!$H$172:$O$172</definedName>
    <definedName name="OSRRefE21_17_0x" localSheetId="70">'Div 4'!$H$88:$O$88</definedName>
    <definedName name="OSRRefE21_17_0x" localSheetId="2">Summary!$H$200:$O$200</definedName>
    <definedName name="OSRRefE21_17_1x" localSheetId="48">'300'!$H$172:$O$172</definedName>
    <definedName name="OSRRefE21_17_1x" localSheetId="49">'300 &amp; 317'!$H$194:$O$194</definedName>
    <definedName name="OSRRefE21_17_1x" localSheetId="63">'310'!$H$87:$O$87</definedName>
    <definedName name="OSRRefE21_17_1x" localSheetId="71">'310 &amp; 491'!$H$93:$O$93</definedName>
    <definedName name="OSRRefE21_17_1x" localSheetId="57">'315'!$H$138:$O$138</definedName>
    <definedName name="OSRRefE21_17_1x" localSheetId="56">'331'!$H$135:$O$135</definedName>
    <definedName name="OSRRefE21_17_1x" localSheetId="72">'491'!$H$89:$O$89</definedName>
    <definedName name="OSRRefE21_17_1x" localSheetId="39">'Div 2'!$H$86:$O$86</definedName>
    <definedName name="OSRRefE21_17_1x" localSheetId="47">'Div 3'!$H$173:$O$173</definedName>
    <definedName name="OSRRefE21_17_1x" localSheetId="70">'Div 4'!$H$89:$O$89</definedName>
    <definedName name="OSRRefE21_17_2x" localSheetId="48">'300'!$H$173:$O$173</definedName>
    <definedName name="OSRRefE21_17_2x" localSheetId="49">'300 &amp; 317'!$H$195:$O$195</definedName>
    <definedName name="OSRRefE21_17_2x" localSheetId="56">'331'!$H$136:$O$136</definedName>
    <definedName name="OSRRefE21_17_2x" localSheetId="47">'Div 3'!$H$174:$O$174</definedName>
    <definedName name="OSRRefE21_17_2x" localSheetId="70">'Div 4'!$H$90:$O$90</definedName>
    <definedName name="OSRRefE21_17_3x" localSheetId="48">'300'!$H$174:$O$174</definedName>
    <definedName name="OSRRefE21_17_3x" localSheetId="49">'300 &amp; 317'!$H$196:$O$196</definedName>
    <definedName name="OSRRefE21_17_3x" localSheetId="56">'331'!$H$137:$O$137</definedName>
    <definedName name="OSRRefE21_17_3x" localSheetId="47">'Div 3'!$H$175:$O$175</definedName>
    <definedName name="OSRRefE21_17_3x" localSheetId="70">'Div 4'!$H$91:$O$91</definedName>
    <definedName name="OSRRefE21_17_4x" localSheetId="56">'331'!$H$138:$O$138</definedName>
    <definedName name="OSRRefE21_17_4x" localSheetId="70">'Div 4'!$H$92:$O$92</definedName>
    <definedName name="OSRRefE21_17_5x" localSheetId="56">'331'!$H$139:$O$139</definedName>
    <definedName name="OSRRefE21_17_6x" localSheetId="56">'331'!$H$140:$O$140</definedName>
    <definedName name="OSRRefE21_17_7x" localSheetId="56">'331'!$H$141:$O$141</definedName>
    <definedName name="OSRRefE21_17x_0" localSheetId="48">'300'!$H$171:$H$174</definedName>
    <definedName name="OSRRefE21_17x_0" localSheetId="49">'300 &amp; 317'!$H$193:$H$196</definedName>
    <definedName name="OSRRefE21_17x_0" localSheetId="50">'301'!$H$83</definedName>
    <definedName name="OSRRefE21_17x_0" localSheetId="63">'310'!$H$86:$H$87</definedName>
    <definedName name="OSRRefE21_17x_0" localSheetId="71">'310 &amp; 491'!$H$92:$H$93</definedName>
    <definedName name="OSRRefE21_17x_0" localSheetId="57">'315'!$H$137:$H$138</definedName>
    <definedName name="OSRRefE21_17x_0" localSheetId="58">'326'!$H$104</definedName>
    <definedName name="OSRRefE21_17x_0" localSheetId="56">'331'!$H$134:$H$141</definedName>
    <definedName name="OSRRefE21_17x_0" localSheetId="72">'491'!$H$88:$H$89</definedName>
    <definedName name="OSRRefE21_17x_0" localSheetId="86">'492'!$H$93</definedName>
    <definedName name="OSRRefE21_17x_0" localSheetId="39">'Div 2'!$H$85:$H$86</definedName>
    <definedName name="OSRRefE21_17x_0" localSheetId="47">'Div 3'!$H$172:$H$175</definedName>
    <definedName name="OSRRefE21_17x_0" localSheetId="70">'Div 4'!$H$88:$H$92</definedName>
    <definedName name="OSRRefE21_17x_0" localSheetId="2">Summary!$H$200</definedName>
    <definedName name="OSRRefE21_17x_1" localSheetId="48">'300'!$I$171:$I$174</definedName>
    <definedName name="OSRRefE21_17x_1" localSheetId="49">'300 &amp; 317'!$I$193:$I$196</definedName>
    <definedName name="OSRRefE21_17x_1" localSheetId="50">'301'!$I$83</definedName>
    <definedName name="OSRRefE21_17x_1" localSheetId="63">'310'!$I$86:$I$87</definedName>
    <definedName name="OSRRefE21_17x_1" localSheetId="71">'310 &amp; 491'!$I$92:$I$93</definedName>
    <definedName name="OSRRefE21_17x_1" localSheetId="57">'315'!$I$137:$I$138</definedName>
    <definedName name="OSRRefE21_17x_1" localSheetId="58">'326'!$I$104</definedName>
    <definedName name="OSRRefE21_17x_1" localSheetId="56">'331'!$I$134:$I$141</definedName>
    <definedName name="OSRRefE21_17x_1" localSheetId="72">'491'!$I$88:$I$89</definedName>
    <definedName name="OSRRefE21_17x_1" localSheetId="86">'492'!$I$93</definedName>
    <definedName name="OSRRefE21_17x_1" localSheetId="39">'Div 2'!$I$85:$I$86</definedName>
    <definedName name="OSRRefE21_17x_1" localSheetId="47">'Div 3'!$I$172:$I$175</definedName>
    <definedName name="OSRRefE21_17x_1" localSheetId="70">'Div 4'!$I$88:$I$92</definedName>
    <definedName name="OSRRefE21_17x_1" localSheetId="2">Summary!$I$200</definedName>
    <definedName name="OSRRefE21_17x_2" localSheetId="48">'300'!$J$171:$J$174</definedName>
    <definedName name="OSRRefE21_17x_2" localSheetId="49">'300 &amp; 317'!$J$193:$J$196</definedName>
    <definedName name="OSRRefE21_17x_2" localSheetId="50">'301'!$J$83</definedName>
    <definedName name="OSRRefE21_17x_2" localSheetId="63">'310'!$J$86:$J$87</definedName>
    <definedName name="OSRRefE21_17x_2" localSheetId="71">'310 &amp; 491'!$J$92:$J$93</definedName>
    <definedName name="OSRRefE21_17x_2" localSheetId="57">'315'!$J$137:$J$138</definedName>
    <definedName name="OSRRefE21_17x_2" localSheetId="58">'326'!$J$104</definedName>
    <definedName name="OSRRefE21_17x_2" localSheetId="56">'331'!$J$134:$J$141</definedName>
    <definedName name="OSRRefE21_17x_2" localSheetId="72">'491'!$J$88:$J$89</definedName>
    <definedName name="OSRRefE21_17x_2" localSheetId="86">'492'!$J$93</definedName>
    <definedName name="OSRRefE21_17x_2" localSheetId="39">'Div 2'!$J$85:$J$86</definedName>
    <definedName name="OSRRefE21_17x_2" localSheetId="47">'Div 3'!$J$172:$J$175</definedName>
    <definedName name="OSRRefE21_17x_2" localSheetId="70">'Div 4'!$J$88:$J$92</definedName>
    <definedName name="OSRRefE21_17x_2" localSheetId="2">Summary!$J$200</definedName>
    <definedName name="OSRRefE21_17x_3" localSheetId="48">'300'!$K$171:$K$174</definedName>
    <definedName name="OSRRefE21_17x_3" localSheetId="49">'300 &amp; 317'!$K$193:$K$196</definedName>
    <definedName name="OSRRefE21_17x_3" localSheetId="50">'301'!$K$83</definedName>
    <definedName name="OSRRefE21_17x_3" localSheetId="63">'310'!$K$86:$K$87</definedName>
    <definedName name="OSRRefE21_17x_3" localSheetId="71">'310 &amp; 491'!$K$92:$K$93</definedName>
    <definedName name="OSRRefE21_17x_3" localSheetId="57">'315'!$K$137:$K$138</definedName>
    <definedName name="OSRRefE21_17x_3" localSheetId="58">'326'!$K$104</definedName>
    <definedName name="OSRRefE21_17x_3" localSheetId="56">'331'!$K$134:$K$141</definedName>
    <definedName name="OSRRefE21_17x_3" localSheetId="72">'491'!$K$88:$K$89</definedName>
    <definedName name="OSRRefE21_17x_3" localSheetId="86">'492'!$K$93</definedName>
    <definedName name="OSRRefE21_17x_3" localSheetId="39">'Div 2'!$K$85:$K$86</definedName>
    <definedName name="OSRRefE21_17x_3" localSheetId="47">'Div 3'!$K$172:$K$175</definedName>
    <definedName name="OSRRefE21_17x_3" localSheetId="70">'Div 4'!$K$88:$K$92</definedName>
    <definedName name="OSRRefE21_17x_3" localSheetId="2">Summary!$K$200</definedName>
    <definedName name="OSRRefE21_17x_4" localSheetId="48">'300'!$L$171:$L$174</definedName>
    <definedName name="OSRRefE21_17x_4" localSheetId="49">'300 &amp; 317'!$L$193:$L$196</definedName>
    <definedName name="OSRRefE21_17x_4" localSheetId="50">'301'!$L$83</definedName>
    <definedName name="OSRRefE21_17x_4" localSheetId="63">'310'!$L$86:$L$87</definedName>
    <definedName name="OSRRefE21_17x_4" localSheetId="71">'310 &amp; 491'!$L$92:$L$93</definedName>
    <definedName name="OSRRefE21_17x_4" localSheetId="57">'315'!$L$137:$L$138</definedName>
    <definedName name="OSRRefE21_17x_4" localSheetId="58">'326'!$L$104</definedName>
    <definedName name="OSRRefE21_17x_4" localSheetId="56">'331'!$L$134:$L$141</definedName>
    <definedName name="OSRRefE21_17x_4" localSheetId="72">'491'!$L$88:$L$89</definedName>
    <definedName name="OSRRefE21_17x_4" localSheetId="86">'492'!$L$93</definedName>
    <definedName name="OSRRefE21_17x_4" localSheetId="39">'Div 2'!$L$85:$L$86</definedName>
    <definedName name="OSRRefE21_17x_4" localSheetId="47">'Div 3'!$L$172:$L$175</definedName>
    <definedName name="OSRRefE21_17x_4" localSheetId="70">'Div 4'!$L$88:$L$92</definedName>
    <definedName name="OSRRefE21_17x_4" localSheetId="2">Summary!$L$200</definedName>
    <definedName name="OSRRefE21_17x_5" localSheetId="48">'300'!$M$171:$M$174</definedName>
    <definedName name="OSRRefE21_17x_5" localSheetId="49">'300 &amp; 317'!$M$193:$M$196</definedName>
    <definedName name="OSRRefE21_17x_5" localSheetId="50">'301'!$M$83</definedName>
    <definedName name="OSRRefE21_17x_5" localSheetId="63">'310'!$M$86:$M$87</definedName>
    <definedName name="OSRRefE21_17x_5" localSheetId="71">'310 &amp; 491'!$M$92:$M$93</definedName>
    <definedName name="OSRRefE21_17x_5" localSheetId="57">'315'!$M$137:$M$138</definedName>
    <definedName name="OSRRefE21_17x_5" localSheetId="58">'326'!$M$104</definedName>
    <definedName name="OSRRefE21_17x_5" localSheetId="56">'331'!$M$134:$M$141</definedName>
    <definedName name="OSRRefE21_17x_5" localSheetId="72">'491'!$M$88:$M$89</definedName>
    <definedName name="OSRRefE21_17x_5" localSheetId="86">'492'!$M$93</definedName>
    <definedName name="OSRRefE21_17x_5" localSheetId="39">'Div 2'!$M$85:$M$86</definedName>
    <definedName name="OSRRefE21_17x_5" localSheetId="47">'Div 3'!$M$172:$M$175</definedName>
    <definedName name="OSRRefE21_17x_5" localSheetId="70">'Div 4'!$M$88:$M$92</definedName>
    <definedName name="OSRRefE21_17x_5" localSheetId="2">Summary!$M$200</definedName>
    <definedName name="OSRRefE21_17x_6" localSheetId="48">'300'!$N$171:$N$174</definedName>
    <definedName name="OSRRefE21_17x_6" localSheetId="49">'300 &amp; 317'!$N$193:$N$196</definedName>
    <definedName name="OSRRefE21_17x_6" localSheetId="50">'301'!$N$83</definedName>
    <definedName name="OSRRefE21_17x_6" localSheetId="63">'310'!$N$86:$N$87</definedName>
    <definedName name="OSRRefE21_17x_6" localSheetId="71">'310 &amp; 491'!$N$92:$N$93</definedName>
    <definedName name="OSRRefE21_17x_6" localSheetId="57">'315'!$N$137:$N$138</definedName>
    <definedName name="OSRRefE21_17x_6" localSheetId="58">'326'!$N$104</definedName>
    <definedName name="OSRRefE21_17x_6" localSheetId="56">'331'!$N$134:$N$141</definedName>
    <definedName name="OSRRefE21_17x_6" localSheetId="72">'491'!$N$88:$N$89</definedName>
    <definedName name="OSRRefE21_17x_6" localSheetId="86">'492'!$N$93</definedName>
    <definedName name="OSRRefE21_17x_6" localSheetId="39">'Div 2'!$N$85:$N$86</definedName>
    <definedName name="OSRRefE21_17x_6" localSheetId="47">'Div 3'!$N$172:$N$175</definedName>
    <definedName name="OSRRefE21_17x_6" localSheetId="70">'Div 4'!$N$88:$N$92</definedName>
    <definedName name="OSRRefE21_17x_6" localSheetId="2">Summary!$N$200</definedName>
    <definedName name="OSRRefE21_17x_7" localSheetId="48">'300'!$O$171:$O$174</definedName>
    <definedName name="OSRRefE21_17x_7" localSheetId="49">'300 &amp; 317'!$O$193:$O$196</definedName>
    <definedName name="OSRRefE21_17x_7" localSheetId="50">'301'!$O$83</definedName>
    <definedName name="OSRRefE21_17x_7" localSheetId="63">'310'!$O$86:$O$87</definedName>
    <definedName name="OSRRefE21_17x_7" localSheetId="71">'310 &amp; 491'!$O$92:$O$93</definedName>
    <definedName name="OSRRefE21_17x_7" localSheetId="57">'315'!$O$137:$O$138</definedName>
    <definedName name="OSRRefE21_17x_7" localSheetId="58">'326'!$O$104</definedName>
    <definedName name="OSRRefE21_17x_7" localSheetId="56">'331'!$O$134:$O$141</definedName>
    <definedName name="OSRRefE21_17x_7" localSheetId="72">'491'!$O$88:$O$89</definedName>
    <definedName name="OSRRefE21_17x_7" localSheetId="86">'492'!$O$93</definedName>
    <definedName name="OSRRefE21_17x_7" localSheetId="39">'Div 2'!$O$85:$O$86</definedName>
    <definedName name="OSRRefE21_17x_7" localSheetId="47">'Div 3'!$O$172:$O$175</definedName>
    <definedName name="OSRRefE21_17x_7" localSheetId="70">'Div 4'!$O$88:$O$92</definedName>
    <definedName name="OSRRefE21_17x_7" localSheetId="2">Summary!$O$200</definedName>
    <definedName name="OSRRefE21_18_0x" localSheetId="48">'300'!$H$176:$O$176</definedName>
    <definedName name="OSRRefE21_18_0x" localSheetId="49">'300 &amp; 317'!$H$198:$O$198</definedName>
    <definedName name="OSRRefE21_18_0x" localSheetId="50">'301'!$H$85:$O$85</definedName>
    <definedName name="OSRRefE21_18_0x" localSheetId="63">'310'!$H$89:$O$89</definedName>
    <definedName name="OSRRefE21_18_0x" localSheetId="71">'310 &amp; 491'!$H$95:$O$95</definedName>
    <definedName name="OSRRefE21_18_0x" localSheetId="58">'326'!$H$106:$O$106</definedName>
    <definedName name="OSRRefE21_18_0x" localSheetId="56">'331'!$H$143:$O$143</definedName>
    <definedName name="OSRRefE21_18_0x" localSheetId="72">'491'!$H$91:$O$91</definedName>
    <definedName name="OSRRefE21_18_0x" localSheetId="39">'Div 2'!$H$88:$O$88</definedName>
    <definedName name="OSRRefE21_18_0x" localSheetId="47">'Div 3'!$H$177:$O$177</definedName>
    <definedName name="OSRRefE21_18_0x" localSheetId="70">'Div 4'!$H$94:$O$94</definedName>
    <definedName name="OSRRefE21_18_0x" localSheetId="2">Summary!$H$202:$O$202</definedName>
    <definedName name="OSRRefE21_18_10x" localSheetId="71">'310 &amp; 491'!$H$105:$O$105</definedName>
    <definedName name="OSRRefE21_18_10x" localSheetId="72">'491'!$H$101:$O$101</definedName>
    <definedName name="OSRRefE21_18_1x" localSheetId="48">'300'!$H$177:$O$177</definedName>
    <definedName name="OSRRefE21_18_1x" localSheetId="49">'300 &amp; 317'!$H$199:$O$199</definedName>
    <definedName name="OSRRefE21_18_1x" localSheetId="71">'310 &amp; 491'!$H$96:$O$96</definedName>
    <definedName name="OSRRefE21_18_1x" localSheetId="58">'326'!$H$107:$O$107</definedName>
    <definedName name="OSRRefE21_18_1x" localSheetId="56">'331'!$H$144:$O$144</definedName>
    <definedName name="OSRRefE21_18_1x" localSheetId="72">'491'!$H$92:$O$92</definedName>
    <definedName name="OSRRefE21_18_1x" localSheetId="47">'Div 3'!$H$178:$O$178</definedName>
    <definedName name="OSRRefE21_18_1x" localSheetId="70">'Div 4'!$H$95:$O$95</definedName>
    <definedName name="OSRRefE21_18_1x" localSheetId="2">Summary!$H$203:$O$203</definedName>
    <definedName name="OSRRefE21_18_2x" localSheetId="48">'300'!$H$178:$O$178</definedName>
    <definedName name="OSRRefE21_18_2x" localSheetId="49">'300 &amp; 317'!$H$200:$O$200</definedName>
    <definedName name="OSRRefE21_18_2x" localSheetId="71">'310 &amp; 491'!$H$97:$O$97</definedName>
    <definedName name="OSRRefE21_18_2x" localSheetId="72">'491'!$H$93:$O$93</definedName>
    <definedName name="OSRRefE21_18_2x" localSheetId="47">'Div 3'!$H$179:$O$179</definedName>
    <definedName name="OSRRefE21_18_2x" localSheetId="2">Summary!$H$204:$O$204</definedName>
    <definedName name="OSRRefE21_18_3x" localSheetId="48">'300'!$H$179:$O$179</definedName>
    <definedName name="OSRRefE21_18_3x" localSheetId="49">'300 &amp; 317'!$H$201:$O$201</definedName>
    <definedName name="OSRRefE21_18_3x" localSheetId="71">'310 &amp; 491'!$H$98:$O$98</definedName>
    <definedName name="OSRRefE21_18_3x" localSheetId="72">'491'!$H$94:$O$94</definedName>
    <definedName name="OSRRefE21_18_3x" localSheetId="47">'Div 3'!$H$180:$O$180</definedName>
    <definedName name="OSRRefE21_18_3x" localSheetId="2">Summary!$H$205:$O$205</definedName>
    <definedName name="OSRRefE21_18_4x" localSheetId="71">'310 &amp; 491'!$H$99:$O$99</definedName>
    <definedName name="OSRRefE21_18_4x" localSheetId="72">'491'!$H$95:$O$95</definedName>
    <definedName name="OSRRefE21_18_5x" localSheetId="71">'310 &amp; 491'!$H$100:$O$100</definedName>
    <definedName name="OSRRefE21_18_5x" localSheetId="72">'491'!$H$96:$O$96</definedName>
    <definedName name="OSRRefE21_18_6x" localSheetId="71">'310 &amp; 491'!$H$101:$O$101</definedName>
    <definedName name="OSRRefE21_18_6x" localSheetId="72">'491'!$H$97:$O$97</definedName>
    <definedName name="OSRRefE21_18_7x" localSheetId="71">'310 &amp; 491'!$H$102:$O$102</definedName>
    <definedName name="OSRRefE21_18_7x" localSheetId="72">'491'!$H$98:$O$98</definedName>
    <definedName name="OSRRefE21_18_8x" localSheetId="71">'310 &amp; 491'!$H$103:$O$103</definedName>
    <definedName name="OSRRefE21_18_8x" localSheetId="72">'491'!$H$99:$O$99</definedName>
    <definedName name="OSRRefE21_18_9x" localSheetId="71">'310 &amp; 491'!$H$104:$O$104</definedName>
    <definedName name="OSRRefE21_18_9x" localSheetId="72">'491'!$H$100:$O$100</definedName>
    <definedName name="OSRRefE21_18x_0" localSheetId="48">'300'!$H$176:$H$179</definedName>
    <definedName name="OSRRefE21_18x_0" localSheetId="49">'300 &amp; 317'!$H$198:$H$201</definedName>
    <definedName name="OSRRefE21_18x_0" localSheetId="50">'301'!$H$85</definedName>
    <definedName name="OSRRefE21_18x_0" localSheetId="63">'310'!$H$89</definedName>
    <definedName name="OSRRefE21_18x_0" localSheetId="71">'310 &amp; 491'!$H$95:$H$105</definedName>
    <definedName name="OSRRefE21_18x_0" localSheetId="58">'326'!$H$106:$H$107</definedName>
    <definedName name="OSRRefE21_18x_0" localSheetId="56">'331'!$H$143:$H$144</definedName>
    <definedName name="OSRRefE21_18x_0" localSheetId="72">'491'!$H$91:$H$101</definedName>
    <definedName name="OSRRefE21_18x_0" localSheetId="39">'Div 2'!$H$88</definedName>
    <definedName name="OSRRefE21_18x_0" localSheetId="47">'Div 3'!$H$177:$H$180</definedName>
    <definedName name="OSRRefE21_18x_0" localSheetId="70">'Div 4'!$H$94:$H$95</definedName>
    <definedName name="OSRRefE21_18x_0" localSheetId="2">Summary!$H$202:$H$205</definedName>
    <definedName name="OSRRefE21_18x_1" localSheetId="48">'300'!$I$176:$I$179</definedName>
    <definedName name="OSRRefE21_18x_1" localSheetId="49">'300 &amp; 317'!$I$198:$I$201</definedName>
    <definedName name="OSRRefE21_18x_1" localSheetId="50">'301'!$I$85</definedName>
    <definedName name="OSRRefE21_18x_1" localSheetId="63">'310'!$I$89</definedName>
    <definedName name="OSRRefE21_18x_1" localSheetId="71">'310 &amp; 491'!$I$95:$I$105</definedName>
    <definedName name="OSRRefE21_18x_1" localSheetId="58">'326'!$I$106:$I$107</definedName>
    <definedName name="OSRRefE21_18x_1" localSheetId="56">'331'!$I$143:$I$144</definedName>
    <definedName name="OSRRefE21_18x_1" localSheetId="72">'491'!$I$91:$I$101</definedName>
    <definedName name="OSRRefE21_18x_1" localSheetId="39">'Div 2'!$I$88</definedName>
    <definedName name="OSRRefE21_18x_1" localSheetId="47">'Div 3'!$I$177:$I$180</definedName>
    <definedName name="OSRRefE21_18x_1" localSheetId="70">'Div 4'!$I$94:$I$95</definedName>
    <definedName name="OSRRefE21_18x_1" localSheetId="2">Summary!$I$202:$I$205</definedName>
    <definedName name="OSRRefE21_18x_2" localSheetId="48">'300'!$J$176:$J$179</definedName>
    <definedName name="OSRRefE21_18x_2" localSheetId="49">'300 &amp; 317'!$J$198:$J$201</definedName>
    <definedName name="OSRRefE21_18x_2" localSheetId="50">'301'!$J$85</definedName>
    <definedName name="OSRRefE21_18x_2" localSheetId="63">'310'!$J$89</definedName>
    <definedName name="OSRRefE21_18x_2" localSheetId="71">'310 &amp; 491'!$J$95:$J$105</definedName>
    <definedName name="OSRRefE21_18x_2" localSheetId="58">'326'!$J$106:$J$107</definedName>
    <definedName name="OSRRefE21_18x_2" localSheetId="56">'331'!$J$143:$J$144</definedName>
    <definedName name="OSRRefE21_18x_2" localSheetId="72">'491'!$J$91:$J$101</definedName>
    <definedName name="OSRRefE21_18x_2" localSheetId="39">'Div 2'!$J$88</definedName>
    <definedName name="OSRRefE21_18x_2" localSheetId="47">'Div 3'!$J$177:$J$180</definedName>
    <definedName name="OSRRefE21_18x_2" localSheetId="70">'Div 4'!$J$94:$J$95</definedName>
    <definedName name="OSRRefE21_18x_2" localSheetId="2">Summary!$J$202:$J$205</definedName>
    <definedName name="OSRRefE21_18x_3" localSheetId="48">'300'!$K$176:$K$179</definedName>
    <definedName name="OSRRefE21_18x_3" localSheetId="49">'300 &amp; 317'!$K$198:$K$201</definedName>
    <definedName name="OSRRefE21_18x_3" localSheetId="50">'301'!$K$85</definedName>
    <definedName name="OSRRefE21_18x_3" localSheetId="63">'310'!$K$89</definedName>
    <definedName name="OSRRefE21_18x_3" localSheetId="71">'310 &amp; 491'!$K$95:$K$105</definedName>
    <definedName name="OSRRefE21_18x_3" localSheetId="58">'326'!$K$106:$K$107</definedName>
    <definedName name="OSRRefE21_18x_3" localSheetId="56">'331'!$K$143:$K$144</definedName>
    <definedName name="OSRRefE21_18x_3" localSheetId="72">'491'!$K$91:$K$101</definedName>
    <definedName name="OSRRefE21_18x_3" localSheetId="39">'Div 2'!$K$88</definedName>
    <definedName name="OSRRefE21_18x_3" localSheetId="47">'Div 3'!$K$177:$K$180</definedName>
    <definedName name="OSRRefE21_18x_3" localSheetId="70">'Div 4'!$K$94:$K$95</definedName>
    <definedName name="OSRRefE21_18x_3" localSheetId="2">Summary!$K$202:$K$205</definedName>
    <definedName name="OSRRefE21_18x_4" localSheetId="48">'300'!$L$176:$L$179</definedName>
    <definedName name="OSRRefE21_18x_4" localSheetId="49">'300 &amp; 317'!$L$198:$L$201</definedName>
    <definedName name="OSRRefE21_18x_4" localSheetId="50">'301'!$L$85</definedName>
    <definedName name="OSRRefE21_18x_4" localSheetId="63">'310'!$L$89</definedName>
    <definedName name="OSRRefE21_18x_4" localSheetId="71">'310 &amp; 491'!$L$95:$L$105</definedName>
    <definedName name="OSRRefE21_18x_4" localSheetId="58">'326'!$L$106:$L$107</definedName>
    <definedName name="OSRRefE21_18x_4" localSheetId="56">'331'!$L$143:$L$144</definedName>
    <definedName name="OSRRefE21_18x_4" localSheetId="72">'491'!$L$91:$L$101</definedName>
    <definedName name="OSRRefE21_18x_4" localSheetId="39">'Div 2'!$L$88</definedName>
    <definedName name="OSRRefE21_18x_4" localSheetId="47">'Div 3'!$L$177:$L$180</definedName>
    <definedName name="OSRRefE21_18x_4" localSheetId="70">'Div 4'!$L$94:$L$95</definedName>
    <definedName name="OSRRefE21_18x_4" localSheetId="2">Summary!$L$202:$L$205</definedName>
    <definedName name="OSRRefE21_18x_5" localSheetId="48">'300'!$M$176:$M$179</definedName>
    <definedName name="OSRRefE21_18x_5" localSheetId="49">'300 &amp; 317'!$M$198:$M$201</definedName>
    <definedName name="OSRRefE21_18x_5" localSheetId="50">'301'!$M$85</definedName>
    <definedName name="OSRRefE21_18x_5" localSheetId="63">'310'!$M$89</definedName>
    <definedName name="OSRRefE21_18x_5" localSheetId="71">'310 &amp; 491'!$M$95:$M$105</definedName>
    <definedName name="OSRRefE21_18x_5" localSheetId="58">'326'!$M$106:$M$107</definedName>
    <definedName name="OSRRefE21_18x_5" localSheetId="56">'331'!$M$143:$M$144</definedName>
    <definedName name="OSRRefE21_18x_5" localSheetId="72">'491'!$M$91:$M$101</definedName>
    <definedName name="OSRRefE21_18x_5" localSheetId="39">'Div 2'!$M$88</definedName>
    <definedName name="OSRRefE21_18x_5" localSheetId="47">'Div 3'!$M$177:$M$180</definedName>
    <definedName name="OSRRefE21_18x_5" localSheetId="70">'Div 4'!$M$94:$M$95</definedName>
    <definedName name="OSRRefE21_18x_5" localSheetId="2">Summary!$M$202:$M$205</definedName>
    <definedName name="OSRRefE21_18x_6" localSheetId="48">'300'!$N$176:$N$179</definedName>
    <definedName name="OSRRefE21_18x_6" localSheetId="49">'300 &amp; 317'!$N$198:$N$201</definedName>
    <definedName name="OSRRefE21_18x_6" localSheetId="50">'301'!$N$85</definedName>
    <definedName name="OSRRefE21_18x_6" localSheetId="63">'310'!$N$89</definedName>
    <definedName name="OSRRefE21_18x_6" localSheetId="71">'310 &amp; 491'!$N$95:$N$105</definedName>
    <definedName name="OSRRefE21_18x_6" localSheetId="58">'326'!$N$106:$N$107</definedName>
    <definedName name="OSRRefE21_18x_6" localSheetId="56">'331'!$N$143:$N$144</definedName>
    <definedName name="OSRRefE21_18x_6" localSheetId="72">'491'!$N$91:$N$101</definedName>
    <definedName name="OSRRefE21_18x_6" localSheetId="39">'Div 2'!$N$88</definedName>
    <definedName name="OSRRefE21_18x_6" localSheetId="47">'Div 3'!$N$177:$N$180</definedName>
    <definedName name="OSRRefE21_18x_6" localSheetId="70">'Div 4'!$N$94:$N$95</definedName>
    <definedName name="OSRRefE21_18x_6" localSheetId="2">Summary!$N$202:$N$205</definedName>
    <definedName name="OSRRefE21_18x_7" localSheetId="48">'300'!$O$176:$O$179</definedName>
    <definedName name="OSRRefE21_18x_7" localSheetId="49">'300 &amp; 317'!$O$198:$O$201</definedName>
    <definedName name="OSRRefE21_18x_7" localSheetId="50">'301'!$O$85</definedName>
    <definedName name="OSRRefE21_18x_7" localSheetId="63">'310'!$O$89</definedName>
    <definedName name="OSRRefE21_18x_7" localSheetId="71">'310 &amp; 491'!$O$95:$O$105</definedName>
    <definedName name="OSRRefE21_18x_7" localSheetId="58">'326'!$O$106:$O$107</definedName>
    <definedName name="OSRRefE21_18x_7" localSheetId="56">'331'!$O$143:$O$144</definedName>
    <definedName name="OSRRefE21_18x_7" localSheetId="72">'491'!$O$91:$O$101</definedName>
    <definedName name="OSRRefE21_18x_7" localSheetId="39">'Div 2'!$O$88</definedName>
    <definedName name="OSRRefE21_18x_7" localSheetId="47">'Div 3'!$O$177:$O$180</definedName>
    <definedName name="OSRRefE21_18x_7" localSheetId="70">'Div 4'!$O$94:$O$95</definedName>
    <definedName name="OSRRefE21_18x_7" localSheetId="2">Summary!$O$202:$O$205</definedName>
    <definedName name="OSRRefE21_19_0x" localSheetId="48">'300'!$H$181:$O$181</definedName>
    <definedName name="OSRRefE21_19_0x" localSheetId="49">'300 &amp; 317'!$H$203:$O$203</definedName>
    <definedName name="OSRRefE21_19_0x" localSheetId="50">'301'!$H$87:$O$87</definedName>
    <definedName name="OSRRefE21_19_0x" localSheetId="63">'310'!$H$91:$O$91</definedName>
    <definedName name="OSRRefE21_19_0x" localSheetId="71">'310 &amp; 491'!$H$107:$O$107</definedName>
    <definedName name="OSRRefE21_19_0x" localSheetId="58">'326'!$H$109:$O$109</definedName>
    <definedName name="OSRRefE21_19_0x" localSheetId="56">'331'!$H$146:$O$146</definedName>
    <definedName name="OSRRefE21_19_0x" localSheetId="72">'491'!$H$103:$O$103</definedName>
    <definedName name="OSRRefE21_19_0x" localSheetId="39">'Div 2'!$H$90:$O$90</definedName>
    <definedName name="OSRRefE21_19_0x" localSheetId="47">'Div 3'!$H$182:$O$182</definedName>
    <definedName name="OSRRefE21_19_0x" localSheetId="70">'Div 4'!$H$97:$O$97</definedName>
    <definedName name="OSRRefE21_19_0x" localSheetId="2">Summary!$H$207:$O$207</definedName>
    <definedName name="OSRRefE21_19_10x" localSheetId="70">'Div 4'!$H$107:$O$107</definedName>
    <definedName name="OSRRefE21_19_1x" localSheetId="48">'300'!$H$182:$O$182</definedName>
    <definedName name="OSRRefE21_19_1x" localSheetId="49">'300 &amp; 317'!$H$204:$O$204</definedName>
    <definedName name="OSRRefE21_19_1x" localSheetId="71">'310 &amp; 491'!$H$108:$O$108</definedName>
    <definedName name="OSRRefE21_19_1x" localSheetId="72">'491'!$H$104:$O$104</definedName>
    <definedName name="OSRRefE21_19_1x" localSheetId="39">'Div 2'!$H$91:$O$91</definedName>
    <definedName name="OSRRefE21_19_1x" localSheetId="47">'Div 3'!$H$183:$O$183</definedName>
    <definedName name="OSRRefE21_19_1x" localSheetId="70">'Div 4'!$H$98:$O$98</definedName>
    <definedName name="OSRRefE21_19_1x" localSheetId="2">Summary!$H$208:$O$208</definedName>
    <definedName name="OSRRefE21_19_2x" localSheetId="47">'Div 3'!$H$184:$O$184</definedName>
    <definedName name="OSRRefE21_19_2x" localSheetId="70">'Div 4'!$H$99:$O$99</definedName>
    <definedName name="OSRRefE21_19_2x" localSheetId="2">Summary!$H$209:$O$209</definedName>
    <definedName name="OSRRefE21_19_3x" localSheetId="47">'Div 3'!$H$185:$O$185</definedName>
    <definedName name="OSRRefE21_19_3x" localSheetId="70">'Div 4'!$H$100:$O$100</definedName>
    <definedName name="OSRRefE21_19_3x" localSheetId="2">Summary!$H$210:$O$210</definedName>
    <definedName name="OSRRefE21_19_4x" localSheetId="70">'Div 4'!$H$101:$O$101</definedName>
    <definedName name="OSRRefE21_19_5x" localSheetId="70">'Div 4'!$H$102:$O$102</definedName>
    <definedName name="OSRRefE21_19_6x" localSheetId="70">'Div 4'!$H$103:$O$103</definedName>
    <definedName name="OSRRefE21_19_7x" localSheetId="70">'Div 4'!$H$104:$O$104</definedName>
    <definedName name="OSRRefE21_19_8x" localSheetId="70">'Div 4'!$H$105:$O$105</definedName>
    <definedName name="OSRRefE21_19_9x" localSheetId="70">'Div 4'!$H$106:$O$106</definedName>
    <definedName name="OSRRefE21_19x_0" localSheetId="48">'300'!$H$181:$H$182</definedName>
    <definedName name="OSRRefE21_19x_0" localSheetId="49">'300 &amp; 317'!$H$203:$H$204</definedName>
    <definedName name="OSRRefE21_19x_0" localSheetId="50">'301'!$H$87</definedName>
    <definedName name="OSRRefE21_19x_0" localSheetId="63">'310'!$H$91</definedName>
    <definedName name="OSRRefE21_19x_0" localSheetId="71">'310 &amp; 491'!$H$107:$H$108</definedName>
    <definedName name="OSRRefE21_19x_0" localSheetId="58">'326'!$H$109</definedName>
    <definedName name="OSRRefE21_19x_0" localSheetId="56">'331'!$H$146</definedName>
    <definedName name="OSRRefE21_19x_0" localSheetId="72">'491'!$H$103:$H$104</definedName>
    <definedName name="OSRRefE21_19x_0" localSheetId="39">'Div 2'!$H$90:$H$91</definedName>
    <definedName name="OSRRefE21_19x_0" localSheetId="47">'Div 3'!$H$182:$H$185</definedName>
    <definedName name="OSRRefE21_19x_0" localSheetId="70">'Div 4'!$H$97:$H$107</definedName>
    <definedName name="OSRRefE21_19x_0" localSheetId="2">Summary!$H$207:$H$210</definedName>
    <definedName name="OSRRefE21_19x_1" localSheetId="48">'300'!$I$181:$I$182</definedName>
    <definedName name="OSRRefE21_19x_1" localSheetId="49">'300 &amp; 317'!$I$203:$I$204</definedName>
    <definedName name="OSRRefE21_19x_1" localSheetId="50">'301'!$I$87</definedName>
    <definedName name="OSRRefE21_19x_1" localSheetId="63">'310'!$I$91</definedName>
    <definedName name="OSRRefE21_19x_1" localSheetId="71">'310 &amp; 491'!$I$107:$I$108</definedName>
    <definedName name="OSRRefE21_19x_1" localSheetId="58">'326'!$I$109</definedName>
    <definedName name="OSRRefE21_19x_1" localSheetId="56">'331'!$I$146</definedName>
    <definedName name="OSRRefE21_19x_1" localSheetId="72">'491'!$I$103:$I$104</definedName>
    <definedName name="OSRRefE21_19x_1" localSheetId="39">'Div 2'!$I$90:$I$91</definedName>
    <definedName name="OSRRefE21_19x_1" localSheetId="47">'Div 3'!$I$182:$I$185</definedName>
    <definedName name="OSRRefE21_19x_1" localSheetId="70">'Div 4'!$I$97:$I$107</definedName>
    <definedName name="OSRRefE21_19x_1" localSheetId="2">Summary!$I$207:$I$210</definedName>
    <definedName name="OSRRefE21_19x_2" localSheetId="48">'300'!$J$181:$J$182</definedName>
    <definedName name="OSRRefE21_19x_2" localSheetId="49">'300 &amp; 317'!$J$203:$J$204</definedName>
    <definedName name="OSRRefE21_19x_2" localSheetId="50">'301'!$J$87</definedName>
    <definedName name="OSRRefE21_19x_2" localSheetId="63">'310'!$J$91</definedName>
    <definedName name="OSRRefE21_19x_2" localSheetId="71">'310 &amp; 491'!$J$107:$J$108</definedName>
    <definedName name="OSRRefE21_19x_2" localSheetId="58">'326'!$J$109</definedName>
    <definedName name="OSRRefE21_19x_2" localSheetId="56">'331'!$J$146</definedName>
    <definedName name="OSRRefE21_19x_2" localSheetId="72">'491'!$J$103:$J$104</definedName>
    <definedName name="OSRRefE21_19x_2" localSheetId="39">'Div 2'!$J$90:$J$91</definedName>
    <definedName name="OSRRefE21_19x_2" localSheetId="47">'Div 3'!$J$182:$J$185</definedName>
    <definedName name="OSRRefE21_19x_2" localSheetId="70">'Div 4'!$J$97:$J$107</definedName>
    <definedName name="OSRRefE21_19x_2" localSheetId="2">Summary!$J$207:$J$210</definedName>
    <definedName name="OSRRefE21_19x_3" localSheetId="48">'300'!$K$181:$K$182</definedName>
    <definedName name="OSRRefE21_19x_3" localSheetId="49">'300 &amp; 317'!$K$203:$K$204</definedName>
    <definedName name="OSRRefE21_19x_3" localSheetId="50">'301'!$K$87</definedName>
    <definedName name="OSRRefE21_19x_3" localSheetId="63">'310'!$K$91</definedName>
    <definedName name="OSRRefE21_19x_3" localSheetId="71">'310 &amp; 491'!$K$107:$K$108</definedName>
    <definedName name="OSRRefE21_19x_3" localSheetId="58">'326'!$K$109</definedName>
    <definedName name="OSRRefE21_19x_3" localSheetId="56">'331'!$K$146</definedName>
    <definedName name="OSRRefE21_19x_3" localSheetId="72">'491'!$K$103:$K$104</definedName>
    <definedName name="OSRRefE21_19x_3" localSheetId="39">'Div 2'!$K$90:$K$91</definedName>
    <definedName name="OSRRefE21_19x_3" localSheetId="47">'Div 3'!$K$182:$K$185</definedName>
    <definedName name="OSRRefE21_19x_3" localSheetId="70">'Div 4'!$K$97:$K$107</definedName>
    <definedName name="OSRRefE21_19x_3" localSheetId="2">Summary!$K$207:$K$210</definedName>
    <definedName name="OSRRefE21_19x_4" localSheetId="48">'300'!$L$181:$L$182</definedName>
    <definedName name="OSRRefE21_19x_4" localSheetId="49">'300 &amp; 317'!$L$203:$L$204</definedName>
    <definedName name="OSRRefE21_19x_4" localSheetId="50">'301'!$L$87</definedName>
    <definedName name="OSRRefE21_19x_4" localSheetId="63">'310'!$L$91</definedName>
    <definedName name="OSRRefE21_19x_4" localSheetId="71">'310 &amp; 491'!$L$107:$L$108</definedName>
    <definedName name="OSRRefE21_19x_4" localSheetId="58">'326'!$L$109</definedName>
    <definedName name="OSRRefE21_19x_4" localSheetId="56">'331'!$L$146</definedName>
    <definedName name="OSRRefE21_19x_4" localSheetId="72">'491'!$L$103:$L$104</definedName>
    <definedName name="OSRRefE21_19x_4" localSheetId="39">'Div 2'!$L$90:$L$91</definedName>
    <definedName name="OSRRefE21_19x_4" localSheetId="47">'Div 3'!$L$182:$L$185</definedName>
    <definedName name="OSRRefE21_19x_4" localSheetId="70">'Div 4'!$L$97:$L$107</definedName>
    <definedName name="OSRRefE21_19x_4" localSheetId="2">Summary!$L$207:$L$210</definedName>
    <definedName name="OSRRefE21_19x_5" localSheetId="48">'300'!$M$181:$M$182</definedName>
    <definedName name="OSRRefE21_19x_5" localSheetId="49">'300 &amp; 317'!$M$203:$M$204</definedName>
    <definedName name="OSRRefE21_19x_5" localSheetId="50">'301'!$M$87</definedName>
    <definedName name="OSRRefE21_19x_5" localSheetId="63">'310'!$M$91</definedName>
    <definedName name="OSRRefE21_19x_5" localSheetId="71">'310 &amp; 491'!$M$107:$M$108</definedName>
    <definedName name="OSRRefE21_19x_5" localSheetId="58">'326'!$M$109</definedName>
    <definedName name="OSRRefE21_19x_5" localSheetId="56">'331'!$M$146</definedName>
    <definedName name="OSRRefE21_19x_5" localSheetId="72">'491'!$M$103:$M$104</definedName>
    <definedName name="OSRRefE21_19x_5" localSheetId="39">'Div 2'!$M$90:$M$91</definedName>
    <definedName name="OSRRefE21_19x_5" localSheetId="47">'Div 3'!$M$182:$M$185</definedName>
    <definedName name="OSRRefE21_19x_5" localSheetId="70">'Div 4'!$M$97:$M$107</definedName>
    <definedName name="OSRRefE21_19x_5" localSheetId="2">Summary!$M$207:$M$210</definedName>
    <definedName name="OSRRefE21_19x_6" localSheetId="48">'300'!$N$181:$N$182</definedName>
    <definedName name="OSRRefE21_19x_6" localSheetId="49">'300 &amp; 317'!$N$203:$N$204</definedName>
    <definedName name="OSRRefE21_19x_6" localSheetId="50">'301'!$N$87</definedName>
    <definedName name="OSRRefE21_19x_6" localSheetId="63">'310'!$N$91</definedName>
    <definedName name="OSRRefE21_19x_6" localSheetId="71">'310 &amp; 491'!$N$107:$N$108</definedName>
    <definedName name="OSRRefE21_19x_6" localSheetId="58">'326'!$N$109</definedName>
    <definedName name="OSRRefE21_19x_6" localSheetId="56">'331'!$N$146</definedName>
    <definedName name="OSRRefE21_19x_6" localSheetId="72">'491'!$N$103:$N$104</definedName>
    <definedName name="OSRRefE21_19x_6" localSheetId="39">'Div 2'!$N$90:$N$91</definedName>
    <definedName name="OSRRefE21_19x_6" localSheetId="47">'Div 3'!$N$182:$N$185</definedName>
    <definedName name="OSRRefE21_19x_6" localSheetId="70">'Div 4'!$N$97:$N$107</definedName>
    <definedName name="OSRRefE21_19x_6" localSheetId="2">Summary!$N$207:$N$210</definedName>
    <definedName name="OSRRefE21_19x_7" localSheetId="48">'300'!$O$181:$O$182</definedName>
    <definedName name="OSRRefE21_19x_7" localSheetId="49">'300 &amp; 317'!$O$203:$O$204</definedName>
    <definedName name="OSRRefE21_19x_7" localSheetId="50">'301'!$O$87</definedName>
    <definedName name="OSRRefE21_19x_7" localSheetId="63">'310'!$O$91</definedName>
    <definedName name="OSRRefE21_19x_7" localSheetId="71">'310 &amp; 491'!$O$107:$O$108</definedName>
    <definedName name="OSRRefE21_19x_7" localSheetId="58">'326'!$O$109</definedName>
    <definedName name="OSRRefE21_19x_7" localSheetId="56">'331'!$O$146</definedName>
    <definedName name="OSRRefE21_19x_7" localSheetId="72">'491'!$O$103:$O$104</definedName>
    <definedName name="OSRRefE21_19x_7" localSheetId="39">'Div 2'!$O$90:$O$91</definedName>
    <definedName name="OSRRefE21_19x_7" localSheetId="47">'Div 3'!$O$182:$O$185</definedName>
    <definedName name="OSRRefE21_19x_7" localSheetId="70">'Div 4'!$O$97:$O$107</definedName>
    <definedName name="OSRRefE21_19x_7" localSheetId="2">Summary!$O$207:$O$210</definedName>
    <definedName name="OSRRefE21_1x_0" localSheetId="40">'200'!$H$21</definedName>
    <definedName name="OSRRefE21_1x_0" localSheetId="41">'201'!$H$29:$H$38</definedName>
    <definedName name="OSRRefE21_1x_0" localSheetId="42">'202'!$H$29:$H$38</definedName>
    <definedName name="OSRRefE21_1x_0" localSheetId="43">'203'!$H$30:$H$39</definedName>
    <definedName name="OSRRefE21_1x_0" localSheetId="44">'204'!$H$30:$H$39</definedName>
    <definedName name="OSRRefE21_1x_0" localSheetId="45">'205'!$H$29:$H$38</definedName>
    <definedName name="OSRRefE21_1x_0" localSheetId="46">'206'!$H$29:$H$38</definedName>
    <definedName name="OSRRefE21_1x_0" localSheetId="48">'300'!$H$122:$H$131</definedName>
    <definedName name="OSRRefE21_1x_0" localSheetId="49">'300 &amp; 317'!$H$144:$H$153</definedName>
    <definedName name="OSRRefE21_1x_0" localSheetId="50">'301'!$H$29:$H$38</definedName>
    <definedName name="OSRRefE21_1x_0" localSheetId="52">'307'!$H$47:$H$56</definedName>
    <definedName name="OSRRefE21_1x_0" localSheetId="53">'308'!$H$64:$H$73</definedName>
    <definedName name="OSRRefE21_1x_0" localSheetId="64">'309'!$H$30:$H$39</definedName>
    <definedName name="OSRRefE21_1x_0" localSheetId="63">'310'!$H$36:$H$45</definedName>
    <definedName name="OSRRefE21_1x_0" localSheetId="71">'310 &amp; 491'!$H$41:$H$50</definedName>
    <definedName name="OSRRefE21_1x_0" localSheetId="54">'311'!$H$63:$H$72</definedName>
    <definedName name="OSRRefE21_1x_0" localSheetId="65">'313'!$H$30:$H$39</definedName>
    <definedName name="OSRRefE21_1x_0" localSheetId="57">'315'!$H$86:$H$95</definedName>
    <definedName name="OSRRefE21_1x_0" localSheetId="60">'316'!$H$39:$H$48</definedName>
    <definedName name="OSRRefE21_1x_0" localSheetId="62">'317'!$H$59:$H$68</definedName>
    <definedName name="OSRRefE21_1x_0" localSheetId="66">'321'!$H$32:$H$41</definedName>
    <definedName name="OSRRefE21_1x_0" localSheetId="67">'322'!$H$31:$H$40</definedName>
    <definedName name="OSRRefE21_1x_0" localSheetId="55">'324'!$H$35:$H$44</definedName>
    <definedName name="OSRRefE21_1x_0" localSheetId="68">'325'!$H$30:$H$39</definedName>
    <definedName name="OSRRefE21_1x_0" localSheetId="58">'326'!$H$53:$H$62</definedName>
    <definedName name="OSRRefE21_1x_0" localSheetId="51">'330'!$H$47:$H$56</definedName>
    <definedName name="OSRRefE21_1x_0" localSheetId="56">'331'!$H$86:$H$95</definedName>
    <definedName name="OSRRefE21_1x_0" localSheetId="59">'332'!$H$39:$H$48</definedName>
    <definedName name="OSRRefE21_1x_0" localSheetId="73">'405'!$H$31:$H$40</definedName>
    <definedName name="OSRRefE21_1x_0" localSheetId="74">'406'!$H$21</definedName>
    <definedName name="OSRRefE21_1x_0" localSheetId="75">'411'!$H$29:$H$38</definedName>
    <definedName name="OSRRefE21_1x_0" localSheetId="76">'412'!$H$30:$H$39</definedName>
    <definedName name="OSRRefE21_1x_0" localSheetId="77">'413'!$H$32:$H$41</definedName>
    <definedName name="OSRRefE21_1x_0" localSheetId="78">'414'!$H$33:$H$42</definedName>
    <definedName name="OSRRefE21_1x_0" localSheetId="79">'415'!$H$36:$H$45</definedName>
    <definedName name="OSRRefE21_1x_0" localSheetId="80">'418'!$H$31:$H$40</definedName>
    <definedName name="OSRRefE21_1x_0" localSheetId="82">'423'!$H$28:$H$37</definedName>
    <definedName name="OSRRefE21_1x_0" localSheetId="83">'424'!$H$21</definedName>
    <definedName name="OSRRefE21_1x_0" localSheetId="84">'425'!$H$25</definedName>
    <definedName name="OSRRefE21_1x_0" localSheetId="87">'430'!$H$29:$H$38</definedName>
    <definedName name="OSRRefE21_1x_0" localSheetId="88">'433'!$H$37:$H$46</definedName>
    <definedName name="OSRRefE21_1x_0" localSheetId="90">'444'!$H$37:$H$46</definedName>
    <definedName name="OSRRefE21_1x_0" localSheetId="91">'450'!$H$33:$H$42</definedName>
    <definedName name="OSRRefE21_1x_0" localSheetId="72">'491'!$H$38:$H$47</definedName>
    <definedName name="OSRRefE21_1x_0" localSheetId="86">'492'!$H$37:$H$46</definedName>
    <definedName name="OSRRefE21_1x_0" localSheetId="93">'501'!$H$32:$H$41</definedName>
    <definedName name="OSRRefE21_1x_0" localSheetId="39">'Div 2'!$H$31:$H$40</definedName>
    <definedName name="OSRRefE21_1x_0" localSheetId="47">'Div 3'!$H$126:$H$135</definedName>
    <definedName name="OSRRefE21_1x_0" localSheetId="70">'Div 4'!$H$41:$H$50</definedName>
    <definedName name="OSRRefE21_1x_0" localSheetId="92">'Div 5'!$H$32:$H$41</definedName>
    <definedName name="OSRRefE21_1x_0" localSheetId="61">'Div 6'!$H$59:$H$68</definedName>
    <definedName name="OSRRefE21_1x_0" localSheetId="2">Summary!$H$153:$H$162</definedName>
    <definedName name="OSRRefE21_1x_1" localSheetId="40">'200'!$I$21</definedName>
    <definedName name="OSRRefE21_1x_1" localSheetId="41">'201'!$I$29:$I$38</definedName>
    <definedName name="OSRRefE21_1x_1" localSheetId="42">'202'!$I$29:$I$38</definedName>
    <definedName name="OSRRefE21_1x_1" localSheetId="43">'203'!$I$30:$I$39</definedName>
    <definedName name="OSRRefE21_1x_1" localSheetId="44">'204'!$I$30:$I$39</definedName>
    <definedName name="OSRRefE21_1x_1" localSheetId="45">'205'!$I$29:$I$38</definedName>
    <definedName name="OSRRefE21_1x_1" localSheetId="46">'206'!$I$29:$I$38</definedName>
    <definedName name="OSRRefE21_1x_1" localSheetId="48">'300'!$I$122:$I$131</definedName>
    <definedName name="OSRRefE21_1x_1" localSheetId="49">'300 &amp; 317'!$I$144:$I$153</definedName>
    <definedName name="OSRRefE21_1x_1" localSheetId="50">'301'!$I$29:$I$38</definedName>
    <definedName name="OSRRefE21_1x_1" localSheetId="52">'307'!$I$47:$I$56</definedName>
    <definedName name="OSRRefE21_1x_1" localSheetId="53">'308'!$I$64:$I$73</definedName>
    <definedName name="OSRRefE21_1x_1" localSheetId="64">'309'!$I$30:$I$39</definedName>
    <definedName name="OSRRefE21_1x_1" localSheetId="63">'310'!$I$36:$I$45</definedName>
    <definedName name="OSRRefE21_1x_1" localSheetId="71">'310 &amp; 491'!$I$41:$I$50</definedName>
    <definedName name="OSRRefE21_1x_1" localSheetId="54">'311'!$I$63:$I$72</definedName>
    <definedName name="OSRRefE21_1x_1" localSheetId="65">'313'!$I$30:$I$39</definedName>
    <definedName name="OSRRefE21_1x_1" localSheetId="57">'315'!$I$86:$I$95</definedName>
    <definedName name="OSRRefE21_1x_1" localSheetId="60">'316'!$I$39:$I$48</definedName>
    <definedName name="OSRRefE21_1x_1" localSheetId="62">'317'!$I$59:$I$68</definedName>
    <definedName name="OSRRefE21_1x_1" localSheetId="66">'321'!$I$32:$I$41</definedName>
    <definedName name="OSRRefE21_1x_1" localSheetId="67">'322'!$I$31:$I$40</definedName>
    <definedName name="OSRRefE21_1x_1" localSheetId="55">'324'!$I$35:$I$44</definedName>
    <definedName name="OSRRefE21_1x_1" localSheetId="68">'325'!$I$30:$I$39</definedName>
    <definedName name="OSRRefE21_1x_1" localSheetId="58">'326'!$I$53:$I$62</definedName>
    <definedName name="OSRRefE21_1x_1" localSheetId="51">'330'!$I$47:$I$56</definedName>
    <definedName name="OSRRefE21_1x_1" localSheetId="56">'331'!$I$86:$I$95</definedName>
    <definedName name="OSRRefE21_1x_1" localSheetId="59">'332'!$I$39:$I$48</definedName>
    <definedName name="OSRRefE21_1x_1" localSheetId="73">'405'!$I$31:$I$40</definedName>
    <definedName name="OSRRefE21_1x_1" localSheetId="74">'406'!$I$21</definedName>
    <definedName name="OSRRefE21_1x_1" localSheetId="75">'411'!$I$29:$I$38</definedName>
    <definedName name="OSRRefE21_1x_1" localSheetId="76">'412'!$I$30:$I$39</definedName>
    <definedName name="OSRRefE21_1x_1" localSheetId="77">'413'!$I$32:$I$41</definedName>
    <definedName name="OSRRefE21_1x_1" localSheetId="78">'414'!$I$33:$I$42</definedName>
    <definedName name="OSRRefE21_1x_1" localSheetId="79">'415'!$I$36:$I$45</definedName>
    <definedName name="OSRRefE21_1x_1" localSheetId="80">'418'!$I$31:$I$40</definedName>
    <definedName name="OSRRefE21_1x_1" localSheetId="82">'423'!$I$28:$I$37</definedName>
    <definedName name="OSRRefE21_1x_1" localSheetId="83">'424'!$I$21</definedName>
    <definedName name="OSRRefE21_1x_1" localSheetId="84">'425'!$I$25</definedName>
    <definedName name="OSRRefE21_1x_1" localSheetId="87">'430'!$I$29:$I$38</definedName>
    <definedName name="OSRRefE21_1x_1" localSheetId="88">'433'!$I$37:$I$46</definedName>
    <definedName name="OSRRefE21_1x_1" localSheetId="90">'444'!$I$37:$I$46</definedName>
    <definedName name="OSRRefE21_1x_1" localSheetId="91">'450'!$I$33:$I$42</definedName>
    <definedName name="OSRRefE21_1x_1" localSheetId="72">'491'!$I$38:$I$47</definedName>
    <definedName name="OSRRefE21_1x_1" localSheetId="86">'492'!$I$37:$I$46</definedName>
    <definedName name="OSRRefE21_1x_1" localSheetId="93">'501'!$I$32:$I$41</definedName>
    <definedName name="OSRRefE21_1x_1" localSheetId="39">'Div 2'!$I$31:$I$40</definedName>
    <definedName name="OSRRefE21_1x_1" localSheetId="47">'Div 3'!$I$126:$I$135</definedName>
    <definedName name="OSRRefE21_1x_1" localSheetId="70">'Div 4'!$I$41:$I$50</definedName>
    <definedName name="OSRRefE21_1x_1" localSheetId="92">'Div 5'!$I$32:$I$41</definedName>
    <definedName name="OSRRefE21_1x_1" localSheetId="61">'Div 6'!$I$59:$I$68</definedName>
    <definedName name="OSRRefE21_1x_1" localSheetId="2">Summary!$I$153:$I$162</definedName>
    <definedName name="OSRRefE21_1x_2" localSheetId="40">'200'!$J$21</definedName>
    <definedName name="OSRRefE21_1x_2" localSheetId="41">'201'!$J$29:$J$38</definedName>
    <definedName name="OSRRefE21_1x_2" localSheetId="42">'202'!$J$29:$J$38</definedName>
    <definedName name="OSRRefE21_1x_2" localSheetId="43">'203'!$J$30:$J$39</definedName>
    <definedName name="OSRRefE21_1x_2" localSheetId="44">'204'!$J$30:$J$39</definedName>
    <definedName name="OSRRefE21_1x_2" localSheetId="45">'205'!$J$29:$J$38</definedName>
    <definedName name="OSRRefE21_1x_2" localSheetId="46">'206'!$J$29:$J$38</definedName>
    <definedName name="OSRRefE21_1x_2" localSheetId="48">'300'!$J$122:$J$131</definedName>
    <definedName name="OSRRefE21_1x_2" localSheetId="49">'300 &amp; 317'!$J$144:$J$153</definedName>
    <definedName name="OSRRefE21_1x_2" localSheetId="50">'301'!$J$29:$J$38</definedName>
    <definedName name="OSRRefE21_1x_2" localSheetId="52">'307'!$J$47:$J$56</definedName>
    <definedName name="OSRRefE21_1x_2" localSheetId="53">'308'!$J$64:$J$73</definedName>
    <definedName name="OSRRefE21_1x_2" localSheetId="64">'309'!$J$30:$J$39</definedName>
    <definedName name="OSRRefE21_1x_2" localSheetId="63">'310'!$J$36:$J$45</definedName>
    <definedName name="OSRRefE21_1x_2" localSheetId="71">'310 &amp; 491'!$J$41:$J$50</definedName>
    <definedName name="OSRRefE21_1x_2" localSheetId="54">'311'!$J$63:$J$72</definedName>
    <definedName name="OSRRefE21_1x_2" localSheetId="65">'313'!$J$30:$J$39</definedName>
    <definedName name="OSRRefE21_1x_2" localSheetId="57">'315'!$J$86:$J$95</definedName>
    <definedName name="OSRRefE21_1x_2" localSheetId="60">'316'!$J$39:$J$48</definedName>
    <definedName name="OSRRefE21_1x_2" localSheetId="62">'317'!$J$59:$J$68</definedName>
    <definedName name="OSRRefE21_1x_2" localSheetId="66">'321'!$J$32:$J$41</definedName>
    <definedName name="OSRRefE21_1x_2" localSheetId="67">'322'!$J$31:$J$40</definedName>
    <definedName name="OSRRefE21_1x_2" localSheetId="55">'324'!$J$35:$J$44</definedName>
    <definedName name="OSRRefE21_1x_2" localSheetId="68">'325'!$J$30:$J$39</definedName>
    <definedName name="OSRRefE21_1x_2" localSheetId="58">'326'!$J$53:$J$62</definedName>
    <definedName name="OSRRefE21_1x_2" localSheetId="51">'330'!$J$47:$J$56</definedName>
    <definedName name="OSRRefE21_1x_2" localSheetId="56">'331'!$J$86:$J$95</definedName>
    <definedName name="OSRRefE21_1x_2" localSheetId="59">'332'!$J$39:$J$48</definedName>
    <definedName name="OSRRefE21_1x_2" localSheetId="73">'405'!$J$31:$J$40</definedName>
    <definedName name="OSRRefE21_1x_2" localSheetId="74">'406'!$J$21</definedName>
    <definedName name="OSRRefE21_1x_2" localSheetId="75">'411'!$J$29:$J$38</definedName>
    <definedName name="OSRRefE21_1x_2" localSheetId="76">'412'!$J$30:$J$39</definedName>
    <definedName name="OSRRefE21_1x_2" localSheetId="77">'413'!$J$32:$J$41</definedName>
    <definedName name="OSRRefE21_1x_2" localSheetId="78">'414'!$J$33:$J$42</definedName>
    <definedName name="OSRRefE21_1x_2" localSheetId="79">'415'!$J$36:$J$45</definedName>
    <definedName name="OSRRefE21_1x_2" localSheetId="80">'418'!$J$31:$J$40</definedName>
    <definedName name="OSRRefE21_1x_2" localSheetId="82">'423'!$J$28:$J$37</definedName>
    <definedName name="OSRRefE21_1x_2" localSheetId="83">'424'!$J$21</definedName>
    <definedName name="OSRRefE21_1x_2" localSheetId="84">'425'!$J$25</definedName>
    <definedName name="OSRRefE21_1x_2" localSheetId="87">'430'!$J$29:$J$38</definedName>
    <definedName name="OSRRefE21_1x_2" localSheetId="88">'433'!$J$37:$J$46</definedName>
    <definedName name="OSRRefE21_1x_2" localSheetId="90">'444'!$J$37:$J$46</definedName>
    <definedName name="OSRRefE21_1x_2" localSheetId="91">'450'!$J$33:$J$42</definedName>
    <definedName name="OSRRefE21_1x_2" localSheetId="72">'491'!$J$38:$J$47</definedName>
    <definedName name="OSRRefE21_1x_2" localSheetId="86">'492'!$J$37:$J$46</definedName>
    <definedName name="OSRRefE21_1x_2" localSheetId="93">'501'!$J$32:$J$41</definedName>
    <definedName name="OSRRefE21_1x_2" localSheetId="39">'Div 2'!$J$31:$J$40</definedName>
    <definedName name="OSRRefE21_1x_2" localSheetId="47">'Div 3'!$J$126:$J$135</definedName>
    <definedName name="OSRRefE21_1x_2" localSheetId="70">'Div 4'!$J$41:$J$50</definedName>
    <definedName name="OSRRefE21_1x_2" localSheetId="92">'Div 5'!$J$32:$J$41</definedName>
    <definedName name="OSRRefE21_1x_2" localSheetId="61">'Div 6'!$J$59:$J$68</definedName>
    <definedName name="OSRRefE21_1x_2" localSheetId="2">Summary!$J$153:$J$162</definedName>
    <definedName name="OSRRefE21_1x_3" localSheetId="40">'200'!$K$21</definedName>
    <definedName name="OSRRefE21_1x_3" localSheetId="41">'201'!$K$29:$K$38</definedName>
    <definedName name="OSRRefE21_1x_3" localSheetId="42">'202'!$K$29:$K$38</definedName>
    <definedName name="OSRRefE21_1x_3" localSheetId="43">'203'!$K$30:$K$39</definedName>
    <definedName name="OSRRefE21_1x_3" localSheetId="44">'204'!$K$30:$K$39</definedName>
    <definedName name="OSRRefE21_1x_3" localSheetId="45">'205'!$K$29:$K$38</definedName>
    <definedName name="OSRRefE21_1x_3" localSheetId="46">'206'!$K$29:$K$38</definedName>
    <definedName name="OSRRefE21_1x_3" localSheetId="48">'300'!$K$122:$K$131</definedName>
    <definedName name="OSRRefE21_1x_3" localSheetId="49">'300 &amp; 317'!$K$144:$K$153</definedName>
    <definedName name="OSRRefE21_1x_3" localSheetId="50">'301'!$K$29:$K$38</definedName>
    <definedName name="OSRRefE21_1x_3" localSheetId="52">'307'!$K$47:$K$56</definedName>
    <definedName name="OSRRefE21_1x_3" localSheetId="53">'308'!$K$64:$K$73</definedName>
    <definedName name="OSRRefE21_1x_3" localSheetId="64">'309'!$K$30:$K$39</definedName>
    <definedName name="OSRRefE21_1x_3" localSheetId="63">'310'!$K$36:$K$45</definedName>
    <definedName name="OSRRefE21_1x_3" localSheetId="71">'310 &amp; 491'!$K$41:$K$50</definedName>
    <definedName name="OSRRefE21_1x_3" localSheetId="54">'311'!$K$63:$K$72</definedName>
    <definedName name="OSRRefE21_1x_3" localSheetId="65">'313'!$K$30:$K$39</definedName>
    <definedName name="OSRRefE21_1x_3" localSheetId="57">'315'!$K$86:$K$95</definedName>
    <definedName name="OSRRefE21_1x_3" localSheetId="60">'316'!$K$39:$K$48</definedName>
    <definedName name="OSRRefE21_1x_3" localSheetId="62">'317'!$K$59:$K$68</definedName>
    <definedName name="OSRRefE21_1x_3" localSheetId="66">'321'!$K$32:$K$41</definedName>
    <definedName name="OSRRefE21_1x_3" localSheetId="67">'322'!$K$31:$K$40</definedName>
    <definedName name="OSRRefE21_1x_3" localSheetId="55">'324'!$K$35:$K$44</definedName>
    <definedName name="OSRRefE21_1x_3" localSheetId="68">'325'!$K$30:$K$39</definedName>
    <definedName name="OSRRefE21_1x_3" localSheetId="58">'326'!$K$53:$K$62</definedName>
    <definedName name="OSRRefE21_1x_3" localSheetId="51">'330'!$K$47:$K$56</definedName>
    <definedName name="OSRRefE21_1x_3" localSheetId="56">'331'!$K$86:$K$95</definedName>
    <definedName name="OSRRefE21_1x_3" localSheetId="59">'332'!$K$39:$K$48</definedName>
    <definedName name="OSRRefE21_1x_3" localSheetId="73">'405'!$K$31:$K$40</definedName>
    <definedName name="OSRRefE21_1x_3" localSheetId="74">'406'!$K$21</definedName>
    <definedName name="OSRRefE21_1x_3" localSheetId="75">'411'!$K$29:$K$38</definedName>
    <definedName name="OSRRefE21_1x_3" localSheetId="76">'412'!$K$30:$K$39</definedName>
    <definedName name="OSRRefE21_1x_3" localSheetId="77">'413'!$K$32:$K$41</definedName>
    <definedName name="OSRRefE21_1x_3" localSheetId="78">'414'!$K$33:$K$42</definedName>
    <definedName name="OSRRefE21_1x_3" localSheetId="79">'415'!$K$36:$K$45</definedName>
    <definedName name="OSRRefE21_1x_3" localSheetId="80">'418'!$K$31:$K$40</definedName>
    <definedName name="OSRRefE21_1x_3" localSheetId="82">'423'!$K$28:$K$37</definedName>
    <definedName name="OSRRefE21_1x_3" localSheetId="83">'424'!$K$21</definedName>
    <definedName name="OSRRefE21_1x_3" localSheetId="84">'425'!$K$25</definedName>
    <definedName name="OSRRefE21_1x_3" localSheetId="87">'430'!$K$29:$K$38</definedName>
    <definedName name="OSRRefE21_1x_3" localSheetId="88">'433'!$K$37:$K$46</definedName>
    <definedName name="OSRRefE21_1x_3" localSheetId="90">'444'!$K$37:$K$46</definedName>
    <definedName name="OSRRefE21_1x_3" localSheetId="91">'450'!$K$33:$K$42</definedName>
    <definedName name="OSRRefE21_1x_3" localSheetId="72">'491'!$K$38:$K$47</definedName>
    <definedName name="OSRRefE21_1x_3" localSheetId="86">'492'!$K$37:$K$46</definedName>
    <definedName name="OSRRefE21_1x_3" localSheetId="93">'501'!$K$32:$K$41</definedName>
    <definedName name="OSRRefE21_1x_3" localSheetId="39">'Div 2'!$K$31:$K$40</definedName>
    <definedName name="OSRRefE21_1x_3" localSheetId="47">'Div 3'!$K$126:$K$135</definedName>
    <definedName name="OSRRefE21_1x_3" localSheetId="70">'Div 4'!$K$41:$K$50</definedName>
    <definedName name="OSRRefE21_1x_3" localSheetId="92">'Div 5'!$K$32:$K$41</definedName>
    <definedName name="OSRRefE21_1x_3" localSheetId="61">'Div 6'!$K$59:$K$68</definedName>
    <definedName name="OSRRefE21_1x_3" localSheetId="2">Summary!$K$153:$K$162</definedName>
    <definedName name="OSRRefE21_1x_4" localSheetId="40">'200'!$L$21</definedName>
    <definedName name="OSRRefE21_1x_4" localSheetId="41">'201'!$L$29:$L$38</definedName>
    <definedName name="OSRRefE21_1x_4" localSheetId="42">'202'!$L$29:$L$38</definedName>
    <definedName name="OSRRefE21_1x_4" localSheetId="43">'203'!$L$30:$L$39</definedName>
    <definedName name="OSRRefE21_1x_4" localSheetId="44">'204'!$L$30:$L$39</definedName>
    <definedName name="OSRRefE21_1x_4" localSheetId="45">'205'!$L$29:$L$38</definedName>
    <definedName name="OSRRefE21_1x_4" localSheetId="46">'206'!$L$29:$L$38</definedName>
    <definedName name="OSRRefE21_1x_4" localSheetId="48">'300'!$L$122:$L$131</definedName>
    <definedName name="OSRRefE21_1x_4" localSheetId="49">'300 &amp; 317'!$L$144:$L$153</definedName>
    <definedName name="OSRRefE21_1x_4" localSheetId="50">'301'!$L$29:$L$38</definedName>
    <definedName name="OSRRefE21_1x_4" localSheetId="52">'307'!$L$47:$L$56</definedName>
    <definedName name="OSRRefE21_1x_4" localSheetId="53">'308'!$L$64:$L$73</definedName>
    <definedName name="OSRRefE21_1x_4" localSheetId="64">'309'!$L$30:$L$39</definedName>
    <definedName name="OSRRefE21_1x_4" localSheetId="63">'310'!$L$36:$L$45</definedName>
    <definedName name="OSRRefE21_1x_4" localSheetId="71">'310 &amp; 491'!$L$41:$L$50</definedName>
    <definedName name="OSRRefE21_1x_4" localSheetId="54">'311'!$L$63:$L$72</definedName>
    <definedName name="OSRRefE21_1x_4" localSheetId="65">'313'!$L$30:$L$39</definedName>
    <definedName name="OSRRefE21_1x_4" localSheetId="57">'315'!$L$86:$L$95</definedName>
    <definedName name="OSRRefE21_1x_4" localSheetId="60">'316'!$L$39:$L$48</definedName>
    <definedName name="OSRRefE21_1x_4" localSheetId="62">'317'!$L$59:$L$68</definedName>
    <definedName name="OSRRefE21_1x_4" localSheetId="66">'321'!$L$32:$L$41</definedName>
    <definedName name="OSRRefE21_1x_4" localSheetId="67">'322'!$L$31:$L$40</definedName>
    <definedName name="OSRRefE21_1x_4" localSheetId="55">'324'!$L$35:$L$44</definedName>
    <definedName name="OSRRefE21_1x_4" localSheetId="68">'325'!$L$30:$L$39</definedName>
    <definedName name="OSRRefE21_1x_4" localSheetId="58">'326'!$L$53:$L$62</definedName>
    <definedName name="OSRRefE21_1x_4" localSheetId="51">'330'!$L$47:$L$56</definedName>
    <definedName name="OSRRefE21_1x_4" localSheetId="56">'331'!$L$86:$L$95</definedName>
    <definedName name="OSRRefE21_1x_4" localSheetId="59">'332'!$L$39:$L$48</definedName>
    <definedName name="OSRRefE21_1x_4" localSheetId="73">'405'!$L$31:$L$40</definedName>
    <definedName name="OSRRefE21_1x_4" localSheetId="74">'406'!$L$21</definedName>
    <definedName name="OSRRefE21_1x_4" localSheetId="75">'411'!$L$29:$L$38</definedName>
    <definedName name="OSRRefE21_1x_4" localSheetId="76">'412'!$L$30:$L$39</definedName>
    <definedName name="OSRRefE21_1x_4" localSheetId="77">'413'!$L$32:$L$41</definedName>
    <definedName name="OSRRefE21_1x_4" localSheetId="78">'414'!$L$33:$L$42</definedName>
    <definedName name="OSRRefE21_1x_4" localSheetId="79">'415'!$L$36:$L$45</definedName>
    <definedName name="OSRRefE21_1x_4" localSheetId="80">'418'!$L$31:$L$40</definedName>
    <definedName name="OSRRefE21_1x_4" localSheetId="82">'423'!$L$28:$L$37</definedName>
    <definedName name="OSRRefE21_1x_4" localSheetId="83">'424'!$L$21</definedName>
    <definedName name="OSRRefE21_1x_4" localSheetId="84">'425'!$L$25</definedName>
    <definedName name="OSRRefE21_1x_4" localSheetId="87">'430'!$L$29:$L$38</definedName>
    <definedName name="OSRRefE21_1x_4" localSheetId="88">'433'!$L$37:$L$46</definedName>
    <definedName name="OSRRefE21_1x_4" localSheetId="90">'444'!$L$37:$L$46</definedName>
    <definedName name="OSRRefE21_1x_4" localSheetId="91">'450'!$L$33:$L$42</definedName>
    <definedName name="OSRRefE21_1x_4" localSheetId="72">'491'!$L$38:$L$47</definedName>
    <definedName name="OSRRefE21_1x_4" localSheetId="86">'492'!$L$37:$L$46</definedName>
    <definedName name="OSRRefE21_1x_4" localSheetId="93">'501'!$L$32:$L$41</definedName>
    <definedName name="OSRRefE21_1x_4" localSheetId="39">'Div 2'!$L$31:$L$40</definedName>
    <definedName name="OSRRefE21_1x_4" localSheetId="47">'Div 3'!$L$126:$L$135</definedName>
    <definedName name="OSRRefE21_1x_4" localSheetId="70">'Div 4'!$L$41:$L$50</definedName>
    <definedName name="OSRRefE21_1x_4" localSheetId="92">'Div 5'!$L$32:$L$41</definedName>
    <definedName name="OSRRefE21_1x_4" localSheetId="61">'Div 6'!$L$59:$L$68</definedName>
    <definedName name="OSRRefE21_1x_4" localSheetId="2">Summary!$L$153:$L$162</definedName>
    <definedName name="OSRRefE21_1x_5" localSheetId="40">'200'!$M$21</definedName>
    <definedName name="OSRRefE21_1x_5" localSheetId="41">'201'!$M$29:$M$38</definedName>
    <definedName name="OSRRefE21_1x_5" localSheetId="42">'202'!$M$29:$M$38</definedName>
    <definedName name="OSRRefE21_1x_5" localSheetId="43">'203'!$M$30:$M$39</definedName>
    <definedName name="OSRRefE21_1x_5" localSheetId="44">'204'!$M$30:$M$39</definedName>
    <definedName name="OSRRefE21_1x_5" localSheetId="45">'205'!$M$29:$M$38</definedName>
    <definedName name="OSRRefE21_1x_5" localSheetId="46">'206'!$M$29:$M$38</definedName>
    <definedName name="OSRRefE21_1x_5" localSheetId="48">'300'!$M$122:$M$131</definedName>
    <definedName name="OSRRefE21_1x_5" localSheetId="49">'300 &amp; 317'!$M$144:$M$153</definedName>
    <definedName name="OSRRefE21_1x_5" localSheetId="50">'301'!$M$29:$M$38</definedName>
    <definedName name="OSRRefE21_1x_5" localSheetId="52">'307'!$M$47:$M$56</definedName>
    <definedName name="OSRRefE21_1x_5" localSheetId="53">'308'!$M$64:$M$73</definedName>
    <definedName name="OSRRefE21_1x_5" localSheetId="64">'309'!$M$30:$M$39</definedName>
    <definedName name="OSRRefE21_1x_5" localSheetId="63">'310'!$M$36:$M$45</definedName>
    <definedName name="OSRRefE21_1x_5" localSheetId="71">'310 &amp; 491'!$M$41:$M$50</definedName>
    <definedName name="OSRRefE21_1x_5" localSheetId="54">'311'!$M$63:$M$72</definedName>
    <definedName name="OSRRefE21_1x_5" localSheetId="65">'313'!$M$30:$M$39</definedName>
    <definedName name="OSRRefE21_1x_5" localSheetId="57">'315'!$M$86:$M$95</definedName>
    <definedName name="OSRRefE21_1x_5" localSheetId="60">'316'!$M$39:$M$48</definedName>
    <definedName name="OSRRefE21_1x_5" localSheetId="62">'317'!$M$59:$M$68</definedName>
    <definedName name="OSRRefE21_1x_5" localSheetId="66">'321'!$M$32:$M$41</definedName>
    <definedName name="OSRRefE21_1x_5" localSheetId="67">'322'!$M$31:$M$40</definedName>
    <definedName name="OSRRefE21_1x_5" localSheetId="55">'324'!$M$35:$M$44</definedName>
    <definedName name="OSRRefE21_1x_5" localSheetId="68">'325'!$M$30:$M$39</definedName>
    <definedName name="OSRRefE21_1x_5" localSheetId="58">'326'!$M$53:$M$62</definedName>
    <definedName name="OSRRefE21_1x_5" localSheetId="51">'330'!$M$47:$M$56</definedName>
    <definedName name="OSRRefE21_1x_5" localSheetId="56">'331'!$M$86:$M$95</definedName>
    <definedName name="OSRRefE21_1x_5" localSheetId="59">'332'!$M$39:$M$48</definedName>
    <definedName name="OSRRefE21_1x_5" localSheetId="73">'405'!$M$31:$M$40</definedName>
    <definedName name="OSRRefE21_1x_5" localSheetId="74">'406'!$M$21</definedName>
    <definedName name="OSRRefE21_1x_5" localSheetId="75">'411'!$M$29:$M$38</definedName>
    <definedName name="OSRRefE21_1x_5" localSheetId="76">'412'!$M$30:$M$39</definedName>
    <definedName name="OSRRefE21_1x_5" localSheetId="77">'413'!$M$32:$M$41</definedName>
    <definedName name="OSRRefE21_1x_5" localSheetId="78">'414'!$M$33:$M$42</definedName>
    <definedName name="OSRRefE21_1x_5" localSheetId="79">'415'!$M$36:$M$45</definedName>
    <definedName name="OSRRefE21_1x_5" localSheetId="80">'418'!$M$31:$M$40</definedName>
    <definedName name="OSRRefE21_1x_5" localSheetId="82">'423'!$M$28:$M$37</definedName>
    <definedName name="OSRRefE21_1x_5" localSheetId="83">'424'!$M$21</definedName>
    <definedName name="OSRRefE21_1x_5" localSheetId="84">'425'!$M$25</definedName>
    <definedName name="OSRRefE21_1x_5" localSheetId="87">'430'!$M$29:$M$38</definedName>
    <definedName name="OSRRefE21_1x_5" localSheetId="88">'433'!$M$37:$M$46</definedName>
    <definedName name="OSRRefE21_1x_5" localSheetId="90">'444'!$M$37:$M$46</definedName>
    <definedName name="OSRRefE21_1x_5" localSheetId="91">'450'!$M$33:$M$42</definedName>
    <definedName name="OSRRefE21_1x_5" localSheetId="72">'491'!$M$38:$M$47</definedName>
    <definedName name="OSRRefE21_1x_5" localSheetId="86">'492'!$M$37:$M$46</definedName>
    <definedName name="OSRRefE21_1x_5" localSheetId="93">'501'!$M$32:$M$41</definedName>
    <definedName name="OSRRefE21_1x_5" localSheetId="39">'Div 2'!$M$31:$M$40</definedName>
    <definedName name="OSRRefE21_1x_5" localSheetId="47">'Div 3'!$M$126:$M$135</definedName>
    <definedName name="OSRRefE21_1x_5" localSheetId="70">'Div 4'!$M$41:$M$50</definedName>
    <definedName name="OSRRefE21_1x_5" localSheetId="92">'Div 5'!$M$32:$M$41</definedName>
    <definedName name="OSRRefE21_1x_5" localSheetId="61">'Div 6'!$M$59:$M$68</definedName>
    <definedName name="OSRRefE21_1x_5" localSheetId="2">Summary!$M$153:$M$162</definedName>
    <definedName name="OSRRefE21_1x_6" localSheetId="40">'200'!$N$21</definedName>
    <definedName name="OSRRefE21_1x_6" localSheetId="41">'201'!$N$29:$N$38</definedName>
    <definedName name="OSRRefE21_1x_6" localSheetId="42">'202'!$N$29:$N$38</definedName>
    <definedName name="OSRRefE21_1x_6" localSheetId="43">'203'!$N$30:$N$39</definedName>
    <definedName name="OSRRefE21_1x_6" localSheetId="44">'204'!$N$30:$N$39</definedName>
    <definedName name="OSRRefE21_1x_6" localSheetId="45">'205'!$N$29:$N$38</definedName>
    <definedName name="OSRRefE21_1x_6" localSheetId="46">'206'!$N$29:$N$38</definedName>
    <definedName name="OSRRefE21_1x_6" localSheetId="48">'300'!$N$122:$N$131</definedName>
    <definedName name="OSRRefE21_1x_6" localSheetId="49">'300 &amp; 317'!$N$144:$N$153</definedName>
    <definedName name="OSRRefE21_1x_6" localSheetId="50">'301'!$N$29:$N$38</definedName>
    <definedName name="OSRRefE21_1x_6" localSheetId="52">'307'!$N$47:$N$56</definedName>
    <definedName name="OSRRefE21_1x_6" localSheetId="53">'308'!$N$64:$N$73</definedName>
    <definedName name="OSRRefE21_1x_6" localSheetId="64">'309'!$N$30:$N$39</definedName>
    <definedName name="OSRRefE21_1x_6" localSheetId="63">'310'!$N$36:$N$45</definedName>
    <definedName name="OSRRefE21_1x_6" localSheetId="71">'310 &amp; 491'!$N$41:$N$50</definedName>
    <definedName name="OSRRefE21_1x_6" localSheetId="54">'311'!$N$63:$N$72</definedName>
    <definedName name="OSRRefE21_1x_6" localSheetId="65">'313'!$N$30:$N$39</definedName>
    <definedName name="OSRRefE21_1x_6" localSheetId="57">'315'!$N$86:$N$95</definedName>
    <definedName name="OSRRefE21_1x_6" localSheetId="60">'316'!$N$39:$N$48</definedName>
    <definedName name="OSRRefE21_1x_6" localSheetId="62">'317'!$N$59:$N$68</definedName>
    <definedName name="OSRRefE21_1x_6" localSheetId="66">'321'!$N$32:$N$41</definedName>
    <definedName name="OSRRefE21_1x_6" localSheetId="67">'322'!$N$31:$N$40</definedName>
    <definedName name="OSRRefE21_1x_6" localSheetId="55">'324'!$N$35:$N$44</definedName>
    <definedName name="OSRRefE21_1x_6" localSheetId="68">'325'!$N$30:$N$39</definedName>
    <definedName name="OSRRefE21_1x_6" localSheetId="58">'326'!$N$53:$N$62</definedName>
    <definedName name="OSRRefE21_1x_6" localSheetId="51">'330'!$N$47:$N$56</definedName>
    <definedName name="OSRRefE21_1x_6" localSheetId="56">'331'!$N$86:$N$95</definedName>
    <definedName name="OSRRefE21_1x_6" localSheetId="59">'332'!$N$39:$N$48</definedName>
    <definedName name="OSRRefE21_1x_6" localSheetId="73">'405'!$N$31:$N$40</definedName>
    <definedName name="OSRRefE21_1x_6" localSheetId="74">'406'!$N$21</definedName>
    <definedName name="OSRRefE21_1x_6" localSheetId="75">'411'!$N$29:$N$38</definedName>
    <definedName name="OSRRefE21_1x_6" localSheetId="76">'412'!$N$30:$N$39</definedName>
    <definedName name="OSRRefE21_1x_6" localSheetId="77">'413'!$N$32:$N$41</definedName>
    <definedName name="OSRRefE21_1x_6" localSheetId="78">'414'!$N$33:$N$42</definedName>
    <definedName name="OSRRefE21_1x_6" localSheetId="79">'415'!$N$36:$N$45</definedName>
    <definedName name="OSRRefE21_1x_6" localSheetId="80">'418'!$N$31:$N$40</definedName>
    <definedName name="OSRRefE21_1x_6" localSheetId="82">'423'!$N$28:$N$37</definedName>
    <definedName name="OSRRefE21_1x_6" localSheetId="83">'424'!$N$21</definedName>
    <definedName name="OSRRefE21_1x_6" localSheetId="84">'425'!$N$25</definedName>
    <definedName name="OSRRefE21_1x_6" localSheetId="87">'430'!$N$29:$N$38</definedName>
    <definedName name="OSRRefE21_1x_6" localSheetId="88">'433'!$N$37:$N$46</definedName>
    <definedName name="OSRRefE21_1x_6" localSheetId="90">'444'!$N$37:$N$46</definedName>
    <definedName name="OSRRefE21_1x_6" localSheetId="91">'450'!$N$33:$N$42</definedName>
    <definedName name="OSRRefE21_1x_6" localSheetId="72">'491'!$N$38:$N$47</definedName>
    <definedName name="OSRRefE21_1x_6" localSheetId="86">'492'!$N$37:$N$46</definedName>
    <definedName name="OSRRefE21_1x_6" localSheetId="93">'501'!$N$32:$N$41</definedName>
    <definedName name="OSRRefE21_1x_6" localSheetId="39">'Div 2'!$N$31:$N$40</definedName>
    <definedName name="OSRRefE21_1x_6" localSheetId="47">'Div 3'!$N$126:$N$135</definedName>
    <definedName name="OSRRefE21_1x_6" localSheetId="70">'Div 4'!$N$41:$N$50</definedName>
    <definedName name="OSRRefE21_1x_6" localSheetId="92">'Div 5'!$N$32:$N$41</definedName>
    <definedName name="OSRRefE21_1x_6" localSheetId="61">'Div 6'!$N$59:$N$68</definedName>
    <definedName name="OSRRefE21_1x_6" localSheetId="2">Summary!$N$153:$N$162</definedName>
    <definedName name="OSRRefE21_1x_7" localSheetId="40">'200'!$O$21</definedName>
    <definedName name="OSRRefE21_1x_7" localSheetId="41">'201'!$O$29:$O$38</definedName>
    <definedName name="OSRRefE21_1x_7" localSheetId="42">'202'!$O$29:$O$38</definedName>
    <definedName name="OSRRefE21_1x_7" localSheetId="43">'203'!$O$30:$O$39</definedName>
    <definedName name="OSRRefE21_1x_7" localSheetId="44">'204'!$O$30:$O$39</definedName>
    <definedName name="OSRRefE21_1x_7" localSheetId="45">'205'!$O$29:$O$38</definedName>
    <definedName name="OSRRefE21_1x_7" localSheetId="46">'206'!$O$29:$O$38</definedName>
    <definedName name="OSRRefE21_1x_7" localSheetId="48">'300'!$O$122:$O$131</definedName>
    <definedName name="OSRRefE21_1x_7" localSheetId="49">'300 &amp; 317'!$O$144:$O$153</definedName>
    <definedName name="OSRRefE21_1x_7" localSheetId="50">'301'!$O$29:$O$38</definedName>
    <definedName name="OSRRefE21_1x_7" localSheetId="52">'307'!$O$47:$O$56</definedName>
    <definedName name="OSRRefE21_1x_7" localSheetId="53">'308'!$O$64:$O$73</definedName>
    <definedName name="OSRRefE21_1x_7" localSheetId="64">'309'!$O$30:$O$39</definedName>
    <definedName name="OSRRefE21_1x_7" localSheetId="63">'310'!$O$36:$O$45</definedName>
    <definedName name="OSRRefE21_1x_7" localSheetId="71">'310 &amp; 491'!$O$41:$O$50</definedName>
    <definedName name="OSRRefE21_1x_7" localSheetId="54">'311'!$O$63:$O$72</definedName>
    <definedName name="OSRRefE21_1x_7" localSheetId="65">'313'!$O$30:$O$39</definedName>
    <definedName name="OSRRefE21_1x_7" localSheetId="57">'315'!$O$86:$O$95</definedName>
    <definedName name="OSRRefE21_1x_7" localSheetId="60">'316'!$O$39:$O$48</definedName>
    <definedName name="OSRRefE21_1x_7" localSheetId="62">'317'!$O$59:$O$68</definedName>
    <definedName name="OSRRefE21_1x_7" localSheetId="66">'321'!$O$32:$O$41</definedName>
    <definedName name="OSRRefE21_1x_7" localSheetId="67">'322'!$O$31:$O$40</definedName>
    <definedName name="OSRRefE21_1x_7" localSheetId="55">'324'!$O$35:$O$44</definedName>
    <definedName name="OSRRefE21_1x_7" localSheetId="68">'325'!$O$30:$O$39</definedName>
    <definedName name="OSRRefE21_1x_7" localSheetId="58">'326'!$O$53:$O$62</definedName>
    <definedName name="OSRRefE21_1x_7" localSheetId="51">'330'!$O$47:$O$56</definedName>
    <definedName name="OSRRefE21_1x_7" localSheetId="56">'331'!$O$86:$O$95</definedName>
    <definedName name="OSRRefE21_1x_7" localSheetId="59">'332'!$O$39:$O$48</definedName>
    <definedName name="OSRRefE21_1x_7" localSheetId="73">'405'!$O$31:$O$40</definedName>
    <definedName name="OSRRefE21_1x_7" localSheetId="74">'406'!$O$21</definedName>
    <definedName name="OSRRefE21_1x_7" localSheetId="75">'411'!$O$29:$O$38</definedName>
    <definedName name="OSRRefE21_1x_7" localSheetId="76">'412'!$O$30:$O$39</definedName>
    <definedName name="OSRRefE21_1x_7" localSheetId="77">'413'!$O$32:$O$41</definedName>
    <definedName name="OSRRefE21_1x_7" localSheetId="78">'414'!$O$33:$O$42</definedName>
    <definedName name="OSRRefE21_1x_7" localSheetId="79">'415'!$O$36:$O$45</definedName>
    <definedName name="OSRRefE21_1x_7" localSheetId="80">'418'!$O$31:$O$40</definedName>
    <definedName name="OSRRefE21_1x_7" localSheetId="82">'423'!$O$28:$O$37</definedName>
    <definedName name="OSRRefE21_1x_7" localSheetId="83">'424'!$O$21</definedName>
    <definedName name="OSRRefE21_1x_7" localSheetId="84">'425'!$O$25</definedName>
    <definedName name="OSRRefE21_1x_7" localSheetId="87">'430'!$O$29:$O$38</definedName>
    <definedName name="OSRRefE21_1x_7" localSheetId="88">'433'!$O$37:$O$46</definedName>
    <definedName name="OSRRefE21_1x_7" localSheetId="90">'444'!$O$37:$O$46</definedName>
    <definedName name="OSRRefE21_1x_7" localSheetId="91">'450'!$O$33:$O$42</definedName>
    <definedName name="OSRRefE21_1x_7" localSheetId="72">'491'!$O$38:$O$47</definedName>
    <definedName name="OSRRefE21_1x_7" localSheetId="86">'492'!$O$37:$O$46</definedName>
    <definedName name="OSRRefE21_1x_7" localSheetId="93">'501'!$O$32:$O$41</definedName>
    <definedName name="OSRRefE21_1x_7" localSheetId="39">'Div 2'!$O$31:$O$40</definedName>
    <definedName name="OSRRefE21_1x_7" localSheetId="47">'Div 3'!$O$126:$O$135</definedName>
    <definedName name="OSRRefE21_1x_7" localSheetId="70">'Div 4'!$O$41:$O$50</definedName>
    <definedName name="OSRRefE21_1x_7" localSheetId="92">'Div 5'!$O$32:$O$41</definedName>
    <definedName name="OSRRefE21_1x_7" localSheetId="61">'Div 6'!$O$59:$O$68</definedName>
    <definedName name="OSRRefE21_1x_7" localSheetId="2">Summary!$O$153:$O$162</definedName>
    <definedName name="OSRRefE21_2_0x" localSheetId="40">'200'!$H$23:$O$23</definedName>
    <definedName name="OSRRefE21_2_0x" localSheetId="41">'201'!$H$40:$O$40</definedName>
    <definedName name="OSRRefE21_2_0x" localSheetId="42">'202'!$H$40:$O$40</definedName>
    <definedName name="OSRRefE21_2_0x" localSheetId="43">'203'!$H$41:$O$41</definedName>
    <definedName name="OSRRefE21_2_0x" localSheetId="44">'204'!$H$41:$O$41</definedName>
    <definedName name="OSRRefE21_2_0x" localSheetId="45">'205'!$H$40:$O$40</definedName>
    <definedName name="OSRRefE21_2_0x" localSheetId="46">'206'!$H$40:$O$40</definedName>
    <definedName name="OSRRefE21_2_0x" localSheetId="48">'300'!$H$133:$O$133</definedName>
    <definedName name="OSRRefE21_2_0x" localSheetId="49">'300 &amp; 317'!$H$155:$O$155</definedName>
    <definedName name="OSRRefE21_2_0x" localSheetId="50">'301'!$H$40:$O$40</definedName>
    <definedName name="OSRRefE21_2_0x" localSheetId="52">'307'!$H$58:$O$58</definedName>
    <definedName name="OSRRefE21_2_0x" localSheetId="53">'308'!$H$75:$O$75</definedName>
    <definedName name="OSRRefE21_2_0x" localSheetId="64">'309'!$H$41:$O$41</definedName>
    <definedName name="OSRRefE21_2_0x" localSheetId="63">'310'!$H$47:$O$47</definedName>
    <definedName name="OSRRefE21_2_0x" localSheetId="71">'310 &amp; 491'!$H$52:$O$52</definedName>
    <definedName name="OSRRefE21_2_0x" localSheetId="54">'311'!$H$74:$O$74</definedName>
    <definedName name="OSRRefE21_2_0x" localSheetId="65">'313'!$H$41:$O$41</definedName>
    <definedName name="OSRRefE21_2_0x" localSheetId="57">'315'!$H$97:$O$97</definedName>
    <definedName name="OSRRefE21_2_0x" localSheetId="60">'316'!$H$50:$O$50</definedName>
    <definedName name="OSRRefE21_2_0x" localSheetId="62">'317'!$H$70:$O$70</definedName>
    <definedName name="OSRRefE21_2_0x" localSheetId="66">'321'!$H$43:$O$43</definedName>
    <definedName name="OSRRefE21_2_0x" localSheetId="67">'322'!$H$42:$O$42</definedName>
    <definedName name="OSRRefE21_2_0x" localSheetId="68">'325'!$H$41:$O$41</definedName>
    <definedName name="OSRRefE21_2_0x" localSheetId="58">'326'!$H$64:$O$64</definedName>
    <definedName name="OSRRefE21_2_0x" localSheetId="51">'330'!$H$58:$O$58</definedName>
    <definedName name="OSRRefE21_2_0x" localSheetId="56">'331'!$H$97:$O$97</definedName>
    <definedName name="OSRRefE21_2_0x" localSheetId="59">'332'!$H$50:$O$50</definedName>
    <definedName name="OSRRefE21_2_0x" localSheetId="73">'405'!$H$42:$O$42</definedName>
    <definedName name="OSRRefE21_2_0x" localSheetId="74">'406'!$H$23:$O$23</definedName>
    <definedName name="OSRRefE21_2_0x" localSheetId="75">'411'!$H$40:$O$40</definedName>
    <definedName name="OSRRefE21_2_0x" localSheetId="76">'412'!$H$41:$O$41</definedName>
    <definedName name="OSRRefE21_2_0x" localSheetId="77">'413'!$H$43:$O$43</definedName>
    <definedName name="OSRRefE21_2_0x" localSheetId="78">'414'!$H$44:$O$44</definedName>
    <definedName name="OSRRefE21_2_0x" localSheetId="79">'415'!$H$47:$O$47</definedName>
    <definedName name="OSRRefE21_2_0x" localSheetId="80">'418'!$H$42:$O$42</definedName>
    <definedName name="OSRRefE21_2_0x" localSheetId="82">'423'!$H$39:$O$39</definedName>
    <definedName name="OSRRefE21_2_0x" localSheetId="83">'424'!$H$23:$O$23</definedName>
    <definedName name="OSRRefE21_2_0x" localSheetId="84">'425'!$H$27:$O$27</definedName>
    <definedName name="OSRRefE21_2_0x" localSheetId="87">'430'!$H$40:$O$40</definedName>
    <definedName name="OSRRefE21_2_0x" localSheetId="88">'433'!$H$48:$O$48</definedName>
    <definedName name="OSRRefE21_2_0x" localSheetId="90">'444'!$H$48:$O$48</definedName>
    <definedName name="OSRRefE21_2_0x" localSheetId="91">'450'!$H$44:$O$44</definedName>
    <definedName name="OSRRefE21_2_0x" localSheetId="72">'491'!$H$49:$O$49</definedName>
    <definedName name="OSRRefE21_2_0x" localSheetId="86">'492'!$H$48:$O$48</definedName>
    <definedName name="OSRRefE21_2_0x" localSheetId="93">'501'!$H$43:$O$43</definedName>
    <definedName name="OSRRefE21_2_0x" localSheetId="39">'Div 2'!$H$42:$O$42</definedName>
    <definedName name="OSRRefE21_2_0x" localSheetId="47">'Div 3'!$H$137:$O$137</definedName>
    <definedName name="OSRRefE21_2_0x" localSheetId="70">'Div 4'!$H$52:$O$52</definedName>
    <definedName name="OSRRefE21_2_0x" localSheetId="92">'Div 5'!$H$43:$O$43</definedName>
    <definedName name="OSRRefE21_2_0x" localSheetId="61">'Div 6'!$H$70:$O$70</definedName>
    <definedName name="OSRRefE21_2_0x" localSheetId="2">Summary!$H$164:$O$164</definedName>
    <definedName name="OSRRefE21_2_1x" localSheetId="50">'301'!$H$41:$O$41</definedName>
    <definedName name="OSRRefE21_20_0x" localSheetId="48">'300'!$H$184:$O$184</definedName>
    <definedName name="OSRRefE21_20_0x" localSheetId="49">'300 &amp; 317'!$H$206:$O$206</definedName>
    <definedName name="OSRRefE21_20_0x" localSheetId="50">'301'!$H$89:$O$89</definedName>
    <definedName name="OSRRefE21_20_0x" localSheetId="71">'310 &amp; 491'!$H$110:$O$110</definedName>
    <definedName name="OSRRefE21_20_0x" localSheetId="56">'331'!$H$148:$O$148</definedName>
    <definedName name="OSRRefE21_20_0x" localSheetId="72">'491'!$H$106:$O$106</definedName>
    <definedName name="OSRRefE21_20_0x" localSheetId="47">'Div 3'!$H$187:$O$187</definedName>
    <definedName name="OSRRefE21_20_0x" localSheetId="70">'Div 4'!$H$109:$O$109</definedName>
    <definedName name="OSRRefE21_20_0x" localSheetId="2">Summary!$H$212:$O$212</definedName>
    <definedName name="OSRRefE21_20_1x" localSheetId="48">'300'!$H$185:$O$185</definedName>
    <definedName name="OSRRefE21_20_1x" localSheetId="49">'300 &amp; 317'!$H$207:$O$207</definedName>
    <definedName name="OSRRefE21_20_1x" localSheetId="56">'331'!$H$149:$O$149</definedName>
    <definedName name="OSRRefE21_20_1x" localSheetId="47">'Div 3'!$H$188:$O$188</definedName>
    <definedName name="OSRRefE21_20_1x" localSheetId="70">'Div 4'!$H$110:$O$110</definedName>
    <definedName name="OSRRefE21_20_1x" localSheetId="2">Summary!$H$213:$O$213</definedName>
    <definedName name="OSRRefE21_20_2x" localSheetId="48">'300'!$H$186:$O$186</definedName>
    <definedName name="OSRRefE21_20_2x" localSheetId="49">'300 &amp; 317'!$H$208:$O$208</definedName>
    <definedName name="OSRRefE21_20_2x" localSheetId="2">Summary!$H$214:$O$214</definedName>
    <definedName name="OSRRefE21_20_3x" localSheetId="48">'300'!$H$187:$O$187</definedName>
    <definedName name="OSRRefE21_20_3x" localSheetId="49">'300 &amp; 317'!$H$209:$O$209</definedName>
    <definedName name="OSRRefE21_20_3x" localSheetId="2">Summary!$H$215:$O$215</definedName>
    <definedName name="OSRRefE21_20_4x" localSheetId="48">'300'!$H$188:$O$188</definedName>
    <definedName name="OSRRefE21_20_4x" localSheetId="49">'300 &amp; 317'!$H$210:$O$210</definedName>
    <definedName name="OSRRefE21_20_4x" localSheetId="2">Summary!$H$216:$O$216</definedName>
    <definedName name="OSRRefE21_20_5x" localSheetId="48">'300'!$H$189:$O$189</definedName>
    <definedName name="OSRRefE21_20_5x" localSheetId="49">'300 &amp; 317'!$H$211:$O$211</definedName>
    <definedName name="OSRRefE21_20_6x" localSheetId="48">'300'!$H$190:$O$190</definedName>
    <definedName name="OSRRefE21_20_6x" localSheetId="49">'300 &amp; 317'!$H$212:$O$212</definedName>
    <definedName name="OSRRefE21_20_7x" localSheetId="48">'300'!$H$191:$O$191</definedName>
    <definedName name="OSRRefE21_20_7x" localSheetId="49">'300 &amp; 317'!$H$213:$O$213</definedName>
    <definedName name="OSRRefE21_20_8x" localSheetId="48">'300'!$H$192:$O$192</definedName>
    <definedName name="OSRRefE21_20_8x" localSheetId="49">'300 &amp; 317'!$H$214:$O$214</definedName>
    <definedName name="OSRRefE21_20x_0" localSheetId="48">'300'!$H$184:$H$192</definedName>
    <definedName name="OSRRefE21_20x_0" localSheetId="49">'300 &amp; 317'!$H$206:$H$214</definedName>
    <definedName name="OSRRefE21_20x_0" localSheetId="50">'301'!$H$89</definedName>
    <definedName name="OSRRefE21_20x_0" localSheetId="71">'310 &amp; 491'!$H$110</definedName>
    <definedName name="OSRRefE21_20x_0" localSheetId="56">'331'!$H$148:$H$149</definedName>
    <definedName name="OSRRefE21_20x_0" localSheetId="72">'491'!$H$106</definedName>
    <definedName name="OSRRefE21_20x_0" localSheetId="47">'Div 3'!$H$187:$H$188</definedName>
    <definedName name="OSRRefE21_20x_0" localSheetId="70">'Div 4'!$H$109:$H$110</definedName>
    <definedName name="OSRRefE21_20x_0" localSheetId="2">Summary!$H$212:$H$216</definedName>
    <definedName name="OSRRefE21_20x_1" localSheetId="48">'300'!$I$184:$I$192</definedName>
    <definedName name="OSRRefE21_20x_1" localSheetId="49">'300 &amp; 317'!$I$206:$I$214</definedName>
    <definedName name="OSRRefE21_20x_1" localSheetId="50">'301'!$I$89</definedName>
    <definedName name="OSRRefE21_20x_1" localSheetId="71">'310 &amp; 491'!$I$110</definedName>
    <definedName name="OSRRefE21_20x_1" localSheetId="56">'331'!$I$148:$I$149</definedName>
    <definedName name="OSRRefE21_20x_1" localSheetId="72">'491'!$I$106</definedName>
    <definedName name="OSRRefE21_20x_1" localSheetId="47">'Div 3'!$I$187:$I$188</definedName>
    <definedName name="OSRRefE21_20x_1" localSheetId="70">'Div 4'!$I$109:$I$110</definedName>
    <definedName name="OSRRefE21_20x_1" localSheetId="2">Summary!$I$212:$I$216</definedName>
    <definedName name="OSRRefE21_20x_2" localSheetId="48">'300'!$J$184:$J$192</definedName>
    <definedName name="OSRRefE21_20x_2" localSheetId="49">'300 &amp; 317'!$J$206:$J$214</definedName>
    <definedName name="OSRRefE21_20x_2" localSheetId="50">'301'!$J$89</definedName>
    <definedName name="OSRRefE21_20x_2" localSheetId="71">'310 &amp; 491'!$J$110</definedName>
    <definedName name="OSRRefE21_20x_2" localSheetId="56">'331'!$J$148:$J$149</definedName>
    <definedName name="OSRRefE21_20x_2" localSheetId="72">'491'!$J$106</definedName>
    <definedName name="OSRRefE21_20x_2" localSheetId="47">'Div 3'!$J$187:$J$188</definedName>
    <definedName name="OSRRefE21_20x_2" localSheetId="70">'Div 4'!$J$109:$J$110</definedName>
    <definedName name="OSRRefE21_20x_2" localSheetId="2">Summary!$J$212:$J$216</definedName>
    <definedName name="OSRRefE21_20x_3" localSheetId="48">'300'!$K$184:$K$192</definedName>
    <definedName name="OSRRefE21_20x_3" localSheetId="49">'300 &amp; 317'!$K$206:$K$214</definedName>
    <definedName name="OSRRefE21_20x_3" localSheetId="50">'301'!$K$89</definedName>
    <definedName name="OSRRefE21_20x_3" localSheetId="71">'310 &amp; 491'!$K$110</definedName>
    <definedName name="OSRRefE21_20x_3" localSheetId="56">'331'!$K$148:$K$149</definedName>
    <definedName name="OSRRefE21_20x_3" localSheetId="72">'491'!$K$106</definedName>
    <definedName name="OSRRefE21_20x_3" localSheetId="47">'Div 3'!$K$187:$K$188</definedName>
    <definedName name="OSRRefE21_20x_3" localSheetId="70">'Div 4'!$K$109:$K$110</definedName>
    <definedName name="OSRRefE21_20x_3" localSheetId="2">Summary!$K$212:$K$216</definedName>
    <definedName name="OSRRefE21_20x_4" localSheetId="48">'300'!$L$184:$L$192</definedName>
    <definedName name="OSRRefE21_20x_4" localSheetId="49">'300 &amp; 317'!$L$206:$L$214</definedName>
    <definedName name="OSRRefE21_20x_4" localSheetId="50">'301'!$L$89</definedName>
    <definedName name="OSRRefE21_20x_4" localSheetId="71">'310 &amp; 491'!$L$110</definedName>
    <definedName name="OSRRefE21_20x_4" localSheetId="56">'331'!$L$148:$L$149</definedName>
    <definedName name="OSRRefE21_20x_4" localSheetId="72">'491'!$L$106</definedName>
    <definedName name="OSRRefE21_20x_4" localSheetId="47">'Div 3'!$L$187:$L$188</definedName>
    <definedName name="OSRRefE21_20x_4" localSheetId="70">'Div 4'!$L$109:$L$110</definedName>
    <definedName name="OSRRefE21_20x_4" localSheetId="2">Summary!$L$212:$L$216</definedName>
    <definedName name="OSRRefE21_20x_5" localSheetId="48">'300'!$M$184:$M$192</definedName>
    <definedName name="OSRRefE21_20x_5" localSheetId="49">'300 &amp; 317'!$M$206:$M$214</definedName>
    <definedName name="OSRRefE21_20x_5" localSheetId="50">'301'!$M$89</definedName>
    <definedName name="OSRRefE21_20x_5" localSheetId="71">'310 &amp; 491'!$M$110</definedName>
    <definedName name="OSRRefE21_20x_5" localSheetId="56">'331'!$M$148:$M$149</definedName>
    <definedName name="OSRRefE21_20x_5" localSheetId="72">'491'!$M$106</definedName>
    <definedName name="OSRRefE21_20x_5" localSheetId="47">'Div 3'!$M$187:$M$188</definedName>
    <definedName name="OSRRefE21_20x_5" localSheetId="70">'Div 4'!$M$109:$M$110</definedName>
    <definedName name="OSRRefE21_20x_5" localSheetId="2">Summary!$M$212:$M$216</definedName>
    <definedName name="OSRRefE21_20x_6" localSheetId="48">'300'!$N$184:$N$192</definedName>
    <definedName name="OSRRefE21_20x_6" localSheetId="49">'300 &amp; 317'!$N$206:$N$214</definedName>
    <definedName name="OSRRefE21_20x_6" localSheetId="50">'301'!$N$89</definedName>
    <definedName name="OSRRefE21_20x_6" localSheetId="71">'310 &amp; 491'!$N$110</definedName>
    <definedName name="OSRRefE21_20x_6" localSheetId="56">'331'!$N$148:$N$149</definedName>
    <definedName name="OSRRefE21_20x_6" localSheetId="72">'491'!$N$106</definedName>
    <definedName name="OSRRefE21_20x_6" localSheetId="47">'Div 3'!$N$187:$N$188</definedName>
    <definedName name="OSRRefE21_20x_6" localSheetId="70">'Div 4'!$N$109:$N$110</definedName>
    <definedName name="OSRRefE21_20x_6" localSheetId="2">Summary!$N$212:$N$216</definedName>
    <definedName name="OSRRefE21_20x_7" localSheetId="48">'300'!$O$184:$O$192</definedName>
    <definedName name="OSRRefE21_20x_7" localSheetId="49">'300 &amp; 317'!$O$206:$O$214</definedName>
    <definedName name="OSRRefE21_20x_7" localSheetId="50">'301'!$O$89</definedName>
    <definedName name="OSRRefE21_20x_7" localSheetId="71">'310 &amp; 491'!$O$110</definedName>
    <definedName name="OSRRefE21_20x_7" localSheetId="56">'331'!$O$148:$O$149</definedName>
    <definedName name="OSRRefE21_20x_7" localSheetId="72">'491'!$O$106</definedName>
    <definedName name="OSRRefE21_20x_7" localSheetId="47">'Div 3'!$O$187:$O$188</definedName>
    <definedName name="OSRRefE21_20x_7" localSheetId="70">'Div 4'!$O$109:$O$110</definedName>
    <definedName name="OSRRefE21_20x_7" localSheetId="2">Summary!$O$212:$O$216</definedName>
    <definedName name="OSRRefE21_21_0x" localSheetId="48">'300'!$H$194:$O$194</definedName>
    <definedName name="OSRRefE21_21_0x" localSheetId="49">'300 &amp; 317'!$H$216:$O$216</definedName>
    <definedName name="OSRRefE21_21_0x" localSheetId="71">'310 &amp; 491'!$H$112:$O$112</definedName>
    <definedName name="OSRRefE21_21_0x" localSheetId="56">'331'!$H$151:$O$151</definedName>
    <definedName name="OSRRefE21_21_0x" localSheetId="72">'491'!$H$108:$O$108</definedName>
    <definedName name="OSRRefE21_21_0x" localSheetId="47">'Div 3'!$H$190:$O$190</definedName>
    <definedName name="OSRRefE21_21_0x" localSheetId="70">'Div 4'!$H$112:$O$112</definedName>
    <definedName name="OSRRefE21_21_0x" localSheetId="2">Summary!$H$218:$O$218</definedName>
    <definedName name="OSRRefE21_21_1x" localSheetId="48">'300'!$H$195:$O$195</definedName>
    <definedName name="OSRRefE21_21_1x" localSheetId="49">'300 &amp; 317'!$H$217:$O$217</definedName>
    <definedName name="OSRRefE21_21_1x" localSheetId="47">'Div 3'!$H$191:$O$191</definedName>
    <definedName name="OSRRefE21_21_1x" localSheetId="2">Summary!$H$219:$O$219</definedName>
    <definedName name="OSRRefE21_21_2x" localSheetId="47">'Div 3'!$H$192:$O$192</definedName>
    <definedName name="OSRRefE21_21_3x" localSheetId="47">'Div 3'!$H$193:$O$193</definedName>
    <definedName name="OSRRefE21_21_4x" localSheetId="47">'Div 3'!$H$194:$O$194</definedName>
    <definedName name="OSRRefE21_21_5x" localSheetId="47">'Div 3'!$H$195:$O$195</definedName>
    <definedName name="OSRRefE21_21_6x" localSheetId="47">'Div 3'!$H$196:$O$196</definedName>
    <definedName name="OSRRefE21_21_7x" localSheetId="47">'Div 3'!$H$197:$O$197</definedName>
    <definedName name="OSRRefE21_21_8x" localSheetId="47">'Div 3'!$H$198:$O$198</definedName>
    <definedName name="OSRRefE21_21x_0" localSheetId="48">'300'!$H$194:$H$195</definedName>
    <definedName name="OSRRefE21_21x_0" localSheetId="49">'300 &amp; 317'!$H$216:$H$217</definedName>
    <definedName name="OSRRefE21_21x_0" localSheetId="71">'310 &amp; 491'!$H$112</definedName>
    <definedName name="OSRRefE21_21x_0" localSheetId="56">'331'!$H$151</definedName>
    <definedName name="OSRRefE21_21x_0" localSheetId="72">'491'!$H$108</definedName>
    <definedName name="OSRRefE21_21x_0" localSheetId="47">'Div 3'!$H$190:$H$198</definedName>
    <definedName name="OSRRefE21_21x_0" localSheetId="70">'Div 4'!$H$112</definedName>
    <definedName name="OSRRefE21_21x_0" localSheetId="2">Summary!$H$218:$H$219</definedName>
    <definedName name="OSRRefE21_21x_1" localSheetId="48">'300'!$I$194:$I$195</definedName>
    <definedName name="OSRRefE21_21x_1" localSheetId="49">'300 &amp; 317'!$I$216:$I$217</definedName>
    <definedName name="OSRRefE21_21x_1" localSheetId="71">'310 &amp; 491'!$I$112</definedName>
    <definedName name="OSRRefE21_21x_1" localSheetId="56">'331'!$I$151</definedName>
    <definedName name="OSRRefE21_21x_1" localSheetId="72">'491'!$I$108</definedName>
    <definedName name="OSRRefE21_21x_1" localSheetId="47">'Div 3'!$I$190:$I$198</definedName>
    <definedName name="OSRRefE21_21x_1" localSheetId="70">'Div 4'!$I$112</definedName>
    <definedName name="OSRRefE21_21x_1" localSheetId="2">Summary!$I$218:$I$219</definedName>
    <definedName name="OSRRefE21_21x_2" localSheetId="48">'300'!$J$194:$J$195</definedName>
    <definedName name="OSRRefE21_21x_2" localSheetId="49">'300 &amp; 317'!$J$216:$J$217</definedName>
    <definedName name="OSRRefE21_21x_2" localSheetId="71">'310 &amp; 491'!$J$112</definedName>
    <definedName name="OSRRefE21_21x_2" localSheetId="56">'331'!$J$151</definedName>
    <definedName name="OSRRefE21_21x_2" localSheetId="72">'491'!$J$108</definedName>
    <definedName name="OSRRefE21_21x_2" localSheetId="47">'Div 3'!$J$190:$J$198</definedName>
    <definedName name="OSRRefE21_21x_2" localSheetId="70">'Div 4'!$J$112</definedName>
    <definedName name="OSRRefE21_21x_2" localSheetId="2">Summary!$J$218:$J$219</definedName>
    <definedName name="OSRRefE21_21x_3" localSheetId="48">'300'!$K$194:$K$195</definedName>
    <definedName name="OSRRefE21_21x_3" localSheetId="49">'300 &amp; 317'!$K$216:$K$217</definedName>
    <definedName name="OSRRefE21_21x_3" localSheetId="71">'310 &amp; 491'!$K$112</definedName>
    <definedName name="OSRRefE21_21x_3" localSheetId="56">'331'!$K$151</definedName>
    <definedName name="OSRRefE21_21x_3" localSheetId="72">'491'!$K$108</definedName>
    <definedName name="OSRRefE21_21x_3" localSheetId="47">'Div 3'!$K$190:$K$198</definedName>
    <definedName name="OSRRefE21_21x_3" localSheetId="70">'Div 4'!$K$112</definedName>
    <definedName name="OSRRefE21_21x_3" localSheetId="2">Summary!$K$218:$K$219</definedName>
    <definedName name="OSRRefE21_21x_4" localSheetId="48">'300'!$L$194:$L$195</definedName>
    <definedName name="OSRRefE21_21x_4" localSheetId="49">'300 &amp; 317'!$L$216:$L$217</definedName>
    <definedName name="OSRRefE21_21x_4" localSheetId="71">'310 &amp; 491'!$L$112</definedName>
    <definedName name="OSRRefE21_21x_4" localSheetId="56">'331'!$L$151</definedName>
    <definedName name="OSRRefE21_21x_4" localSheetId="72">'491'!$L$108</definedName>
    <definedName name="OSRRefE21_21x_4" localSheetId="47">'Div 3'!$L$190:$L$198</definedName>
    <definedName name="OSRRefE21_21x_4" localSheetId="70">'Div 4'!$L$112</definedName>
    <definedName name="OSRRefE21_21x_4" localSheetId="2">Summary!$L$218:$L$219</definedName>
    <definedName name="OSRRefE21_21x_5" localSheetId="48">'300'!$M$194:$M$195</definedName>
    <definedName name="OSRRefE21_21x_5" localSheetId="49">'300 &amp; 317'!$M$216:$M$217</definedName>
    <definedName name="OSRRefE21_21x_5" localSheetId="71">'310 &amp; 491'!$M$112</definedName>
    <definedName name="OSRRefE21_21x_5" localSheetId="56">'331'!$M$151</definedName>
    <definedName name="OSRRefE21_21x_5" localSheetId="72">'491'!$M$108</definedName>
    <definedName name="OSRRefE21_21x_5" localSheetId="47">'Div 3'!$M$190:$M$198</definedName>
    <definedName name="OSRRefE21_21x_5" localSheetId="70">'Div 4'!$M$112</definedName>
    <definedName name="OSRRefE21_21x_5" localSheetId="2">Summary!$M$218:$M$219</definedName>
    <definedName name="OSRRefE21_21x_6" localSheetId="48">'300'!$N$194:$N$195</definedName>
    <definedName name="OSRRefE21_21x_6" localSheetId="49">'300 &amp; 317'!$N$216:$N$217</definedName>
    <definedName name="OSRRefE21_21x_6" localSheetId="71">'310 &amp; 491'!$N$112</definedName>
    <definedName name="OSRRefE21_21x_6" localSheetId="56">'331'!$N$151</definedName>
    <definedName name="OSRRefE21_21x_6" localSheetId="72">'491'!$N$108</definedName>
    <definedName name="OSRRefE21_21x_6" localSheetId="47">'Div 3'!$N$190:$N$198</definedName>
    <definedName name="OSRRefE21_21x_6" localSheetId="70">'Div 4'!$N$112</definedName>
    <definedName name="OSRRefE21_21x_6" localSheetId="2">Summary!$N$218:$N$219</definedName>
    <definedName name="OSRRefE21_21x_7" localSheetId="48">'300'!$O$194:$O$195</definedName>
    <definedName name="OSRRefE21_21x_7" localSheetId="49">'300 &amp; 317'!$O$216:$O$217</definedName>
    <definedName name="OSRRefE21_21x_7" localSheetId="71">'310 &amp; 491'!$O$112</definedName>
    <definedName name="OSRRefE21_21x_7" localSheetId="56">'331'!$O$151</definedName>
    <definedName name="OSRRefE21_21x_7" localSheetId="72">'491'!$O$108</definedName>
    <definedName name="OSRRefE21_21x_7" localSheetId="47">'Div 3'!$O$190:$O$198</definedName>
    <definedName name="OSRRefE21_21x_7" localSheetId="70">'Div 4'!$O$112</definedName>
    <definedName name="OSRRefE21_21x_7" localSheetId="2">Summary!$O$218:$O$219</definedName>
    <definedName name="OSRRefE21_22_0x" localSheetId="48">'300'!$H$197:$O$197</definedName>
    <definedName name="OSRRefE21_22_0x" localSheetId="49">'300 &amp; 317'!$H$219:$O$219</definedName>
    <definedName name="OSRRefE21_22_0x" localSheetId="71">'310 &amp; 491'!$H$114:$O$114</definedName>
    <definedName name="OSRRefE21_22_0x" localSheetId="72">'491'!$H$110:$O$110</definedName>
    <definedName name="OSRRefE21_22_0x" localSheetId="47">'Div 3'!$H$200:$O$200</definedName>
    <definedName name="OSRRefE21_22_0x" localSheetId="70">'Div 4'!$H$114:$O$114</definedName>
    <definedName name="OSRRefE21_22_0x" localSheetId="2">Summary!$H$221:$O$221</definedName>
    <definedName name="OSRRefE21_22_10x" localSheetId="2">Summary!$H$231:$O$231</definedName>
    <definedName name="OSRRefE21_22_1x" localSheetId="47">'Div 3'!$H$201:$O$201</definedName>
    <definedName name="OSRRefE21_22_1x" localSheetId="70">'Div 4'!$H$115:$O$115</definedName>
    <definedName name="OSRRefE21_22_1x" localSheetId="2">Summary!$H$222:$O$222</definedName>
    <definedName name="OSRRefE21_22_2x" localSheetId="2">Summary!$H$223:$O$223</definedName>
    <definedName name="OSRRefE21_22_3x" localSheetId="2">Summary!$H$224:$O$224</definedName>
    <definedName name="OSRRefE21_22_4x" localSheetId="2">Summary!$H$225:$O$225</definedName>
    <definedName name="OSRRefE21_22_5x" localSheetId="2">Summary!$H$226:$O$226</definedName>
    <definedName name="OSRRefE21_22_6x" localSheetId="2">Summary!$H$227:$O$227</definedName>
    <definedName name="OSRRefE21_22_7x" localSheetId="2">Summary!$H$228:$O$228</definedName>
    <definedName name="OSRRefE21_22_8x" localSheetId="2">Summary!$H$229:$O$229</definedName>
    <definedName name="OSRRefE21_22_9x" localSheetId="2">Summary!$H$230:$O$230</definedName>
    <definedName name="OSRRefE21_22x_0" localSheetId="48">'300'!$H$197</definedName>
    <definedName name="OSRRefE21_22x_0" localSheetId="49">'300 &amp; 317'!$H$219</definedName>
    <definedName name="OSRRefE21_22x_0" localSheetId="71">'310 &amp; 491'!$H$114</definedName>
    <definedName name="OSRRefE21_22x_0" localSheetId="72">'491'!$H$110</definedName>
    <definedName name="OSRRefE21_22x_0" localSheetId="47">'Div 3'!$H$200:$H$201</definedName>
    <definedName name="OSRRefE21_22x_0" localSheetId="70">'Div 4'!$H$114:$H$115</definedName>
    <definedName name="OSRRefE21_22x_0" localSheetId="2">Summary!$H$221:$H$231</definedName>
    <definedName name="OSRRefE21_22x_1" localSheetId="48">'300'!$I$197</definedName>
    <definedName name="OSRRefE21_22x_1" localSheetId="49">'300 &amp; 317'!$I$219</definedName>
    <definedName name="OSRRefE21_22x_1" localSheetId="71">'310 &amp; 491'!$I$114</definedName>
    <definedName name="OSRRefE21_22x_1" localSheetId="72">'491'!$I$110</definedName>
    <definedName name="OSRRefE21_22x_1" localSheetId="47">'Div 3'!$I$200:$I$201</definedName>
    <definedName name="OSRRefE21_22x_1" localSheetId="70">'Div 4'!$I$114:$I$115</definedName>
    <definedName name="OSRRefE21_22x_1" localSheetId="2">Summary!$I$221:$I$231</definedName>
    <definedName name="OSRRefE21_22x_2" localSheetId="48">'300'!$J$197</definedName>
    <definedName name="OSRRefE21_22x_2" localSheetId="49">'300 &amp; 317'!$J$219</definedName>
    <definedName name="OSRRefE21_22x_2" localSheetId="71">'310 &amp; 491'!$J$114</definedName>
    <definedName name="OSRRefE21_22x_2" localSheetId="72">'491'!$J$110</definedName>
    <definedName name="OSRRefE21_22x_2" localSheetId="47">'Div 3'!$J$200:$J$201</definedName>
    <definedName name="OSRRefE21_22x_2" localSheetId="70">'Div 4'!$J$114:$J$115</definedName>
    <definedName name="OSRRefE21_22x_2" localSheetId="2">Summary!$J$221:$J$231</definedName>
    <definedName name="OSRRefE21_22x_3" localSheetId="48">'300'!$K$197</definedName>
    <definedName name="OSRRefE21_22x_3" localSheetId="49">'300 &amp; 317'!$K$219</definedName>
    <definedName name="OSRRefE21_22x_3" localSheetId="71">'310 &amp; 491'!$K$114</definedName>
    <definedName name="OSRRefE21_22x_3" localSheetId="72">'491'!$K$110</definedName>
    <definedName name="OSRRefE21_22x_3" localSheetId="47">'Div 3'!$K$200:$K$201</definedName>
    <definedName name="OSRRefE21_22x_3" localSheetId="70">'Div 4'!$K$114:$K$115</definedName>
    <definedName name="OSRRefE21_22x_3" localSheetId="2">Summary!$K$221:$K$231</definedName>
    <definedName name="OSRRefE21_22x_4" localSheetId="48">'300'!$L$197</definedName>
    <definedName name="OSRRefE21_22x_4" localSheetId="49">'300 &amp; 317'!$L$219</definedName>
    <definedName name="OSRRefE21_22x_4" localSheetId="71">'310 &amp; 491'!$L$114</definedName>
    <definedName name="OSRRefE21_22x_4" localSheetId="72">'491'!$L$110</definedName>
    <definedName name="OSRRefE21_22x_4" localSheetId="47">'Div 3'!$L$200:$L$201</definedName>
    <definedName name="OSRRefE21_22x_4" localSheetId="70">'Div 4'!$L$114:$L$115</definedName>
    <definedName name="OSRRefE21_22x_4" localSheetId="2">Summary!$L$221:$L$231</definedName>
    <definedName name="OSRRefE21_22x_5" localSheetId="48">'300'!$M$197</definedName>
    <definedName name="OSRRefE21_22x_5" localSheetId="49">'300 &amp; 317'!$M$219</definedName>
    <definedName name="OSRRefE21_22x_5" localSheetId="71">'310 &amp; 491'!$M$114</definedName>
    <definedName name="OSRRefE21_22x_5" localSheetId="72">'491'!$M$110</definedName>
    <definedName name="OSRRefE21_22x_5" localSheetId="47">'Div 3'!$M$200:$M$201</definedName>
    <definedName name="OSRRefE21_22x_5" localSheetId="70">'Div 4'!$M$114:$M$115</definedName>
    <definedName name="OSRRefE21_22x_5" localSheetId="2">Summary!$M$221:$M$231</definedName>
    <definedName name="OSRRefE21_22x_6" localSheetId="48">'300'!$N$197</definedName>
    <definedName name="OSRRefE21_22x_6" localSheetId="49">'300 &amp; 317'!$N$219</definedName>
    <definedName name="OSRRefE21_22x_6" localSheetId="71">'310 &amp; 491'!$N$114</definedName>
    <definedName name="OSRRefE21_22x_6" localSheetId="72">'491'!$N$110</definedName>
    <definedName name="OSRRefE21_22x_6" localSheetId="47">'Div 3'!$N$200:$N$201</definedName>
    <definedName name="OSRRefE21_22x_6" localSheetId="70">'Div 4'!$N$114:$N$115</definedName>
    <definedName name="OSRRefE21_22x_6" localSheetId="2">Summary!$N$221:$N$231</definedName>
    <definedName name="OSRRefE21_22x_7" localSheetId="48">'300'!$O$197</definedName>
    <definedName name="OSRRefE21_22x_7" localSheetId="49">'300 &amp; 317'!$O$219</definedName>
    <definedName name="OSRRefE21_22x_7" localSheetId="71">'310 &amp; 491'!$O$114</definedName>
    <definedName name="OSRRefE21_22x_7" localSheetId="72">'491'!$O$110</definedName>
    <definedName name="OSRRefE21_22x_7" localSheetId="47">'Div 3'!$O$200:$O$201</definedName>
    <definedName name="OSRRefE21_22x_7" localSheetId="70">'Div 4'!$O$114:$O$115</definedName>
    <definedName name="OSRRefE21_22x_7" localSheetId="2">Summary!$O$221:$O$231</definedName>
    <definedName name="OSRRefE21_23_0x" localSheetId="48">'300'!$H$199:$O$199</definedName>
    <definedName name="OSRRefE21_23_0x" localSheetId="49">'300 &amp; 317'!$H$221:$O$221</definedName>
    <definedName name="OSRRefE21_23_0x" localSheetId="47">'Div 3'!$H$203:$O$203</definedName>
    <definedName name="OSRRefE21_23_0x" localSheetId="70">'Div 4'!$H$117:$O$117</definedName>
    <definedName name="OSRRefE21_23_0x" localSheetId="2">Summary!$H$233:$O$233</definedName>
    <definedName name="OSRRefE21_23_1x" localSheetId="48">'300'!$H$200:$O$200</definedName>
    <definedName name="OSRRefE21_23_1x" localSheetId="49">'300 &amp; 317'!$H$222:$O$222</definedName>
    <definedName name="OSRRefE21_23_1x" localSheetId="2">Summary!$H$234:$O$234</definedName>
    <definedName name="OSRRefE21_23_2x" localSheetId="48">'300'!$H$201:$O$201</definedName>
    <definedName name="OSRRefE21_23_2x" localSheetId="49">'300 &amp; 317'!$H$223:$O$223</definedName>
    <definedName name="OSRRefE21_23x_0" localSheetId="48">'300'!$H$199:$H$201</definedName>
    <definedName name="OSRRefE21_23x_0" localSheetId="49">'300 &amp; 317'!$H$221:$H$223</definedName>
    <definedName name="OSRRefE21_23x_0" localSheetId="47">'Div 3'!$H$203</definedName>
    <definedName name="OSRRefE21_23x_0" localSheetId="70">'Div 4'!$H$117</definedName>
    <definedName name="OSRRefE21_23x_0" localSheetId="2">Summary!$H$233:$H$234</definedName>
    <definedName name="OSRRefE21_23x_1" localSheetId="48">'300'!$I$199:$I$201</definedName>
    <definedName name="OSRRefE21_23x_1" localSheetId="49">'300 &amp; 317'!$I$221:$I$223</definedName>
    <definedName name="OSRRefE21_23x_1" localSheetId="47">'Div 3'!$I$203</definedName>
    <definedName name="OSRRefE21_23x_1" localSheetId="70">'Div 4'!$I$117</definedName>
    <definedName name="OSRRefE21_23x_1" localSheetId="2">Summary!$I$233:$I$234</definedName>
    <definedName name="OSRRefE21_23x_2" localSheetId="48">'300'!$J$199:$J$201</definedName>
    <definedName name="OSRRefE21_23x_2" localSheetId="49">'300 &amp; 317'!$J$221:$J$223</definedName>
    <definedName name="OSRRefE21_23x_2" localSheetId="47">'Div 3'!$J$203</definedName>
    <definedName name="OSRRefE21_23x_2" localSheetId="70">'Div 4'!$J$117</definedName>
    <definedName name="OSRRefE21_23x_2" localSheetId="2">Summary!$J$233:$J$234</definedName>
    <definedName name="OSRRefE21_23x_3" localSheetId="48">'300'!$K$199:$K$201</definedName>
    <definedName name="OSRRefE21_23x_3" localSheetId="49">'300 &amp; 317'!$K$221:$K$223</definedName>
    <definedName name="OSRRefE21_23x_3" localSheetId="47">'Div 3'!$K$203</definedName>
    <definedName name="OSRRefE21_23x_3" localSheetId="70">'Div 4'!$K$117</definedName>
    <definedName name="OSRRefE21_23x_3" localSheetId="2">Summary!$K$233:$K$234</definedName>
    <definedName name="OSRRefE21_23x_4" localSheetId="48">'300'!$L$199:$L$201</definedName>
    <definedName name="OSRRefE21_23x_4" localSheetId="49">'300 &amp; 317'!$L$221:$L$223</definedName>
    <definedName name="OSRRefE21_23x_4" localSheetId="47">'Div 3'!$L$203</definedName>
    <definedName name="OSRRefE21_23x_4" localSheetId="70">'Div 4'!$L$117</definedName>
    <definedName name="OSRRefE21_23x_4" localSheetId="2">Summary!$L$233:$L$234</definedName>
    <definedName name="OSRRefE21_23x_5" localSheetId="48">'300'!$M$199:$M$201</definedName>
    <definedName name="OSRRefE21_23x_5" localSheetId="49">'300 &amp; 317'!$M$221:$M$223</definedName>
    <definedName name="OSRRefE21_23x_5" localSheetId="47">'Div 3'!$M$203</definedName>
    <definedName name="OSRRefE21_23x_5" localSheetId="70">'Div 4'!$M$117</definedName>
    <definedName name="OSRRefE21_23x_5" localSheetId="2">Summary!$M$233:$M$234</definedName>
    <definedName name="OSRRefE21_23x_6" localSheetId="48">'300'!$N$199:$N$201</definedName>
    <definedName name="OSRRefE21_23x_6" localSheetId="49">'300 &amp; 317'!$N$221:$N$223</definedName>
    <definedName name="OSRRefE21_23x_6" localSheetId="47">'Div 3'!$N$203</definedName>
    <definedName name="OSRRefE21_23x_6" localSheetId="70">'Div 4'!$N$117</definedName>
    <definedName name="OSRRefE21_23x_6" localSheetId="2">Summary!$N$233:$N$234</definedName>
    <definedName name="OSRRefE21_23x_7" localSheetId="48">'300'!$O$199:$O$201</definedName>
    <definedName name="OSRRefE21_23x_7" localSheetId="49">'300 &amp; 317'!$O$221:$O$223</definedName>
    <definedName name="OSRRefE21_23x_7" localSheetId="47">'Div 3'!$O$203</definedName>
    <definedName name="OSRRefE21_23x_7" localSheetId="70">'Div 4'!$O$117</definedName>
    <definedName name="OSRRefE21_23x_7" localSheetId="2">Summary!$O$233:$O$234</definedName>
    <definedName name="OSRRefE21_24_0x" localSheetId="48">'300'!$H$203:$O$203</definedName>
    <definedName name="OSRRefE21_24_0x" localSheetId="49">'300 &amp; 317'!$H$225:$O$225</definedName>
    <definedName name="OSRRefE21_24_0x" localSheetId="47">'Div 3'!$H$205:$O$205</definedName>
    <definedName name="OSRRefE21_24_0x" localSheetId="2">Summary!$H$236:$O$236</definedName>
    <definedName name="OSRRefE21_24_1x" localSheetId="47">'Div 3'!$H$206:$O$206</definedName>
    <definedName name="OSRRefE21_24_2x" localSheetId="47">'Div 3'!$H$207:$O$207</definedName>
    <definedName name="OSRRefE21_24x_0" localSheetId="48">'300'!$H$203</definedName>
    <definedName name="OSRRefE21_24x_0" localSheetId="49">'300 &amp; 317'!$H$225</definedName>
    <definedName name="OSRRefE21_24x_0" localSheetId="47">'Div 3'!$H$205:$H$207</definedName>
    <definedName name="OSRRefE21_24x_0" localSheetId="2">Summary!$H$236</definedName>
    <definedName name="OSRRefE21_24x_1" localSheetId="48">'300'!$I$203</definedName>
    <definedName name="OSRRefE21_24x_1" localSheetId="49">'300 &amp; 317'!$I$225</definedName>
    <definedName name="OSRRefE21_24x_1" localSheetId="47">'Div 3'!$I$205:$I$207</definedName>
    <definedName name="OSRRefE21_24x_1" localSheetId="2">Summary!$I$236</definedName>
    <definedName name="OSRRefE21_24x_2" localSheetId="48">'300'!$J$203</definedName>
    <definedName name="OSRRefE21_24x_2" localSheetId="49">'300 &amp; 317'!$J$225</definedName>
    <definedName name="OSRRefE21_24x_2" localSheetId="47">'Div 3'!$J$205:$J$207</definedName>
    <definedName name="OSRRefE21_24x_2" localSheetId="2">Summary!$J$236</definedName>
    <definedName name="OSRRefE21_24x_3" localSheetId="48">'300'!$K$203</definedName>
    <definedName name="OSRRefE21_24x_3" localSheetId="49">'300 &amp; 317'!$K$225</definedName>
    <definedName name="OSRRefE21_24x_3" localSheetId="47">'Div 3'!$K$205:$K$207</definedName>
    <definedName name="OSRRefE21_24x_3" localSheetId="2">Summary!$K$236</definedName>
    <definedName name="OSRRefE21_24x_4" localSheetId="48">'300'!$L$203</definedName>
    <definedName name="OSRRefE21_24x_4" localSheetId="49">'300 &amp; 317'!$L$225</definedName>
    <definedName name="OSRRefE21_24x_4" localSheetId="47">'Div 3'!$L$205:$L$207</definedName>
    <definedName name="OSRRefE21_24x_4" localSheetId="2">Summary!$L$236</definedName>
    <definedName name="OSRRefE21_24x_5" localSheetId="48">'300'!$M$203</definedName>
    <definedName name="OSRRefE21_24x_5" localSheetId="49">'300 &amp; 317'!$M$225</definedName>
    <definedName name="OSRRefE21_24x_5" localSheetId="47">'Div 3'!$M$205:$M$207</definedName>
    <definedName name="OSRRefE21_24x_5" localSheetId="2">Summary!$M$236</definedName>
    <definedName name="OSRRefE21_24x_6" localSheetId="48">'300'!$N$203</definedName>
    <definedName name="OSRRefE21_24x_6" localSheetId="49">'300 &amp; 317'!$N$225</definedName>
    <definedName name="OSRRefE21_24x_6" localSheetId="47">'Div 3'!$N$205:$N$207</definedName>
    <definedName name="OSRRefE21_24x_6" localSheetId="2">Summary!$N$236</definedName>
    <definedName name="OSRRefE21_24x_7" localSheetId="48">'300'!$O$203</definedName>
    <definedName name="OSRRefE21_24x_7" localSheetId="49">'300 &amp; 317'!$O$225</definedName>
    <definedName name="OSRRefE21_24x_7" localSheetId="47">'Div 3'!$O$205:$O$207</definedName>
    <definedName name="OSRRefE21_24x_7" localSheetId="2">Summary!$O$236</definedName>
    <definedName name="OSRRefE21_25_0x" localSheetId="47">'Div 3'!$H$209:$O$209</definedName>
    <definedName name="OSRRefE21_25_0x" localSheetId="2">Summary!$H$238:$O$238</definedName>
    <definedName name="OSRRefE21_25_1x" localSheetId="2">Summary!$H$239:$O$239</definedName>
    <definedName name="OSRRefE21_25_2x" localSheetId="2">Summary!$H$240:$O$240</definedName>
    <definedName name="OSRRefE21_25x_0" localSheetId="47">'Div 3'!$H$209</definedName>
    <definedName name="OSRRefE21_25x_0" localSheetId="2">Summary!$H$238:$H$240</definedName>
    <definedName name="OSRRefE21_25x_1" localSheetId="47">'Div 3'!$I$209</definedName>
    <definedName name="OSRRefE21_25x_1" localSheetId="2">Summary!$I$238:$I$240</definedName>
    <definedName name="OSRRefE21_25x_2" localSheetId="47">'Div 3'!$J$209</definedName>
    <definedName name="OSRRefE21_25x_2" localSheetId="2">Summary!$J$238:$J$240</definedName>
    <definedName name="OSRRefE21_25x_3" localSheetId="47">'Div 3'!$K$209</definedName>
    <definedName name="OSRRefE21_25x_3" localSheetId="2">Summary!$K$238:$K$240</definedName>
    <definedName name="OSRRefE21_25x_4" localSheetId="47">'Div 3'!$L$209</definedName>
    <definedName name="OSRRefE21_25x_4" localSheetId="2">Summary!$L$238:$L$240</definedName>
    <definedName name="OSRRefE21_25x_5" localSheetId="47">'Div 3'!$M$209</definedName>
    <definedName name="OSRRefE21_25x_5" localSheetId="2">Summary!$M$238:$M$240</definedName>
    <definedName name="OSRRefE21_25x_6" localSheetId="47">'Div 3'!$N$209</definedName>
    <definedName name="OSRRefE21_25x_6" localSheetId="2">Summary!$N$238:$N$240</definedName>
    <definedName name="OSRRefE21_25x_7" localSheetId="47">'Div 3'!$O$209</definedName>
    <definedName name="OSRRefE21_25x_7" localSheetId="2">Summary!$O$238:$O$240</definedName>
    <definedName name="OSRRefE21_26_0x" localSheetId="2">Summary!$H$242:$O$242</definedName>
    <definedName name="OSRRefE21_26x_0" localSheetId="2">Summary!$H$242</definedName>
    <definedName name="OSRRefE21_26x_1" localSheetId="2">Summary!$I$242</definedName>
    <definedName name="OSRRefE21_26x_2" localSheetId="2">Summary!$J$242</definedName>
    <definedName name="OSRRefE21_26x_3" localSheetId="2">Summary!$K$242</definedName>
    <definedName name="OSRRefE21_26x_4" localSheetId="2">Summary!$L$242</definedName>
    <definedName name="OSRRefE21_26x_5" localSheetId="2">Summary!$M$242</definedName>
    <definedName name="OSRRefE21_26x_6" localSheetId="2">Summary!$N$242</definedName>
    <definedName name="OSRRefE21_26x_7" localSheetId="2">Summary!$O$242</definedName>
    <definedName name="OSRRefE21_2x_0" localSheetId="40">'200'!$H$23</definedName>
    <definedName name="OSRRefE21_2x_0" localSheetId="41">'201'!$H$40</definedName>
    <definedName name="OSRRefE21_2x_0" localSheetId="42">'202'!$H$40</definedName>
    <definedName name="OSRRefE21_2x_0" localSheetId="43">'203'!$H$41</definedName>
    <definedName name="OSRRefE21_2x_0" localSheetId="44">'204'!$H$41</definedName>
    <definedName name="OSRRefE21_2x_0" localSheetId="45">'205'!$H$40</definedName>
    <definedName name="OSRRefE21_2x_0" localSheetId="46">'206'!$H$40</definedName>
    <definedName name="OSRRefE21_2x_0" localSheetId="48">'300'!$H$133</definedName>
    <definedName name="OSRRefE21_2x_0" localSheetId="49">'300 &amp; 317'!$H$155</definedName>
    <definedName name="OSRRefE21_2x_0" localSheetId="50">'301'!$H$40:$H$41</definedName>
    <definedName name="OSRRefE21_2x_0" localSheetId="52">'307'!$H$58</definedName>
    <definedName name="OSRRefE21_2x_0" localSheetId="53">'308'!$H$75</definedName>
    <definedName name="OSRRefE21_2x_0" localSheetId="64">'309'!$H$41</definedName>
    <definedName name="OSRRefE21_2x_0" localSheetId="63">'310'!$H$47</definedName>
    <definedName name="OSRRefE21_2x_0" localSheetId="71">'310 &amp; 491'!$H$52</definedName>
    <definedName name="OSRRefE21_2x_0" localSheetId="54">'311'!$H$74</definedName>
    <definedName name="OSRRefE21_2x_0" localSheetId="65">'313'!$H$41</definedName>
    <definedName name="OSRRefE21_2x_0" localSheetId="57">'315'!$H$97</definedName>
    <definedName name="OSRRefE21_2x_0" localSheetId="60">'316'!$H$50</definedName>
    <definedName name="OSRRefE21_2x_0" localSheetId="62">'317'!$H$70</definedName>
    <definedName name="OSRRefE21_2x_0" localSheetId="66">'321'!$H$43</definedName>
    <definedName name="OSRRefE21_2x_0" localSheetId="67">'322'!$H$42</definedName>
    <definedName name="OSRRefE21_2x_0" localSheetId="68">'325'!$H$41</definedName>
    <definedName name="OSRRefE21_2x_0" localSheetId="58">'326'!$H$64</definedName>
    <definedName name="OSRRefE21_2x_0" localSheetId="51">'330'!$H$58</definedName>
    <definedName name="OSRRefE21_2x_0" localSheetId="56">'331'!$H$97</definedName>
    <definedName name="OSRRefE21_2x_0" localSheetId="59">'332'!$H$50</definedName>
    <definedName name="OSRRefE21_2x_0" localSheetId="73">'405'!$H$42</definedName>
    <definedName name="OSRRefE21_2x_0" localSheetId="74">'406'!$H$23</definedName>
    <definedName name="OSRRefE21_2x_0" localSheetId="75">'411'!$H$40</definedName>
    <definedName name="OSRRefE21_2x_0" localSheetId="76">'412'!$H$41</definedName>
    <definedName name="OSRRefE21_2x_0" localSheetId="77">'413'!$H$43</definedName>
    <definedName name="OSRRefE21_2x_0" localSheetId="78">'414'!$H$44</definedName>
    <definedName name="OSRRefE21_2x_0" localSheetId="79">'415'!$H$47</definedName>
    <definedName name="OSRRefE21_2x_0" localSheetId="80">'418'!$H$42</definedName>
    <definedName name="OSRRefE21_2x_0" localSheetId="82">'423'!$H$39</definedName>
    <definedName name="OSRRefE21_2x_0" localSheetId="83">'424'!$H$23</definedName>
    <definedName name="OSRRefE21_2x_0" localSheetId="84">'425'!$H$27</definedName>
    <definedName name="OSRRefE21_2x_0" localSheetId="87">'430'!$H$40</definedName>
    <definedName name="OSRRefE21_2x_0" localSheetId="88">'433'!$H$48</definedName>
    <definedName name="OSRRefE21_2x_0" localSheetId="90">'444'!$H$48</definedName>
    <definedName name="OSRRefE21_2x_0" localSheetId="91">'450'!$H$44</definedName>
    <definedName name="OSRRefE21_2x_0" localSheetId="72">'491'!$H$49</definedName>
    <definedName name="OSRRefE21_2x_0" localSheetId="86">'492'!$H$48</definedName>
    <definedName name="OSRRefE21_2x_0" localSheetId="93">'501'!$H$43</definedName>
    <definedName name="OSRRefE21_2x_0" localSheetId="39">'Div 2'!$H$42</definedName>
    <definedName name="OSRRefE21_2x_0" localSheetId="47">'Div 3'!$H$137</definedName>
    <definedName name="OSRRefE21_2x_0" localSheetId="70">'Div 4'!$H$52</definedName>
    <definedName name="OSRRefE21_2x_0" localSheetId="92">'Div 5'!$H$43</definedName>
    <definedName name="OSRRefE21_2x_0" localSheetId="61">'Div 6'!$H$70</definedName>
    <definedName name="OSRRefE21_2x_0" localSheetId="2">Summary!$H$164</definedName>
    <definedName name="OSRRefE21_2x_1" localSheetId="40">'200'!$I$23</definedName>
    <definedName name="OSRRefE21_2x_1" localSheetId="41">'201'!$I$40</definedName>
    <definedName name="OSRRefE21_2x_1" localSheetId="42">'202'!$I$40</definedName>
    <definedName name="OSRRefE21_2x_1" localSheetId="43">'203'!$I$41</definedName>
    <definedName name="OSRRefE21_2x_1" localSheetId="44">'204'!$I$41</definedName>
    <definedName name="OSRRefE21_2x_1" localSheetId="45">'205'!$I$40</definedName>
    <definedName name="OSRRefE21_2x_1" localSheetId="46">'206'!$I$40</definedName>
    <definedName name="OSRRefE21_2x_1" localSheetId="48">'300'!$I$133</definedName>
    <definedName name="OSRRefE21_2x_1" localSheetId="49">'300 &amp; 317'!$I$155</definedName>
    <definedName name="OSRRefE21_2x_1" localSheetId="50">'301'!$I$40:$I$41</definedName>
    <definedName name="OSRRefE21_2x_1" localSheetId="52">'307'!$I$58</definedName>
    <definedName name="OSRRefE21_2x_1" localSheetId="53">'308'!$I$75</definedName>
    <definedName name="OSRRefE21_2x_1" localSheetId="64">'309'!$I$41</definedName>
    <definedName name="OSRRefE21_2x_1" localSheetId="63">'310'!$I$47</definedName>
    <definedName name="OSRRefE21_2x_1" localSheetId="71">'310 &amp; 491'!$I$52</definedName>
    <definedName name="OSRRefE21_2x_1" localSheetId="54">'311'!$I$74</definedName>
    <definedName name="OSRRefE21_2x_1" localSheetId="65">'313'!$I$41</definedName>
    <definedName name="OSRRefE21_2x_1" localSheetId="57">'315'!$I$97</definedName>
    <definedName name="OSRRefE21_2x_1" localSheetId="60">'316'!$I$50</definedName>
    <definedName name="OSRRefE21_2x_1" localSheetId="62">'317'!$I$70</definedName>
    <definedName name="OSRRefE21_2x_1" localSheetId="66">'321'!$I$43</definedName>
    <definedName name="OSRRefE21_2x_1" localSheetId="67">'322'!$I$42</definedName>
    <definedName name="OSRRefE21_2x_1" localSheetId="68">'325'!$I$41</definedName>
    <definedName name="OSRRefE21_2x_1" localSheetId="58">'326'!$I$64</definedName>
    <definedName name="OSRRefE21_2x_1" localSheetId="51">'330'!$I$58</definedName>
    <definedName name="OSRRefE21_2x_1" localSheetId="56">'331'!$I$97</definedName>
    <definedName name="OSRRefE21_2x_1" localSheetId="59">'332'!$I$50</definedName>
    <definedName name="OSRRefE21_2x_1" localSheetId="73">'405'!$I$42</definedName>
    <definedName name="OSRRefE21_2x_1" localSheetId="74">'406'!$I$23</definedName>
    <definedName name="OSRRefE21_2x_1" localSheetId="75">'411'!$I$40</definedName>
    <definedName name="OSRRefE21_2x_1" localSheetId="76">'412'!$I$41</definedName>
    <definedName name="OSRRefE21_2x_1" localSheetId="77">'413'!$I$43</definedName>
    <definedName name="OSRRefE21_2x_1" localSheetId="78">'414'!$I$44</definedName>
    <definedName name="OSRRefE21_2x_1" localSheetId="79">'415'!$I$47</definedName>
    <definedName name="OSRRefE21_2x_1" localSheetId="80">'418'!$I$42</definedName>
    <definedName name="OSRRefE21_2x_1" localSheetId="82">'423'!$I$39</definedName>
    <definedName name="OSRRefE21_2x_1" localSheetId="83">'424'!$I$23</definedName>
    <definedName name="OSRRefE21_2x_1" localSheetId="84">'425'!$I$27</definedName>
    <definedName name="OSRRefE21_2x_1" localSheetId="87">'430'!$I$40</definedName>
    <definedName name="OSRRefE21_2x_1" localSheetId="88">'433'!$I$48</definedName>
    <definedName name="OSRRefE21_2x_1" localSheetId="90">'444'!$I$48</definedName>
    <definedName name="OSRRefE21_2x_1" localSheetId="91">'450'!$I$44</definedName>
    <definedName name="OSRRefE21_2x_1" localSheetId="72">'491'!$I$49</definedName>
    <definedName name="OSRRefE21_2x_1" localSheetId="86">'492'!$I$48</definedName>
    <definedName name="OSRRefE21_2x_1" localSheetId="93">'501'!$I$43</definedName>
    <definedName name="OSRRefE21_2x_1" localSheetId="39">'Div 2'!$I$42</definedName>
    <definedName name="OSRRefE21_2x_1" localSheetId="47">'Div 3'!$I$137</definedName>
    <definedName name="OSRRefE21_2x_1" localSheetId="70">'Div 4'!$I$52</definedName>
    <definedName name="OSRRefE21_2x_1" localSheetId="92">'Div 5'!$I$43</definedName>
    <definedName name="OSRRefE21_2x_1" localSheetId="61">'Div 6'!$I$70</definedName>
    <definedName name="OSRRefE21_2x_1" localSheetId="2">Summary!$I$164</definedName>
    <definedName name="OSRRefE21_2x_2" localSheetId="40">'200'!$J$23</definedName>
    <definedName name="OSRRefE21_2x_2" localSheetId="41">'201'!$J$40</definedName>
    <definedName name="OSRRefE21_2x_2" localSheetId="42">'202'!$J$40</definedName>
    <definedName name="OSRRefE21_2x_2" localSheetId="43">'203'!$J$41</definedName>
    <definedName name="OSRRefE21_2x_2" localSheetId="44">'204'!$J$41</definedName>
    <definedName name="OSRRefE21_2x_2" localSheetId="45">'205'!$J$40</definedName>
    <definedName name="OSRRefE21_2x_2" localSheetId="46">'206'!$J$40</definedName>
    <definedName name="OSRRefE21_2x_2" localSheetId="48">'300'!$J$133</definedName>
    <definedName name="OSRRefE21_2x_2" localSheetId="49">'300 &amp; 317'!$J$155</definedName>
    <definedName name="OSRRefE21_2x_2" localSheetId="50">'301'!$J$40:$J$41</definedName>
    <definedName name="OSRRefE21_2x_2" localSheetId="52">'307'!$J$58</definedName>
    <definedName name="OSRRefE21_2x_2" localSheetId="53">'308'!$J$75</definedName>
    <definedName name="OSRRefE21_2x_2" localSheetId="64">'309'!$J$41</definedName>
    <definedName name="OSRRefE21_2x_2" localSheetId="63">'310'!$J$47</definedName>
    <definedName name="OSRRefE21_2x_2" localSheetId="71">'310 &amp; 491'!$J$52</definedName>
    <definedName name="OSRRefE21_2x_2" localSheetId="54">'311'!$J$74</definedName>
    <definedName name="OSRRefE21_2x_2" localSheetId="65">'313'!$J$41</definedName>
    <definedName name="OSRRefE21_2x_2" localSheetId="57">'315'!$J$97</definedName>
    <definedName name="OSRRefE21_2x_2" localSheetId="60">'316'!$J$50</definedName>
    <definedName name="OSRRefE21_2x_2" localSheetId="62">'317'!$J$70</definedName>
    <definedName name="OSRRefE21_2x_2" localSheetId="66">'321'!$J$43</definedName>
    <definedName name="OSRRefE21_2x_2" localSheetId="67">'322'!$J$42</definedName>
    <definedName name="OSRRefE21_2x_2" localSheetId="68">'325'!$J$41</definedName>
    <definedName name="OSRRefE21_2x_2" localSheetId="58">'326'!$J$64</definedName>
    <definedName name="OSRRefE21_2x_2" localSheetId="51">'330'!$J$58</definedName>
    <definedName name="OSRRefE21_2x_2" localSheetId="56">'331'!$J$97</definedName>
    <definedName name="OSRRefE21_2x_2" localSheetId="59">'332'!$J$50</definedName>
    <definedName name="OSRRefE21_2x_2" localSheetId="73">'405'!$J$42</definedName>
    <definedName name="OSRRefE21_2x_2" localSheetId="74">'406'!$J$23</definedName>
    <definedName name="OSRRefE21_2x_2" localSheetId="75">'411'!$J$40</definedName>
    <definedName name="OSRRefE21_2x_2" localSheetId="76">'412'!$J$41</definedName>
    <definedName name="OSRRefE21_2x_2" localSheetId="77">'413'!$J$43</definedName>
    <definedName name="OSRRefE21_2x_2" localSheetId="78">'414'!$J$44</definedName>
    <definedName name="OSRRefE21_2x_2" localSheetId="79">'415'!$J$47</definedName>
    <definedName name="OSRRefE21_2x_2" localSheetId="80">'418'!$J$42</definedName>
    <definedName name="OSRRefE21_2x_2" localSheetId="82">'423'!$J$39</definedName>
    <definedName name="OSRRefE21_2x_2" localSheetId="83">'424'!$J$23</definedName>
    <definedName name="OSRRefE21_2x_2" localSheetId="84">'425'!$J$27</definedName>
    <definedName name="OSRRefE21_2x_2" localSheetId="87">'430'!$J$40</definedName>
    <definedName name="OSRRefE21_2x_2" localSheetId="88">'433'!$J$48</definedName>
    <definedName name="OSRRefE21_2x_2" localSheetId="90">'444'!$J$48</definedName>
    <definedName name="OSRRefE21_2x_2" localSheetId="91">'450'!$J$44</definedName>
    <definedName name="OSRRefE21_2x_2" localSheetId="72">'491'!$J$49</definedName>
    <definedName name="OSRRefE21_2x_2" localSheetId="86">'492'!$J$48</definedName>
    <definedName name="OSRRefE21_2x_2" localSheetId="93">'501'!$J$43</definedName>
    <definedName name="OSRRefE21_2x_2" localSheetId="39">'Div 2'!$J$42</definedName>
    <definedName name="OSRRefE21_2x_2" localSheetId="47">'Div 3'!$J$137</definedName>
    <definedName name="OSRRefE21_2x_2" localSheetId="70">'Div 4'!$J$52</definedName>
    <definedName name="OSRRefE21_2x_2" localSheetId="92">'Div 5'!$J$43</definedName>
    <definedName name="OSRRefE21_2x_2" localSheetId="61">'Div 6'!$J$70</definedName>
    <definedName name="OSRRefE21_2x_2" localSheetId="2">Summary!$J$164</definedName>
    <definedName name="OSRRefE21_2x_3" localSheetId="40">'200'!$K$23</definedName>
    <definedName name="OSRRefE21_2x_3" localSheetId="41">'201'!$K$40</definedName>
    <definedName name="OSRRefE21_2x_3" localSheetId="42">'202'!$K$40</definedName>
    <definedName name="OSRRefE21_2x_3" localSheetId="43">'203'!$K$41</definedName>
    <definedName name="OSRRefE21_2x_3" localSheetId="44">'204'!$K$41</definedName>
    <definedName name="OSRRefE21_2x_3" localSheetId="45">'205'!$K$40</definedName>
    <definedName name="OSRRefE21_2x_3" localSheetId="46">'206'!$K$40</definedName>
    <definedName name="OSRRefE21_2x_3" localSheetId="48">'300'!$K$133</definedName>
    <definedName name="OSRRefE21_2x_3" localSheetId="49">'300 &amp; 317'!$K$155</definedName>
    <definedName name="OSRRefE21_2x_3" localSheetId="50">'301'!$K$40:$K$41</definedName>
    <definedName name="OSRRefE21_2x_3" localSheetId="52">'307'!$K$58</definedName>
    <definedName name="OSRRefE21_2x_3" localSheetId="53">'308'!$K$75</definedName>
    <definedName name="OSRRefE21_2x_3" localSheetId="64">'309'!$K$41</definedName>
    <definedName name="OSRRefE21_2x_3" localSheetId="63">'310'!$K$47</definedName>
    <definedName name="OSRRefE21_2x_3" localSheetId="71">'310 &amp; 491'!$K$52</definedName>
    <definedName name="OSRRefE21_2x_3" localSheetId="54">'311'!$K$74</definedName>
    <definedName name="OSRRefE21_2x_3" localSheetId="65">'313'!$K$41</definedName>
    <definedName name="OSRRefE21_2x_3" localSheetId="57">'315'!$K$97</definedName>
    <definedName name="OSRRefE21_2x_3" localSheetId="60">'316'!$K$50</definedName>
    <definedName name="OSRRefE21_2x_3" localSheetId="62">'317'!$K$70</definedName>
    <definedName name="OSRRefE21_2x_3" localSheetId="66">'321'!$K$43</definedName>
    <definedName name="OSRRefE21_2x_3" localSheetId="67">'322'!$K$42</definedName>
    <definedName name="OSRRefE21_2x_3" localSheetId="68">'325'!$K$41</definedName>
    <definedName name="OSRRefE21_2x_3" localSheetId="58">'326'!$K$64</definedName>
    <definedName name="OSRRefE21_2x_3" localSheetId="51">'330'!$K$58</definedName>
    <definedName name="OSRRefE21_2x_3" localSheetId="56">'331'!$K$97</definedName>
    <definedName name="OSRRefE21_2x_3" localSheetId="59">'332'!$K$50</definedName>
    <definedName name="OSRRefE21_2x_3" localSheetId="73">'405'!$K$42</definedName>
    <definedName name="OSRRefE21_2x_3" localSheetId="74">'406'!$K$23</definedName>
    <definedName name="OSRRefE21_2x_3" localSheetId="75">'411'!$K$40</definedName>
    <definedName name="OSRRefE21_2x_3" localSheetId="76">'412'!$K$41</definedName>
    <definedName name="OSRRefE21_2x_3" localSheetId="77">'413'!$K$43</definedName>
    <definedName name="OSRRefE21_2x_3" localSheetId="78">'414'!$K$44</definedName>
    <definedName name="OSRRefE21_2x_3" localSheetId="79">'415'!$K$47</definedName>
    <definedName name="OSRRefE21_2x_3" localSheetId="80">'418'!$K$42</definedName>
    <definedName name="OSRRefE21_2x_3" localSheetId="82">'423'!$K$39</definedName>
    <definedName name="OSRRefE21_2x_3" localSheetId="83">'424'!$K$23</definedName>
    <definedName name="OSRRefE21_2x_3" localSheetId="84">'425'!$K$27</definedName>
    <definedName name="OSRRefE21_2x_3" localSheetId="87">'430'!$K$40</definedName>
    <definedName name="OSRRefE21_2x_3" localSheetId="88">'433'!$K$48</definedName>
    <definedName name="OSRRefE21_2x_3" localSheetId="90">'444'!$K$48</definedName>
    <definedName name="OSRRefE21_2x_3" localSheetId="91">'450'!$K$44</definedName>
    <definedName name="OSRRefE21_2x_3" localSheetId="72">'491'!$K$49</definedName>
    <definedName name="OSRRefE21_2x_3" localSheetId="86">'492'!$K$48</definedName>
    <definedName name="OSRRefE21_2x_3" localSheetId="93">'501'!$K$43</definedName>
    <definedName name="OSRRefE21_2x_3" localSheetId="39">'Div 2'!$K$42</definedName>
    <definedName name="OSRRefE21_2x_3" localSheetId="47">'Div 3'!$K$137</definedName>
    <definedName name="OSRRefE21_2x_3" localSheetId="70">'Div 4'!$K$52</definedName>
    <definedName name="OSRRefE21_2x_3" localSheetId="92">'Div 5'!$K$43</definedName>
    <definedName name="OSRRefE21_2x_3" localSheetId="61">'Div 6'!$K$70</definedName>
    <definedName name="OSRRefE21_2x_3" localSheetId="2">Summary!$K$164</definedName>
    <definedName name="OSRRefE21_2x_4" localSheetId="40">'200'!$L$23</definedName>
    <definedName name="OSRRefE21_2x_4" localSheetId="41">'201'!$L$40</definedName>
    <definedName name="OSRRefE21_2x_4" localSheetId="42">'202'!$L$40</definedName>
    <definedName name="OSRRefE21_2x_4" localSheetId="43">'203'!$L$41</definedName>
    <definedName name="OSRRefE21_2x_4" localSheetId="44">'204'!$L$41</definedName>
    <definedName name="OSRRefE21_2x_4" localSheetId="45">'205'!$L$40</definedName>
    <definedName name="OSRRefE21_2x_4" localSheetId="46">'206'!$L$40</definedName>
    <definedName name="OSRRefE21_2x_4" localSheetId="48">'300'!$L$133</definedName>
    <definedName name="OSRRefE21_2x_4" localSheetId="49">'300 &amp; 317'!$L$155</definedName>
    <definedName name="OSRRefE21_2x_4" localSheetId="50">'301'!$L$40:$L$41</definedName>
    <definedName name="OSRRefE21_2x_4" localSheetId="52">'307'!$L$58</definedName>
    <definedName name="OSRRefE21_2x_4" localSheetId="53">'308'!$L$75</definedName>
    <definedName name="OSRRefE21_2x_4" localSheetId="64">'309'!$L$41</definedName>
    <definedName name="OSRRefE21_2x_4" localSheetId="63">'310'!$L$47</definedName>
    <definedName name="OSRRefE21_2x_4" localSheetId="71">'310 &amp; 491'!$L$52</definedName>
    <definedName name="OSRRefE21_2x_4" localSheetId="54">'311'!$L$74</definedName>
    <definedName name="OSRRefE21_2x_4" localSheetId="65">'313'!$L$41</definedName>
    <definedName name="OSRRefE21_2x_4" localSheetId="57">'315'!$L$97</definedName>
    <definedName name="OSRRefE21_2x_4" localSheetId="60">'316'!$L$50</definedName>
    <definedName name="OSRRefE21_2x_4" localSheetId="62">'317'!$L$70</definedName>
    <definedName name="OSRRefE21_2x_4" localSheetId="66">'321'!$L$43</definedName>
    <definedName name="OSRRefE21_2x_4" localSheetId="67">'322'!$L$42</definedName>
    <definedName name="OSRRefE21_2x_4" localSheetId="68">'325'!$L$41</definedName>
    <definedName name="OSRRefE21_2x_4" localSheetId="58">'326'!$L$64</definedName>
    <definedName name="OSRRefE21_2x_4" localSheetId="51">'330'!$L$58</definedName>
    <definedName name="OSRRefE21_2x_4" localSheetId="56">'331'!$L$97</definedName>
    <definedName name="OSRRefE21_2x_4" localSheetId="59">'332'!$L$50</definedName>
    <definedName name="OSRRefE21_2x_4" localSheetId="73">'405'!$L$42</definedName>
    <definedName name="OSRRefE21_2x_4" localSheetId="74">'406'!$L$23</definedName>
    <definedName name="OSRRefE21_2x_4" localSheetId="75">'411'!$L$40</definedName>
    <definedName name="OSRRefE21_2x_4" localSheetId="76">'412'!$L$41</definedName>
    <definedName name="OSRRefE21_2x_4" localSheetId="77">'413'!$L$43</definedName>
    <definedName name="OSRRefE21_2x_4" localSheetId="78">'414'!$L$44</definedName>
    <definedName name="OSRRefE21_2x_4" localSheetId="79">'415'!$L$47</definedName>
    <definedName name="OSRRefE21_2x_4" localSheetId="80">'418'!$L$42</definedName>
    <definedName name="OSRRefE21_2x_4" localSheetId="82">'423'!$L$39</definedName>
    <definedName name="OSRRefE21_2x_4" localSheetId="83">'424'!$L$23</definedName>
    <definedName name="OSRRefE21_2x_4" localSheetId="84">'425'!$L$27</definedName>
    <definedName name="OSRRefE21_2x_4" localSheetId="87">'430'!$L$40</definedName>
    <definedName name="OSRRefE21_2x_4" localSheetId="88">'433'!$L$48</definedName>
    <definedName name="OSRRefE21_2x_4" localSheetId="90">'444'!$L$48</definedName>
    <definedName name="OSRRefE21_2x_4" localSheetId="91">'450'!$L$44</definedName>
    <definedName name="OSRRefE21_2x_4" localSheetId="72">'491'!$L$49</definedName>
    <definedName name="OSRRefE21_2x_4" localSheetId="86">'492'!$L$48</definedName>
    <definedName name="OSRRefE21_2x_4" localSheetId="93">'501'!$L$43</definedName>
    <definedName name="OSRRefE21_2x_4" localSheetId="39">'Div 2'!$L$42</definedName>
    <definedName name="OSRRefE21_2x_4" localSheetId="47">'Div 3'!$L$137</definedName>
    <definedName name="OSRRefE21_2x_4" localSheetId="70">'Div 4'!$L$52</definedName>
    <definedName name="OSRRefE21_2x_4" localSheetId="92">'Div 5'!$L$43</definedName>
    <definedName name="OSRRefE21_2x_4" localSheetId="61">'Div 6'!$L$70</definedName>
    <definedName name="OSRRefE21_2x_4" localSheetId="2">Summary!$L$164</definedName>
    <definedName name="OSRRefE21_2x_5" localSheetId="40">'200'!$M$23</definedName>
    <definedName name="OSRRefE21_2x_5" localSheetId="41">'201'!$M$40</definedName>
    <definedName name="OSRRefE21_2x_5" localSheetId="42">'202'!$M$40</definedName>
    <definedName name="OSRRefE21_2x_5" localSheetId="43">'203'!$M$41</definedName>
    <definedName name="OSRRefE21_2x_5" localSheetId="44">'204'!$M$41</definedName>
    <definedName name="OSRRefE21_2x_5" localSheetId="45">'205'!$M$40</definedName>
    <definedName name="OSRRefE21_2x_5" localSheetId="46">'206'!$M$40</definedName>
    <definedName name="OSRRefE21_2x_5" localSheetId="48">'300'!$M$133</definedName>
    <definedName name="OSRRefE21_2x_5" localSheetId="49">'300 &amp; 317'!$M$155</definedName>
    <definedName name="OSRRefE21_2x_5" localSheetId="50">'301'!$M$40:$M$41</definedName>
    <definedName name="OSRRefE21_2x_5" localSheetId="52">'307'!$M$58</definedName>
    <definedName name="OSRRefE21_2x_5" localSheetId="53">'308'!$M$75</definedName>
    <definedName name="OSRRefE21_2x_5" localSheetId="64">'309'!$M$41</definedName>
    <definedName name="OSRRefE21_2x_5" localSheetId="63">'310'!$M$47</definedName>
    <definedName name="OSRRefE21_2x_5" localSheetId="71">'310 &amp; 491'!$M$52</definedName>
    <definedName name="OSRRefE21_2x_5" localSheetId="54">'311'!$M$74</definedName>
    <definedName name="OSRRefE21_2x_5" localSheetId="65">'313'!$M$41</definedName>
    <definedName name="OSRRefE21_2x_5" localSheetId="57">'315'!$M$97</definedName>
    <definedName name="OSRRefE21_2x_5" localSheetId="60">'316'!$M$50</definedName>
    <definedName name="OSRRefE21_2x_5" localSheetId="62">'317'!$M$70</definedName>
    <definedName name="OSRRefE21_2x_5" localSheetId="66">'321'!$M$43</definedName>
    <definedName name="OSRRefE21_2x_5" localSheetId="67">'322'!$M$42</definedName>
    <definedName name="OSRRefE21_2x_5" localSheetId="68">'325'!$M$41</definedName>
    <definedName name="OSRRefE21_2x_5" localSheetId="58">'326'!$M$64</definedName>
    <definedName name="OSRRefE21_2x_5" localSheetId="51">'330'!$M$58</definedName>
    <definedName name="OSRRefE21_2x_5" localSheetId="56">'331'!$M$97</definedName>
    <definedName name="OSRRefE21_2x_5" localSheetId="59">'332'!$M$50</definedName>
    <definedName name="OSRRefE21_2x_5" localSheetId="73">'405'!$M$42</definedName>
    <definedName name="OSRRefE21_2x_5" localSheetId="74">'406'!$M$23</definedName>
    <definedName name="OSRRefE21_2x_5" localSheetId="75">'411'!$M$40</definedName>
    <definedName name="OSRRefE21_2x_5" localSheetId="76">'412'!$M$41</definedName>
    <definedName name="OSRRefE21_2x_5" localSheetId="77">'413'!$M$43</definedName>
    <definedName name="OSRRefE21_2x_5" localSheetId="78">'414'!$M$44</definedName>
    <definedName name="OSRRefE21_2x_5" localSheetId="79">'415'!$M$47</definedName>
    <definedName name="OSRRefE21_2x_5" localSheetId="80">'418'!$M$42</definedName>
    <definedName name="OSRRefE21_2x_5" localSheetId="82">'423'!$M$39</definedName>
    <definedName name="OSRRefE21_2x_5" localSheetId="83">'424'!$M$23</definedName>
    <definedName name="OSRRefE21_2x_5" localSheetId="84">'425'!$M$27</definedName>
    <definedName name="OSRRefE21_2x_5" localSheetId="87">'430'!$M$40</definedName>
    <definedName name="OSRRefE21_2x_5" localSheetId="88">'433'!$M$48</definedName>
    <definedName name="OSRRefE21_2x_5" localSheetId="90">'444'!$M$48</definedName>
    <definedName name="OSRRefE21_2x_5" localSheetId="91">'450'!$M$44</definedName>
    <definedName name="OSRRefE21_2x_5" localSheetId="72">'491'!$M$49</definedName>
    <definedName name="OSRRefE21_2x_5" localSheetId="86">'492'!$M$48</definedName>
    <definedName name="OSRRefE21_2x_5" localSheetId="93">'501'!$M$43</definedName>
    <definedName name="OSRRefE21_2x_5" localSheetId="39">'Div 2'!$M$42</definedName>
    <definedName name="OSRRefE21_2x_5" localSheetId="47">'Div 3'!$M$137</definedName>
    <definedName name="OSRRefE21_2x_5" localSheetId="70">'Div 4'!$M$52</definedName>
    <definedName name="OSRRefE21_2x_5" localSheetId="92">'Div 5'!$M$43</definedName>
    <definedName name="OSRRefE21_2x_5" localSheetId="61">'Div 6'!$M$70</definedName>
    <definedName name="OSRRefE21_2x_5" localSheetId="2">Summary!$M$164</definedName>
    <definedName name="OSRRefE21_2x_6" localSheetId="40">'200'!$N$23</definedName>
    <definedName name="OSRRefE21_2x_6" localSheetId="41">'201'!$N$40</definedName>
    <definedName name="OSRRefE21_2x_6" localSheetId="42">'202'!$N$40</definedName>
    <definedName name="OSRRefE21_2x_6" localSheetId="43">'203'!$N$41</definedName>
    <definedName name="OSRRefE21_2x_6" localSheetId="44">'204'!$N$41</definedName>
    <definedName name="OSRRefE21_2x_6" localSheetId="45">'205'!$N$40</definedName>
    <definedName name="OSRRefE21_2x_6" localSheetId="46">'206'!$N$40</definedName>
    <definedName name="OSRRefE21_2x_6" localSheetId="48">'300'!$N$133</definedName>
    <definedName name="OSRRefE21_2x_6" localSheetId="49">'300 &amp; 317'!$N$155</definedName>
    <definedName name="OSRRefE21_2x_6" localSheetId="50">'301'!$N$40:$N$41</definedName>
    <definedName name="OSRRefE21_2x_6" localSheetId="52">'307'!$N$58</definedName>
    <definedName name="OSRRefE21_2x_6" localSheetId="53">'308'!$N$75</definedName>
    <definedName name="OSRRefE21_2x_6" localSheetId="64">'309'!$N$41</definedName>
    <definedName name="OSRRefE21_2x_6" localSheetId="63">'310'!$N$47</definedName>
    <definedName name="OSRRefE21_2x_6" localSheetId="71">'310 &amp; 491'!$N$52</definedName>
    <definedName name="OSRRefE21_2x_6" localSheetId="54">'311'!$N$74</definedName>
    <definedName name="OSRRefE21_2x_6" localSheetId="65">'313'!$N$41</definedName>
    <definedName name="OSRRefE21_2x_6" localSheetId="57">'315'!$N$97</definedName>
    <definedName name="OSRRefE21_2x_6" localSheetId="60">'316'!$N$50</definedName>
    <definedName name="OSRRefE21_2x_6" localSheetId="62">'317'!$N$70</definedName>
    <definedName name="OSRRefE21_2x_6" localSheetId="66">'321'!$N$43</definedName>
    <definedName name="OSRRefE21_2x_6" localSheetId="67">'322'!$N$42</definedName>
    <definedName name="OSRRefE21_2x_6" localSheetId="68">'325'!$N$41</definedName>
    <definedName name="OSRRefE21_2x_6" localSheetId="58">'326'!$N$64</definedName>
    <definedName name="OSRRefE21_2x_6" localSheetId="51">'330'!$N$58</definedName>
    <definedName name="OSRRefE21_2x_6" localSheetId="56">'331'!$N$97</definedName>
    <definedName name="OSRRefE21_2x_6" localSheetId="59">'332'!$N$50</definedName>
    <definedName name="OSRRefE21_2x_6" localSheetId="73">'405'!$N$42</definedName>
    <definedName name="OSRRefE21_2x_6" localSheetId="74">'406'!$N$23</definedName>
    <definedName name="OSRRefE21_2x_6" localSheetId="75">'411'!$N$40</definedName>
    <definedName name="OSRRefE21_2x_6" localSheetId="76">'412'!$N$41</definedName>
    <definedName name="OSRRefE21_2x_6" localSheetId="77">'413'!$N$43</definedName>
    <definedName name="OSRRefE21_2x_6" localSheetId="78">'414'!$N$44</definedName>
    <definedName name="OSRRefE21_2x_6" localSheetId="79">'415'!$N$47</definedName>
    <definedName name="OSRRefE21_2x_6" localSheetId="80">'418'!$N$42</definedName>
    <definedName name="OSRRefE21_2x_6" localSheetId="82">'423'!$N$39</definedName>
    <definedName name="OSRRefE21_2x_6" localSheetId="83">'424'!$N$23</definedName>
    <definedName name="OSRRefE21_2x_6" localSheetId="84">'425'!$N$27</definedName>
    <definedName name="OSRRefE21_2x_6" localSheetId="87">'430'!$N$40</definedName>
    <definedName name="OSRRefE21_2x_6" localSheetId="88">'433'!$N$48</definedName>
    <definedName name="OSRRefE21_2x_6" localSheetId="90">'444'!$N$48</definedName>
    <definedName name="OSRRefE21_2x_6" localSheetId="91">'450'!$N$44</definedName>
    <definedName name="OSRRefE21_2x_6" localSheetId="72">'491'!$N$49</definedName>
    <definedName name="OSRRefE21_2x_6" localSheetId="86">'492'!$N$48</definedName>
    <definedName name="OSRRefE21_2x_6" localSheetId="93">'501'!$N$43</definedName>
    <definedName name="OSRRefE21_2x_6" localSheetId="39">'Div 2'!$N$42</definedName>
    <definedName name="OSRRefE21_2x_6" localSheetId="47">'Div 3'!$N$137</definedName>
    <definedName name="OSRRefE21_2x_6" localSheetId="70">'Div 4'!$N$52</definedName>
    <definedName name="OSRRefE21_2x_6" localSheetId="92">'Div 5'!$N$43</definedName>
    <definedName name="OSRRefE21_2x_6" localSheetId="61">'Div 6'!$N$70</definedName>
    <definedName name="OSRRefE21_2x_6" localSheetId="2">Summary!$N$164</definedName>
    <definedName name="OSRRefE21_2x_7" localSheetId="40">'200'!$O$23</definedName>
    <definedName name="OSRRefE21_2x_7" localSheetId="41">'201'!$O$40</definedName>
    <definedName name="OSRRefE21_2x_7" localSheetId="42">'202'!$O$40</definedName>
    <definedName name="OSRRefE21_2x_7" localSheetId="43">'203'!$O$41</definedName>
    <definedName name="OSRRefE21_2x_7" localSheetId="44">'204'!$O$41</definedName>
    <definedName name="OSRRefE21_2x_7" localSheetId="45">'205'!$O$40</definedName>
    <definedName name="OSRRefE21_2x_7" localSheetId="46">'206'!$O$40</definedName>
    <definedName name="OSRRefE21_2x_7" localSheetId="48">'300'!$O$133</definedName>
    <definedName name="OSRRefE21_2x_7" localSheetId="49">'300 &amp; 317'!$O$155</definedName>
    <definedName name="OSRRefE21_2x_7" localSheetId="50">'301'!$O$40:$O$41</definedName>
    <definedName name="OSRRefE21_2x_7" localSheetId="52">'307'!$O$58</definedName>
    <definedName name="OSRRefE21_2x_7" localSheetId="53">'308'!$O$75</definedName>
    <definedName name="OSRRefE21_2x_7" localSheetId="64">'309'!$O$41</definedName>
    <definedName name="OSRRefE21_2x_7" localSheetId="63">'310'!$O$47</definedName>
    <definedName name="OSRRefE21_2x_7" localSheetId="71">'310 &amp; 491'!$O$52</definedName>
    <definedName name="OSRRefE21_2x_7" localSheetId="54">'311'!$O$74</definedName>
    <definedName name="OSRRefE21_2x_7" localSheetId="65">'313'!$O$41</definedName>
    <definedName name="OSRRefE21_2x_7" localSheetId="57">'315'!$O$97</definedName>
    <definedName name="OSRRefE21_2x_7" localSheetId="60">'316'!$O$50</definedName>
    <definedName name="OSRRefE21_2x_7" localSheetId="62">'317'!$O$70</definedName>
    <definedName name="OSRRefE21_2x_7" localSheetId="66">'321'!$O$43</definedName>
    <definedName name="OSRRefE21_2x_7" localSheetId="67">'322'!$O$42</definedName>
    <definedName name="OSRRefE21_2x_7" localSheetId="68">'325'!$O$41</definedName>
    <definedName name="OSRRefE21_2x_7" localSheetId="58">'326'!$O$64</definedName>
    <definedName name="OSRRefE21_2x_7" localSheetId="51">'330'!$O$58</definedName>
    <definedName name="OSRRefE21_2x_7" localSheetId="56">'331'!$O$97</definedName>
    <definedName name="OSRRefE21_2x_7" localSheetId="59">'332'!$O$50</definedName>
    <definedName name="OSRRefE21_2x_7" localSheetId="73">'405'!$O$42</definedName>
    <definedName name="OSRRefE21_2x_7" localSheetId="74">'406'!$O$23</definedName>
    <definedName name="OSRRefE21_2x_7" localSheetId="75">'411'!$O$40</definedName>
    <definedName name="OSRRefE21_2x_7" localSheetId="76">'412'!$O$41</definedName>
    <definedName name="OSRRefE21_2x_7" localSheetId="77">'413'!$O$43</definedName>
    <definedName name="OSRRefE21_2x_7" localSheetId="78">'414'!$O$44</definedName>
    <definedName name="OSRRefE21_2x_7" localSheetId="79">'415'!$O$47</definedName>
    <definedName name="OSRRefE21_2x_7" localSheetId="80">'418'!$O$42</definedName>
    <definedName name="OSRRefE21_2x_7" localSheetId="82">'423'!$O$39</definedName>
    <definedName name="OSRRefE21_2x_7" localSheetId="83">'424'!$O$23</definedName>
    <definedName name="OSRRefE21_2x_7" localSheetId="84">'425'!$O$27</definedName>
    <definedName name="OSRRefE21_2x_7" localSheetId="87">'430'!$O$40</definedName>
    <definedName name="OSRRefE21_2x_7" localSheetId="88">'433'!$O$48</definedName>
    <definedName name="OSRRefE21_2x_7" localSheetId="90">'444'!$O$48</definedName>
    <definedName name="OSRRefE21_2x_7" localSheetId="91">'450'!$O$44</definedName>
    <definedName name="OSRRefE21_2x_7" localSheetId="72">'491'!$O$49</definedName>
    <definedName name="OSRRefE21_2x_7" localSheetId="86">'492'!$O$48</definedName>
    <definedName name="OSRRefE21_2x_7" localSheetId="93">'501'!$O$43</definedName>
    <definedName name="OSRRefE21_2x_7" localSheetId="39">'Div 2'!$O$42</definedName>
    <definedName name="OSRRefE21_2x_7" localSheetId="47">'Div 3'!$O$137</definedName>
    <definedName name="OSRRefE21_2x_7" localSheetId="70">'Div 4'!$O$52</definedName>
    <definedName name="OSRRefE21_2x_7" localSheetId="92">'Div 5'!$O$43</definedName>
    <definedName name="OSRRefE21_2x_7" localSheetId="61">'Div 6'!$O$70</definedName>
    <definedName name="OSRRefE21_2x_7" localSheetId="2">Summary!$O$164</definedName>
    <definedName name="OSRRefE21_3_0x" localSheetId="40">'200'!$H$25:$O$25</definedName>
    <definedName name="OSRRefE21_3_0x" localSheetId="41">'201'!$H$42:$O$42</definedName>
    <definedName name="OSRRefE21_3_0x" localSheetId="42">'202'!$H$42:$O$42</definedName>
    <definedName name="OSRRefE21_3_0x" localSheetId="43">'203'!$H$43:$O$43</definedName>
    <definedName name="OSRRefE21_3_0x" localSheetId="44">'204'!$H$43:$O$43</definedName>
    <definedName name="OSRRefE21_3_0x" localSheetId="45">'205'!$H$42:$O$42</definedName>
    <definedName name="OSRRefE21_3_0x" localSheetId="46">'206'!$H$42:$O$42</definedName>
    <definedName name="OSRRefE21_3_0x" localSheetId="48">'300'!$H$135:$O$135</definedName>
    <definedName name="OSRRefE21_3_0x" localSheetId="49">'300 &amp; 317'!$H$157:$O$157</definedName>
    <definedName name="OSRRefE21_3_0x" localSheetId="50">'301'!$H$43:$O$43</definedName>
    <definedName name="OSRRefE21_3_0x" localSheetId="52">'307'!$H$60:$O$60</definedName>
    <definedName name="OSRRefE21_3_0x" localSheetId="53">'308'!$H$77:$O$77</definedName>
    <definedName name="OSRRefE21_3_0x" localSheetId="64">'309'!$H$43:$O$43</definedName>
    <definedName name="OSRRefE21_3_0x" localSheetId="63">'310'!$H$49:$O$49</definedName>
    <definedName name="OSRRefE21_3_0x" localSheetId="71">'310 &amp; 491'!$H$54:$O$54</definedName>
    <definedName name="OSRRefE21_3_0x" localSheetId="54">'311'!$H$76:$O$76</definedName>
    <definedName name="OSRRefE21_3_0x" localSheetId="65">'313'!$H$43:$O$43</definedName>
    <definedName name="OSRRefE21_3_0x" localSheetId="57">'315'!$H$99:$O$99</definedName>
    <definedName name="OSRRefE21_3_0x" localSheetId="60">'316'!$H$52:$O$52</definedName>
    <definedName name="OSRRefE21_3_0x" localSheetId="62">'317'!$H$72:$O$72</definedName>
    <definedName name="OSRRefE21_3_0x" localSheetId="66">'321'!$H$45:$O$45</definedName>
    <definedName name="OSRRefE21_3_0x" localSheetId="67">'322'!$H$44:$O$44</definedName>
    <definedName name="OSRRefE21_3_0x" localSheetId="68">'325'!$H$43:$O$43</definedName>
    <definedName name="OSRRefE21_3_0x" localSheetId="58">'326'!$H$66:$O$66</definedName>
    <definedName name="OSRRefE21_3_0x" localSheetId="51">'330'!$H$60:$O$60</definedName>
    <definedName name="OSRRefE21_3_0x" localSheetId="56">'331'!$H$99:$O$99</definedName>
    <definedName name="OSRRefE21_3_0x" localSheetId="59">'332'!$H$52:$O$52</definedName>
    <definedName name="OSRRefE21_3_0x" localSheetId="73">'405'!$H$44:$O$44</definedName>
    <definedName name="OSRRefE21_3_0x" localSheetId="74">'406'!$H$25:$O$25</definedName>
    <definedName name="OSRRefE21_3_0x" localSheetId="75">'411'!$H$42:$O$42</definedName>
    <definedName name="OSRRefE21_3_0x" localSheetId="76">'412'!$H$43:$O$43</definedName>
    <definedName name="OSRRefE21_3_0x" localSheetId="77">'413'!$H$45:$O$45</definedName>
    <definedName name="OSRRefE21_3_0x" localSheetId="78">'414'!$H$46:$O$46</definedName>
    <definedName name="OSRRefE21_3_0x" localSheetId="79">'415'!$H$49:$O$49</definedName>
    <definedName name="OSRRefE21_3_0x" localSheetId="80">'418'!$H$44:$O$44</definedName>
    <definedName name="OSRRefE21_3_0x" localSheetId="82">'423'!$H$41:$O$41</definedName>
    <definedName name="OSRRefE21_3_0x" localSheetId="83">'424'!$H$25:$O$25</definedName>
    <definedName name="OSRRefE21_3_0x" localSheetId="84">'425'!$H$29:$O$29</definedName>
    <definedName name="OSRRefE21_3_0x" localSheetId="87">'430'!$H$42:$O$42</definedName>
    <definedName name="OSRRefE21_3_0x" localSheetId="88">'433'!$H$50:$O$50</definedName>
    <definedName name="OSRRefE21_3_0x" localSheetId="90">'444'!$H$50:$O$50</definedName>
    <definedName name="OSRRefE21_3_0x" localSheetId="91">'450'!$H$46:$O$46</definedName>
    <definedName name="OSRRefE21_3_0x" localSheetId="72">'491'!$H$51:$O$51</definedName>
    <definedName name="OSRRefE21_3_0x" localSheetId="86">'492'!$H$50:$O$50</definedName>
    <definedName name="OSRRefE21_3_0x" localSheetId="93">'501'!$H$45:$O$45</definedName>
    <definedName name="OSRRefE21_3_0x" localSheetId="39">'Div 2'!$H$44:$O$44</definedName>
    <definedName name="OSRRefE21_3_0x" localSheetId="47">'Div 3'!$H$139:$O$139</definedName>
    <definedName name="OSRRefE21_3_0x" localSheetId="70">'Div 4'!$H$54:$O$54</definedName>
    <definedName name="OSRRefE21_3_0x" localSheetId="92">'Div 5'!$H$45:$O$45</definedName>
    <definedName name="OSRRefE21_3_0x" localSheetId="61">'Div 6'!$H$72:$O$72</definedName>
    <definedName name="OSRRefE21_3_0x" localSheetId="2">Summary!$H$166:$O$166</definedName>
    <definedName name="OSRRefE21_3_1x" localSheetId="48">'300'!$H$136:$O$136</definedName>
    <definedName name="OSRRefE21_3_1x" localSheetId="49">'300 &amp; 317'!$H$158:$O$158</definedName>
    <definedName name="OSRRefE21_3_1x" localSheetId="82">'423'!$H$42:$O$42</definedName>
    <definedName name="OSRRefE21_3_1x" localSheetId="47">'Div 3'!$H$140:$O$140</definedName>
    <definedName name="OSRRefE21_3_1x" localSheetId="2">Summary!$H$167:$O$167</definedName>
    <definedName name="OSRRefE21_3x_0" localSheetId="40">'200'!$H$25</definedName>
    <definedName name="OSRRefE21_3x_0" localSheetId="41">'201'!$H$42</definedName>
    <definedName name="OSRRefE21_3x_0" localSheetId="42">'202'!$H$42</definedName>
    <definedName name="OSRRefE21_3x_0" localSheetId="43">'203'!$H$43</definedName>
    <definedName name="OSRRefE21_3x_0" localSheetId="44">'204'!$H$43</definedName>
    <definedName name="OSRRefE21_3x_0" localSheetId="45">'205'!$H$42</definedName>
    <definedName name="OSRRefE21_3x_0" localSheetId="46">'206'!$H$42</definedName>
    <definedName name="OSRRefE21_3x_0" localSheetId="48">'300'!$H$135:$H$136</definedName>
    <definedName name="OSRRefE21_3x_0" localSheetId="49">'300 &amp; 317'!$H$157:$H$158</definedName>
    <definedName name="OSRRefE21_3x_0" localSheetId="50">'301'!$H$43</definedName>
    <definedName name="OSRRefE21_3x_0" localSheetId="52">'307'!$H$60</definedName>
    <definedName name="OSRRefE21_3x_0" localSheetId="53">'308'!$H$77</definedName>
    <definedName name="OSRRefE21_3x_0" localSheetId="64">'309'!$H$43</definedName>
    <definedName name="OSRRefE21_3x_0" localSheetId="63">'310'!$H$49</definedName>
    <definedName name="OSRRefE21_3x_0" localSheetId="71">'310 &amp; 491'!$H$54</definedName>
    <definedName name="OSRRefE21_3x_0" localSheetId="54">'311'!$H$76</definedName>
    <definedName name="OSRRefE21_3x_0" localSheetId="65">'313'!$H$43</definedName>
    <definedName name="OSRRefE21_3x_0" localSheetId="57">'315'!$H$99</definedName>
    <definedName name="OSRRefE21_3x_0" localSheetId="60">'316'!$H$52</definedName>
    <definedName name="OSRRefE21_3x_0" localSheetId="62">'317'!$H$72</definedName>
    <definedName name="OSRRefE21_3x_0" localSheetId="66">'321'!$H$45</definedName>
    <definedName name="OSRRefE21_3x_0" localSheetId="67">'322'!$H$44</definedName>
    <definedName name="OSRRefE21_3x_0" localSheetId="68">'325'!$H$43</definedName>
    <definedName name="OSRRefE21_3x_0" localSheetId="58">'326'!$H$66</definedName>
    <definedName name="OSRRefE21_3x_0" localSheetId="51">'330'!$H$60</definedName>
    <definedName name="OSRRefE21_3x_0" localSheetId="56">'331'!$H$99</definedName>
    <definedName name="OSRRefE21_3x_0" localSheetId="59">'332'!$H$52</definedName>
    <definedName name="OSRRefE21_3x_0" localSheetId="73">'405'!$H$44</definedName>
    <definedName name="OSRRefE21_3x_0" localSheetId="74">'406'!$H$25</definedName>
    <definedName name="OSRRefE21_3x_0" localSheetId="75">'411'!$H$42</definedName>
    <definedName name="OSRRefE21_3x_0" localSheetId="76">'412'!$H$43</definedName>
    <definedName name="OSRRefE21_3x_0" localSheetId="77">'413'!$H$45</definedName>
    <definedName name="OSRRefE21_3x_0" localSheetId="78">'414'!$H$46</definedName>
    <definedName name="OSRRefE21_3x_0" localSheetId="79">'415'!$H$49</definedName>
    <definedName name="OSRRefE21_3x_0" localSheetId="80">'418'!$H$44</definedName>
    <definedName name="OSRRefE21_3x_0" localSheetId="82">'423'!$H$41:$H$42</definedName>
    <definedName name="OSRRefE21_3x_0" localSheetId="83">'424'!$H$25</definedName>
    <definedName name="OSRRefE21_3x_0" localSheetId="84">'425'!$H$29</definedName>
    <definedName name="OSRRefE21_3x_0" localSheetId="87">'430'!$H$42</definedName>
    <definedName name="OSRRefE21_3x_0" localSheetId="88">'433'!$H$50</definedName>
    <definedName name="OSRRefE21_3x_0" localSheetId="90">'444'!$H$50</definedName>
    <definedName name="OSRRefE21_3x_0" localSheetId="91">'450'!$H$46</definedName>
    <definedName name="OSRRefE21_3x_0" localSheetId="72">'491'!$H$51</definedName>
    <definedName name="OSRRefE21_3x_0" localSheetId="86">'492'!$H$50</definedName>
    <definedName name="OSRRefE21_3x_0" localSheetId="93">'501'!$H$45</definedName>
    <definedName name="OSRRefE21_3x_0" localSheetId="39">'Div 2'!$H$44</definedName>
    <definedName name="OSRRefE21_3x_0" localSheetId="47">'Div 3'!$H$139:$H$140</definedName>
    <definedName name="OSRRefE21_3x_0" localSheetId="70">'Div 4'!$H$54</definedName>
    <definedName name="OSRRefE21_3x_0" localSheetId="92">'Div 5'!$H$45</definedName>
    <definedName name="OSRRefE21_3x_0" localSheetId="61">'Div 6'!$H$72</definedName>
    <definedName name="OSRRefE21_3x_0" localSheetId="2">Summary!$H$166:$H$167</definedName>
    <definedName name="OSRRefE21_3x_1" localSheetId="40">'200'!$I$25</definedName>
    <definedName name="OSRRefE21_3x_1" localSheetId="41">'201'!$I$42</definedName>
    <definedName name="OSRRefE21_3x_1" localSheetId="42">'202'!$I$42</definedName>
    <definedName name="OSRRefE21_3x_1" localSheetId="43">'203'!$I$43</definedName>
    <definedName name="OSRRefE21_3x_1" localSheetId="44">'204'!$I$43</definedName>
    <definedName name="OSRRefE21_3x_1" localSheetId="45">'205'!$I$42</definedName>
    <definedName name="OSRRefE21_3x_1" localSheetId="46">'206'!$I$42</definedName>
    <definedName name="OSRRefE21_3x_1" localSheetId="48">'300'!$I$135:$I$136</definedName>
    <definedName name="OSRRefE21_3x_1" localSheetId="49">'300 &amp; 317'!$I$157:$I$158</definedName>
    <definedName name="OSRRefE21_3x_1" localSheetId="50">'301'!$I$43</definedName>
    <definedName name="OSRRefE21_3x_1" localSheetId="52">'307'!$I$60</definedName>
    <definedName name="OSRRefE21_3x_1" localSheetId="53">'308'!$I$77</definedName>
    <definedName name="OSRRefE21_3x_1" localSheetId="64">'309'!$I$43</definedName>
    <definedName name="OSRRefE21_3x_1" localSheetId="63">'310'!$I$49</definedName>
    <definedName name="OSRRefE21_3x_1" localSheetId="71">'310 &amp; 491'!$I$54</definedName>
    <definedName name="OSRRefE21_3x_1" localSheetId="54">'311'!$I$76</definedName>
    <definedName name="OSRRefE21_3x_1" localSheetId="65">'313'!$I$43</definedName>
    <definedName name="OSRRefE21_3x_1" localSheetId="57">'315'!$I$99</definedName>
    <definedName name="OSRRefE21_3x_1" localSheetId="60">'316'!$I$52</definedName>
    <definedName name="OSRRefE21_3x_1" localSheetId="62">'317'!$I$72</definedName>
    <definedName name="OSRRefE21_3x_1" localSheetId="66">'321'!$I$45</definedName>
    <definedName name="OSRRefE21_3x_1" localSheetId="67">'322'!$I$44</definedName>
    <definedName name="OSRRefE21_3x_1" localSheetId="68">'325'!$I$43</definedName>
    <definedName name="OSRRefE21_3x_1" localSheetId="58">'326'!$I$66</definedName>
    <definedName name="OSRRefE21_3x_1" localSheetId="51">'330'!$I$60</definedName>
    <definedName name="OSRRefE21_3x_1" localSheetId="56">'331'!$I$99</definedName>
    <definedName name="OSRRefE21_3x_1" localSheetId="59">'332'!$I$52</definedName>
    <definedName name="OSRRefE21_3x_1" localSheetId="73">'405'!$I$44</definedName>
    <definedName name="OSRRefE21_3x_1" localSheetId="74">'406'!$I$25</definedName>
    <definedName name="OSRRefE21_3x_1" localSheetId="75">'411'!$I$42</definedName>
    <definedName name="OSRRefE21_3x_1" localSheetId="76">'412'!$I$43</definedName>
    <definedName name="OSRRefE21_3x_1" localSheetId="77">'413'!$I$45</definedName>
    <definedName name="OSRRefE21_3x_1" localSheetId="78">'414'!$I$46</definedName>
    <definedName name="OSRRefE21_3x_1" localSheetId="79">'415'!$I$49</definedName>
    <definedName name="OSRRefE21_3x_1" localSheetId="80">'418'!$I$44</definedName>
    <definedName name="OSRRefE21_3x_1" localSheetId="82">'423'!$I$41:$I$42</definedName>
    <definedName name="OSRRefE21_3x_1" localSheetId="83">'424'!$I$25</definedName>
    <definedName name="OSRRefE21_3x_1" localSheetId="84">'425'!$I$29</definedName>
    <definedName name="OSRRefE21_3x_1" localSheetId="87">'430'!$I$42</definedName>
    <definedName name="OSRRefE21_3x_1" localSheetId="88">'433'!$I$50</definedName>
    <definedName name="OSRRefE21_3x_1" localSheetId="90">'444'!$I$50</definedName>
    <definedName name="OSRRefE21_3x_1" localSheetId="91">'450'!$I$46</definedName>
    <definedName name="OSRRefE21_3x_1" localSheetId="72">'491'!$I$51</definedName>
    <definedName name="OSRRefE21_3x_1" localSheetId="86">'492'!$I$50</definedName>
    <definedName name="OSRRefE21_3x_1" localSheetId="93">'501'!$I$45</definedName>
    <definedName name="OSRRefE21_3x_1" localSheetId="39">'Div 2'!$I$44</definedName>
    <definedName name="OSRRefE21_3x_1" localSheetId="47">'Div 3'!$I$139:$I$140</definedName>
    <definedName name="OSRRefE21_3x_1" localSheetId="70">'Div 4'!$I$54</definedName>
    <definedName name="OSRRefE21_3x_1" localSheetId="92">'Div 5'!$I$45</definedName>
    <definedName name="OSRRefE21_3x_1" localSheetId="61">'Div 6'!$I$72</definedName>
    <definedName name="OSRRefE21_3x_1" localSheetId="2">Summary!$I$166:$I$167</definedName>
    <definedName name="OSRRefE21_3x_2" localSheetId="40">'200'!$J$25</definedName>
    <definedName name="OSRRefE21_3x_2" localSheetId="41">'201'!$J$42</definedName>
    <definedName name="OSRRefE21_3x_2" localSheetId="42">'202'!$J$42</definedName>
    <definedName name="OSRRefE21_3x_2" localSheetId="43">'203'!$J$43</definedName>
    <definedName name="OSRRefE21_3x_2" localSheetId="44">'204'!$J$43</definedName>
    <definedName name="OSRRefE21_3x_2" localSheetId="45">'205'!$J$42</definedName>
    <definedName name="OSRRefE21_3x_2" localSheetId="46">'206'!$J$42</definedName>
    <definedName name="OSRRefE21_3x_2" localSheetId="48">'300'!$J$135:$J$136</definedName>
    <definedName name="OSRRefE21_3x_2" localSheetId="49">'300 &amp; 317'!$J$157:$J$158</definedName>
    <definedName name="OSRRefE21_3x_2" localSheetId="50">'301'!$J$43</definedName>
    <definedName name="OSRRefE21_3x_2" localSheetId="52">'307'!$J$60</definedName>
    <definedName name="OSRRefE21_3x_2" localSheetId="53">'308'!$J$77</definedName>
    <definedName name="OSRRefE21_3x_2" localSheetId="64">'309'!$J$43</definedName>
    <definedName name="OSRRefE21_3x_2" localSheetId="63">'310'!$J$49</definedName>
    <definedName name="OSRRefE21_3x_2" localSheetId="71">'310 &amp; 491'!$J$54</definedName>
    <definedName name="OSRRefE21_3x_2" localSheetId="54">'311'!$J$76</definedName>
    <definedName name="OSRRefE21_3x_2" localSheetId="65">'313'!$J$43</definedName>
    <definedName name="OSRRefE21_3x_2" localSheetId="57">'315'!$J$99</definedName>
    <definedName name="OSRRefE21_3x_2" localSheetId="60">'316'!$J$52</definedName>
    <definedName name="OSRRefE21_3x_2" localSheetId="62">'317'!$J$72</definedName>
    <definedName name="OSRRefE21_3x_2" localSheetId="66">'321'!$J$45</definedName>
    <definedName name="OSRRefE21_3x_2" localSheetId="67">'322'!$J$44</definedName>
    <definedName name="OSRRefE21_3x_2" localSheetId="68">'325'!$J$43</definedName>
    <definedName name="OSRRefE21_3x_2" localSheetId="58">'326'!$J$66</definedName>
    <definedName name="OSRRefE21_3x_2" localSheetId="51">'330'!$J$60</definedName>
    <definedName name="OSRRefE21_3x_2" localSheetId="56">'331'!$J$99</definedName>
    <definedName name="OSRRefE21_3x_2" localSheetId="59">'332'!$J$52</definedName>
    <definedName name="OSRRefE21_3x_2" localSheetId="73">'405'!$J$44</definedName>
    <definedName name="OSRRefE21_3x_2" localSheetId="74">'406'!$J$25</definedName>
    <definedName name="OSRRefE21_3x_2" localSheetId="75">'411'!$J$42</definedName>
    <definedName name="OSRRefE21_3x_2" localSheetId="76">'412'!$J$43</definedName>
    <definedName name="OSRRefE21_3x_2" localSheetId="77">'413'!$J$45</definedName>
    <definedName name="OSRRefE21_3x_2" localSheetId="78">'414'!$J$46</definedName>
    <definedName name="OSRRefE21_3x_2" localSheetId="79">'415'!$J$49</definedName>
    <definedName name="OSRRefE21_3x_2" localSheetId="80">'418'!$J$44</definedName>
    <definedName name="OSRRefE21_3x_2" localSheetId="82">'423'!$J$41:$J$42</definedName>
    <definedName name="OSRRefE21_3x_2" localSheetId="83">'424'!$J$25</definedName>
    <definedName name="OSRRefE21_3x_2" localSheetId="84">'425'!$J$29</definedName>
    <definedName name="OSRRefE21_3x_2" localSheetId="87">'430'!$J$42</definedName>
    <definedName name="OSRRefE21_3x_2" localSheetId="88">'433'!$J$50</definedName>
    <definedName name="OSRRefE21_3x_2" localSheetId="90">'444'!$J$50</definedName>
    <definedName name="OSRRefE21_3x_2" localSheetId="91">'450'!$J$46</definedName>
    <definedName name="OSRRefE21_3x_2" localSheetId="72">'491'!$J$51</definedName>
    <definedName name="OSRRefE21_3x_2" localSheetId="86">'492'!$J$50</definedName>
    <definedName name="OSRRefE21_3x_2" localSheetId="93">'501'!$J$45</definedName>
    <definedName name="OSRRefE21_3x_2" localSheetId="39">'Div 2'!$J$44</definedName>
    <definedName name="OSRRefE21_3x_2" localSheetId="47">'Div 3'!$J$139:$J$140</definedName>
    <definedName name="OSRRefE21_3x_2" localSheetId="70">'Div 4'!$J$54</definedName>
    <definedName name="OSRRefE21_3x_2" localSheetId="92">'Div 5'!$J$45</definedName>
    <definedName name="OSRRefE21_3x_2" localSheetId="61">'Div 6'!$J$72</definedName>
    <definedName name="OSRRefE21_3x_2" localSheetId="2">Summary!$J$166:$J$167</definedName>
    <definedName name="OSRRefE21_3x_3" localSheetId="40">'200'!$K$25</definedName>
    <definedName name="OSRRefE21_3x_3" localSheetId="41">'201'!$K$42</definedName>
    <definedName name="OSRRefE21_3x_3" localSheetId="42">'202'!$K$42</definedName>
    <definedName name="OSRRefE21_3x_3" localSheetId="43">'203'!$K$43</definedName>
    <definedName name="OSRRefE21_3x_3" localSheetId="44">'204'!$K$43</definedName>
    <definedName name="OSRRefE21_3x_3" localSheetId="45">'205'!$K$42</definedName>
    <definedName name="OSRRefE21_3x_3" localSheetId="46">'206'!$K$42</definedName>
    <definedName name="OSRRefE21_3x_3" localSheetId="48">'300'!$K$135:$K$136</definedName>
    <definedName name="OSRRefE21_3x_3" localSheetId="49">'300 &amp; 317'!$K$157:$K$158</definedName>
    <definedName name="OSRRefE21_3x_3" localSheetId="50">'301'!$K$43</definedName>
    <definedName name="OSRRefE21_3x_3" localSheetId="52">'307'!$K$60</definedName>
    <definedName name="OSRRefE21_3x_3" localSheetId="53">'308'!$K$77</definedName>
    <definedName name="OSRRefE21_3x_3" localSheetId="64">'309'!$K$43</definedName>
    <definedName name="OSRRefE21_3x_3" localSheetId="63">'310'!$K$49</definedName>
    <definedName name="OSRRefE21_3x_3" localSheetId="71">'310 &amp; 491'!$K$54</definedName>
    <definedName name="OSRRefE21_3x_3" localSheetId="54">'311'!$K$76</definedName>
    <definedName name="OSRRefE21_3x_3" localSheetId="65">'313'!$K$43</definedName>
    <definedName name="OSRRefE21_3x_3" localSheetId="57">'315'!$K$99</definedName>
    <definedName name="OSRRefE21_3x_3" localSheetId="60">'316'!$K$52</definedName>
    <definedName name="OSRRefE21_3x_3" localSheetId="62">'317'!$K$72</definedName>
    <definedName name="OSRRefE21_3x_3" localSheetId="66">'321'!$K$45</definedName>
    <definedName name="OSRRefE21_3x_3" localSheetId="67">'322'!$K$44</definedName>
    <definedName name="OSRRefE21_3x_3" localSheetId="68">'325'!$K$43</definedName>
    <definedName name="OSRRefE21_3x_3" localSheetId="58">'326'!$K$66</definedName>
    <definedName name="OSRRefE21_3x_3" localSheetId="51">'330'!$K$60</definedName>
    <definedName name="OSRRefE21_3x_3" localSheetId="56">'331'!$K$99</definedName>
    <definedName name="OSRRefE21_3x_3" localSheetId="59">'332'!$K$52</definedName>
    <definedName name="OSRRefE21_3x_3" localSheetId="73">'405'!$K$44</definedName>
    <definedName name="OSRRefE21_3x_3" localSheetId="74">'406'!$K$25</definedName>
    <definedName name="OSRRefE21_3x_3" localSheetId="75">'411'!$K$42</definedName>
    <definedName name="OSRRefE21_3x_3" localSheetId="76">'412'!$K$43</definedName>
    <definedName name="OSRRefE21_3x_3" localSheetId="77">'413'!$K$45</definedName>
    <definedName name="OSRRefE21_3x_3" localSheetId="78">'414'!$K$46</definedName>
    <definedName name="OSRRefE21_3x_3" localSheetId="79">'415'!$K$49</definedName>
    <definedName name="OSRRefE21_3x_3" localSheetId="80">'418'!$K$44</definedName>
    <definedName name="OSRRefE21_3x_3" localSheetId="82">'423'!$K$41:$K$42</definedName>
    <definedName name="OSRRefE21_3x_3" localSheetId="83">'424'!$K$25</definedName>
    <definedName name="OSRRefE21_3x_3" localSheetId="84">'425'!$K$29</definedName>
    <definedName name="OSRRefE21_3x_3" localSheetId="87">'430'!$K$42</definedName>
    <definedName name="OSRRefE21_3x_3" localSheetId="88">'433'!$K$50</definedName>
    <definedName name="OSRRefE21_3x_3" localSheetId="90">'444'!$K$50</definedName>
    <definedName name="OSRRefE21_3x_3" localSheetId="91">'450'!$K$46</definedName>
    <definedName name="OSRRefE21_3x_3" localSheetId="72">'491'!$K$51</definedName>
    <definedName name="OSRRefE21_3x_3" localSheetId="86">'492'!$K$50</definedName>
    <definedName name="OSRRefE21_3x_3" localSheetId="93">'501'!$K$45</definedName>
    <definedName name="OSRRefE21_3x_3" localSheetId="39">'Div 2'!$K$44</definedName>
    <definedName name="OSRRefE21_3x_3" localSheetId="47">'Div 3'!$K$139:$K$140</definedName>
    <definedName name="OSRRefE21_3x_3" localSheetId="70">'Div 4'!$K$54</definedName>
    <definedName name="OSRRefE21_3x_3" localSheetId="92">'Div 5'!$K$45</definedName>
    <definedName name="OSRRefE21_3x_3" localSheetId="61">'Div 6'!$K$72</definedName>
    <definedName name="OSRRefE21_3x_3" localSheetId="2">Summary!$K$166:$K$167</definedName>
    <definedName name="OSRRefE21_3x_4" localSheetId="40">'200'!$L$25</definedName>
    <definedName name="OSRRefE21_3x_4" localSheetId="41">'201'!$L$42</definedName>
    <definedName name="OSRRefE21_3x_4" localSheetId="42">'202'!$L$42</definedName>
    <definedName name="OSRRefE21_3x_4" localSheetId="43">'203'!$L$43</definedName>
    <definedName name="OSRRefE21_3x_4" localSheetId="44">'204'!$L$43</definedName>
    <definedName name="OSRRefE21_3x_4" localSheetId="45">'205'!$L$42</definedName>
    <definedName name="OSRRefE21_3x_4" localSheetId="46">'206'!$L$42</definedName>
    <definedName name="OSRRefE21_3x_4" localSheetId="48">'300'!$L$135:$L$136</definedName>
    <definedName name="OSRRefE21_3x_4" localSheetId="49">'300 &amp; 317'!$L$157:$L$158</definedName>
    <definedName name="OSRRefE21_3x_4" localSheetId="50">'301'!$L$43</definedName>
    <definedName name="OSRRefE21_3x_4" localSheetId="52">'307'!$L$60</definedName>
    <definedName name="OSRRefE21_3x_4" localSheetId="53">'308'!$L$77</definedName>
    <definedName name="OSRRefE21_3x_4" localSheetId="64">'309'!$L$43</definedName>
    <definedName name="OSRRefE21_3x_4" localSheetId="63">'310'!$L$49</definedName>
    <definedName name="OSRRefE21_3x_4" localSheetId="71">'310 &amp; 491'!$L$54</definedName>
    <definedName name="OSRRefE21_3x_4" localSheetId="54">'311'!$L$76</definedName>
    <definedName name="OSRRefE21_3x_4" localSheetId="65">'313'!$L$43</definedName>
    <definedName name="OSRRefE21_3x_4" localSheetId="57">'315'!$L$99</definedName>
    <definedName name="OSRRefE21_3x_4" localSheetId="60">'316'!$L$52</definedName>
    <definedName name="OSRRefE21_3x_4" localSheetId="62">'317'!$L$72</definedName>
    <definedName name="OSRRefE21_3x_4" localSheetId="66">'321'!$L$45</definedName>
    <definedName name="OSRRefE21_3x_4" localSheetId="67">'322'!$L$44</definedName>
    <definedName name="OSRRefE21_3x_4" localSheetId="68">'325'!$L$43</definedName>
    <definedName name="OSRRefE21_3x_4" localSheetId="58">'326'!$L$66</definedName>
    <definedName name="OSRRefE21_3x_4" localSheetId="51">'330'!$L$60</definedName>
    <definedName name="OSRRefE21_3x_4" localSheetId="56">'331'!$L$99</definedName>
    <definedName name="OSRRefE21_3x_4" localSheetId="59">'332'!$L$52</definedName>
    <definedName name="OSRRefE21_3x_4" localSheetId="73">'405'!$L$44</definedName>
    <definedName name="OSRRefE21_3x_4" localSheetId="74">'406'!$L$25</definedName>
    <definedName name="OSRRefE21_3x_4" localSheetId="75">'411'!$L$42</definedName>
    <definedName name="OSRRefE21_3x_4" localSheetId="76">'412'!$L$43</definedName>
    <definedName name="OSRRefE21_3x_4" localSheetId="77">'413'!$L$45</definedName>
    <definedName name="OSRRefE21_3x_4" localSheetId="78">'414'!$L$46</definedName>
    <definedName name="OSRRefE21_3x_4" localSheetId="79">'415'!$L$49</definedName>
    <definedName name="OSRRefE21_3x_4" localSheetId="80">'418'!$L$44</definedName>
    <definedName name="OSRRefE21_3x_4" localSheetId="82">'423'!$L$41:$L$42</definedName>
    <definedName name="OSRRefE21_3x_4" localSheetId="83">'424'!$L$25</definedName>
    <definedName name="OSRRefE21_3x_4" localSheetId="84">'425'!$L$29</definedName>
    <definedName name="OSRRefE21_3x_4" localSheetId="87">'430'!$L$42</definedName>
    <definedName name="OSRRefE21_3x_4" localSheetId="88">'433'!$L$50</definedName>
    <definedName name="OSRRefE21_3x_4" localSheetId="90">'444'!$L$50</definedName>
    <definedName name="OSRRefE21_3x_4" localSheetId="91">'450'!$L$46</definedName>
    <definedName name="OSRRefE21_3x_4" localSheetId="72">'491'!$L$51</definedName>
    <definedName name="OSRRefE21_3x_4" localSheetId="86">'492'!$L$50</definedName>
    <definedName name="OSRRefE21_3x_4" localSheetId="93">'501'!$L$45</definedName>
    <definedName name="OSRRefE21_3x_4" localSheetId="39">'Div 2'!$L$44</definedName>
    <definedName name="OSRRefE21_3x_4" localSheetId="47">'Div 3'!$L$139:$L$140</definedName>
    <definedName name="OSRRefE21_3x_4" localSheetId="70">'Div 4'!$L$54</definedName>
    <definedName name="OSRRefE21_3x_4" localSheetId="92">'Div 5'!$L$45</definedName>
    <definedName name="OSRRefE21_3x_4" localSheetId="61">'Div 6'!$L$72</definedName>
    <definedName name="OSRRefE21_3x_4" localSheetId="2">Summary!$L$166:$L$167</definedName>
    <definedName name="OSRRefE21_3x_5" localSheetId="40">'200'!$M$25</definedName>
    <definedName name="OSRRefE21_3x_5" localSheetId="41">'201'!$M$42</definedName>
    <definedName name="OSRRefE21_3x_5" localSheetId="42">'202'!$M$42</definedName>
    <definedName name="OSRRefE21_3x_5" localSheetId="43">'203'!$M$43</definedName>
    <definedName name="OSRRefE21_3x_5" localSheetId="44">'204'!$M$43</definedName>
    <definedName name="OSRRefE21_3x_5" localSheetId="45">'205'!$M$42</definedName>
    <definedName name="OSRRefE21_3x_5" localSheetId="46">'206'!$M$42</definedName>
    <definedName name="OSRRefE21_3x_5" localSheetId="48">'300'!$M$135:$M$136</definedName>
    <definedName name="OSRRefE21_3x_5" localSheetId="49">'300 &amp; 317'!$M$157:$M$158</definedName>
    <definedName name="OSRRefE21_3x_5" localSheetId="50">'301'!$M$43</definedName>
    <definedName name="OSRRefE21_3x_5" localSheetId="52">'307'!$M$60</definedName>
    <definedName name="OSRRefE21_3x_5" localSheetId="53">'308'!$M$77</definedName>
    <definedName name="OSRRefE21_3x_5" localSheetId="64">'309'!$M$43</definedName>
    <definedName name="OSRRefE21_3x_5" localSheetId="63">'310'!$M$49</definedName>
    <definedName name="OSRRefE21_3x_5" localSheetId="71">'310 &amp; 491'!$M$54</definedName>
    <definedName name="OSRRefE21_3x_5" localSheetId="54">'311'!$M$76</definedName>
    <definedName name="OSRRefE21_3x_5" localSheetId="65">'313'!$M$43</definedName>
    <definedName name="OSRRefE21_3x_5" localSheetId="57">'315'!$M$99</definedName>
    <definedName name="OSRRefE21_3x_5" localSheetId="60">'316'!$M$52</definedName>
    <definedName name="OSRRefE21_3x_5" localSheetId="62">'317'!$M$72</definedName>
    <definedName name="OSRRefE21_3x_5" localSheetId="66">'321'!$M$45</definedName>
    <definedName name="OSRRefE21_3x_5" localSheetId="67">'322'!$M$44</definedName>
    <definedName name="OSRRefE21_3x_5" localSheetId="68">'325'!$M$43</definedName>
    <definedName name="OSRRefE21_3x_5" localSheetId="58">'326'!$M$66</definedName>
    <definedName name="OSRRefE21_3x_5" localSheetId="51">'330'!$M$60</definedName>
    <definedName name="OSRRefE21_3x_5" localSheetId="56">'331'!$M$99</definedName>
    <definedName name="OSRRefE21_3x_5" localSheetId="59">'332'!$M$52</definedName>
    <definedName name="OSRRefE21_3x_5" localSheetId="73">'405'!$M$44</definedName>
    <definedName name="OSRRefE21_3x_5" localSheetId="74">'406'!$M$25</definedName>
    <definedName name="OSRRefE21_3x_5" localSheetId="75">'411'!$M$42</definedName>
    <definedName name="OSRRefE21_3x_5" localSheetId="76">'412'!$M$43</definedName>
    <definedName name="OSRRefE21_3x_5" localSheetId="77">'413'!$M$45</definedName>
    <definedName name="OSRRefE21_3x_5" localSheetId="78">'414'!$M$46</definedName>
    <definedName name="OSRRefE21_3x_5" localSheetId="79">'415'!$M$49</definedName>
    <definedName name="OSRRefE21_3x_5" localSheetId="80">'418'!$M$44</definedName>
    <definedName name="OSRRefE21_3x_5" localSheetId="82">'423'!$M$41:$M$42</definedName>
    <definedName name="OSRRefE21_3x_5" localSheetId="83">'424'!$M$25</definedName>
    <definedName name="OSRRefE21_3x_5" localSheetId="84">'425'!$M$29</definedName>
    <definedName name="OSRRefE21_3x_5" localSheetId="87">'430'!$M$42</definedName>
    <definedName name="OSRRefE21_3x_5" localSheetId="88">'433'!$M$50</definedName>
    <definedName name="OSRRefE21_3x_5" localSheetId="90">'444'!$M$50</definedName>
    <definedName name="OSRRefE21_3x_5" localSheetId="91">'450'!$M$46</definedName>
    <definedName name="OSRRefE21_3x_5" localSheetId="72">'491'!$M$51</definedName>
    <definedName name="OSRRefE21_3x_5" localSheetId="86">'492'!$M$50</definedName>
    <definedName name="OSRRefE21_3x_5" localSheetId="93">'501'!$M$45</definedName>
    <definedName name="OSRRefE21_3x_5" localSheetId="39">'Div 2'!$M$44</definedName>
    <definedName name="OSRRefE21_3x_5" localSheetId="47">'Div 3'!$M$139:$M$140</definedName>
    <definedName name="OSRRefE21_3x_5" localSheetId="70">'Div 4'!$M$54</definedName>
    <definedName name="OSRRefE21_3x_5" localSheetId="92">'Div 5'!$M$45</definedName>
    <definedName name="OSRRefE21_3x_5" localSheetId="61">'Div 6'!$M$72</definedName>
    <definedName name="OSRRefE21_3x_5" localSheetId="2">Summary!$M$166:$M$167</definedName>
    <definedName name="OSRRefE21_3x_6" localSheetId="40">'200'!$N$25</definedName>
    <definedName name="OSRRefE21_3x_6" localSheetId="41">'201'!$N$42</definedName>
    <definedName name="OSRRefE21_3x_6" localSheetId="42">'202'!$N$42</definedName>
    <definedName name="OSRRefE21_3x_6" localSheetId="43">'203'!$N$43</definedName>
    <definedName name="OSRRefE21_3x_6" localSheetId="44">'204'!$N$43</definedName>
    <definedName name="OSRRefE21_3x_6" localSheetId="45">'205'!$N$42</definedName>
    <definedName name="OSRRefE21_3x_6" localSheetId="46">'206'!$N$42</definedName>
    <definedName name="OSRRefE21_3x_6" localSheetId="48">'300'!$N$135:$N$136</definedName>
    <definedName name="OSRRefE21_3x_6" localSheetId="49">'300 &amp; 317'!$N$157:$N$158</definedName>
    <definedName name="OSRRefE21_3x_6" localSheetId="50">'301'!$N$43</definedName>
    <definedName name="OSRRefE21_3x_6" localSheetId="52">'307'!$N$60</definedName>
    <definedName name="OSRRefE21_3x_6" localSheetId="53">'308'!$N$77</definedName>
    <definedName name="OSRRefE21_3x_6" localSheetId="64">'309'!$N$43</definedName>
    <definedName name="OSRRefE21_3x_6" localSheetId="63">'310'!$N$49</definedName>
    <definedName name="OSRRefE21_3x_6" localSheetId="71">'310 &amp; 491'!$N$54</definedName>
    <definedName name="OSRRefE21_3x_6" localSheetId="54">'311'!$N$76</definedName>
    <definedName name="OSRRefE21_3x_6" localSheetId="65">'313'!$N$43</definedName>
    <definedName name="OSRRefE21_3x_6" localSheetId="57">'315'!$N$99</definedName>
    <definedName name="OSRRefE21_3x_6" localSheetId="60">'316'!$N$52</definedName>
    <definedName name="OSRRefE21_3x_6" localSheetId="62">'317'!$N$72</definedName>
    <definedName name="OSRRefE21_3x_6" localSheetId="66">'321'!$N$45</definedName>
    <definedName name="OSRRefE21_3x_6" localSheetId="67">'322'!$N$44</definedName>
    <definedName name="OSRRefE21_3x_6" localSheetId="68">'325'!$N$43</definedName>
    <definedName name="OSRRefE21_3x_6" localSheetId="58">'326'!$N$66</definedName>
    <definedName name="OSRRefE21_3x_6" localSheetId="51">'330'!$N$60</definedName>
    <definedName name="OSRRefE21_3x_6" localSheetId="56">'331'!$N$99</definedName>
    <definedName name="OSRRefE21_3x_6" localSheetId="59">'332'!$N$52</definedName>
    <definedName name="OSRRefE21_3x_6" localSheetId="73">'405'!$N$44</definedName>
    <definedName name="OSRRefE21_3x_6" localSheetId="74">'406'!$N$25</definedName>
    <definedName name="OSRRefE21_3x_6" localSheetId="75">'411'!$N$42</definedName>
    <definedName name="OSRRefE21_3x_6" localSheetId="76">'412'!$N$43</definedName>
    <definedName name="OSRRefE21_3x_6" localSheetId="77">'413'!$N$45</definedName>
    <definedName name="OSRRefE21_3x_6" localSheetId="78">'414'!$N$46</definedName>
    <definedName name="OSRRefE21_3x_6" localSheetId="79">'415'!$N$49</definedName>
    <definedName name="OSRRefE21_3x_6" localSheetId="80">'418'!$N$44</definedName>
    <definedName name="OSRRefE21_3x_6" localSheetId="82">'423'!$N$41:$N$42</definedName>
    <definedName name="OSRRefE21_3x_6" localSheetId="83">'424'!$N$25</definedName>
    <definedName name="OSRRefE21_3x_6" localSheetId="84">'425'!$N$29</definedName>
    <definedName name="OSRRefE21_3x_6" localSheetId="87">'430'!$N$42</definedName>
    <definedName name="OSRRefE21_3x_6" localSheetId="88">'433'!$N$50</definedName>
    <definedName name="OSRRefE21_3x_6" localSheetId="90">'444'!$N$50</definedName>
    <definedName name="OSRRefE21_3x_6" localSheetId="91">'450'!$N$46</definedName>
    <definedName name="OSRRefE21_3x_6" localSheetId="72">'491'!$N$51</definedName>
    <definedName name="OSRRefE21_3x_6" localSheetId="86">'492'!$N$50</definedName>
    <definedName name="OSRRefE21_3x_6" localSheetId="93">'501'!$N$45</definedName>
    <definedName name="OSRRefE21_3x_6" localSheetId="39">'Div 2'!$N$44</definedName>
    <definedName name="OSRRefE21_3x_6" localSheetId="47">'Div 3'!$N$139:$N$140</definedName>
    <definedName name="OSRRefE21_3x_6" localSheetId="70">'Div 4'!$N$54</definedName>
    <definedName name="OSRRefE21_3x_6" localSheetId="92">'Div 5'!$N$45</definedName>
    <definedName name="OSRRefE21_3x_6" localSheetId="61">'Div 6'!$N$72</definedName>
    <definedName name="OSRRefE21_3x_6" localSheetId="2">Summary!$N$166:$N$167</definedName>
    <definedName name="OSRRefE21_3x_7" localSheetId="40">'200'!$O$25</definedName>
    <definedName name="OSRRefE21_3x_7" localSheetId="41">'201'!$O$42</definedName>
    <definedName name="OSRRefE21_3x_7" localSheetId="42">'202'!$O$42</definedName>
    <definedName name="OSRRefE21_3x_7" localSheetId="43">'203'!$O$43</definedName>
    <definedName name="OSRRefE21_3x_7" localSheetId="44">'204'!$O$43</definedName>
    <definedName name="OSRRefE21_3x_7" localSheetId="45">'205'!$O$42</definedName>
    <definedName name="OSRRefE21_3x_7" localSheetId="46">'206'!$O$42</definedName>
    <definedName name="OSRRefE21_3x_7" localSheetId="48">'300'!$O$135:$O$136</definedName>
    <definedName name="OSRRefE21_3x_7" localSheetId="49">'300 &amp; 317'!$O$157:$O$158</definedName>
    <definedName name="OSRRefE21_3x_7" localSheetId="50">'301'!$O$43</definedName>
    <definedName name="OSRRefE21_3x_7" localSheetId="52">'307'!$O$60</definedName>
    <definedName name="OSRRefE21_3x_7" localSheetId="53">'308'!$O$77</definedName>
    <definedName name="OSRRefE21_3x_7" localSheetId="64">'309'!$O$43</definedName>
    <definedName name="OSRRefE21_3x_7" localSheetId="63">'310'!$O$49</definedName>
    <definedName name="OSRRefE21_3x_7" localSheetId="71">'310 &amp; 491'!$O$54</definedName>
    <definedName name="OSRRefE21_3x_7" localSheetId="54">'311'!$O$76</definedName>
    <definedName name="OSRRefE21_3x_7" localSheetId="65">'313'!$O$43</definedName>
    <definedName name="OSRRefE21_3x_7" localSheetId="57">'315'!$O$99</definedName>
    <definedName name="OSRRefE21_3x_7" localSheetId="60">'316'!$O$52</definedName>
    <definedName name="OSRRefE21_3x_7" localSheetId="62">'317'!$O$72</definedName>
    <definedName name="OSRRefE21_3x_7" localSheetId="66">'321'!$O$45</definedName>
    <definedName name="OSRRefE21_3x_7" localSheetId="67">'322'!$O$44</definedName>
    <definedName name="OSRRefE21_3x_7" localSheetId="68">'325'!$O$43</definedName>
    <definedName name="OSRRefE21_3x_7" localSheetId="58">'326'!$O$66</definedName>
    <definedName name="OSRRefE21_3x_7" localSheetId="51">'330'!$O$60</definedName>
    <definedName name="OSRRefE21_3x_7" localSheetId="56">'331'!$O$99</definedName>
    <definedName name="OSRRefE21_3x_7" localSheetId="59">'332'!$O$52</definedName>
    <definedName name="OSRRefE21_3x_7" localSheetId="73">'405'!$O$44</definedName>
    <definedName name="OSRRefE21_3x_7" localSheetId="74">'406'!$O$25</definedName>
    <definedName name="OSRRefE21_3x_7" localSheetId="75">'411'!$O$42</definedName>
    <definedName name="OSRRefE21_3x_7" localSheetId="76">'412'!$O$43</definedName>
    <definedName name="OSRRefE21_3x_7" localSheetId="77">'413'!$O$45</definedName>
    <definedName name="OSRRefE21_3x_7" localSheetId="78">'414'!$O$46</definedName>
    <definedName name="OSRRefE21_3x_7" localSheetId="79">'415'!$O$49</definedName>
    <definedName name="OSRRefE21_3x_7" localSheetId="80">'418'!$O$44</definedName>
    <definedName name="OSRRefE21_3x_7" localSheetId="82">'423'!$O$41:$O$42</definedName>
    <definedName name="OSRRefE21_3x_7" localSheetId="83">'424'!$O$25</definedName>
    <definedName name="OSRRefE21_3x_7" localSheetId="84">'425'!$O$29</definedName>
    <definedName name="OSRRefE21_3x_7" localSheetId="87">'430'!$O$42</definedName>
    <definedName name="OSRRefE21_3x_7" localSheetId="88">'433'!$O$50</definedName>
    <definedName name="OSRRefE21_3x_7" localSheetId="90">'444'!$O$50</definedName>
    <definedName name="OSRRefE21_3x_7" localSheetId="91">'450'!$O$46</definedName>
    <definedName name="OSRRefE21_3x_7" localSheetId="72">'491'!$O$51</definedName>
    <definedName name="OSRRefE21_3x_7" localSheetId="86">'492'!$O$50</definedName>
    <definedName name="OSRRefE21_3x_7" localSheetId="93">'501'!$O$45</definedName>
    <definedName name="OSRRefE21_3x_7" localSheetId="39">'Div 2'!$O$44</definedName>
    <definedName name="OSRRefE21_3x_7" localSheetId="47">'Div 3'!$O$139:$O$140</definedName>
    <definedName name="OSRRefE21_3x_7" localSheetId="70">'Div 4'!$O$54</definedName>
    <definedName name="OSRRefE21_3x_7" localSheetId="92">'Div 5'!$O$45</definedName>
    <definedName name="OSRRefE21_3x_7" localSheetId="61">'Div 6'!$O$72</definedName>
    <definedName name="OSRRefE21_3x_7" localSheetId="2">Summary!$O$166:$O$167</definedName>
    <definedName name="OSRRefE21_4_0x" localSheetId="40">'200'!$H$27:$O$27</definedName>
    <definedName name="OSRRefE21_4_0x" localSheetId="41">'201'!$H$44:$O$44</definedName>
    <definedName name="OSRRefE21_4_0x" localSheetId="42">'202'!$H$44:$O$44</definedName>
    <definedName name="OSRRefE21_4_0x" localSheetId="43">'203'!$H$45:$O$45</definedName>
    <definedName name="OSRRefE21_4_0x" localSheetId="44">'204'!$H$45:$O$45</definedName>
    <definedName name="OSRRefE21_4_0x" localSheetId="45">'205'!$H$44:$O$44</definedName>
    <definedName name="OSRRefE21_4_0x" localSheetId="46">'206'!$H$44:$O$44</definedName>
    <definedName name="OSRRefE21_4_0x" localSheetId="48">'300'!$H$138:$O$138</definedName>
    <definedName name="OSRRefE21_4_0x" localSheetId="49">'300 &amp; 317'!$H$160:$O$160</definedName>
    <definedName name="OSRRefE21_4_0x" localSheetId="50">'301'!$H$45:$O$45</definedName>
    <definedName name="OSRRefE21_4_0x" localSheetId="52">'307'!$H$62:$O$62</definedName>
    <definedName name="OSRRefE21_4_0x" localSheetId="53">'308'!$H$79:$O$79</definedName>
    <definedName name="OSRRefE21_4_0x" localSheetId="64">'309'!$H$45:$O$45</definedName>
    <definedName name="OSRRefE21_4_0x" localSheetId="63">'310'!$H$51:$O$51</definedName>
    <definedName name="OSRRefE21_4_0x" localSheetId="71">'310 &amp; 491'!$H$56:$O$56</definedName>
    <definedName name="OSRRefE21_4_0x" localSheetId="54">'311'!$H$78:$O$78</definedName>
    <definedName name="OSRRefE21_4_0x" localSheetId="65">'313'!$H$45:$O$45</definedName>
    <definedName name="OSRRefE21_4_0x" localSheetId="57">'315'!$H$101:$O$101</definedName>
    <definedName name="OSRRefE21_4_0x" localSheetId="60">'316'!$H$54:$O$54</definedName>
    <definedName name="OSRRefE21_4_0x" localSheetId="62">'317'!$H$74:$O$74</definedName>
    <definedName name="OSRRefE21_4_0x" localSheetId="66">'321'!$H$47:$O$47</definedName>
    <definedName name="OSRRefE21_4_0x" localSheetId="67">'322'!$H$46:$O$46</definedName>
    <definedName name="OSRRefE21_4_0x" localSheetId="68">'325'!$H$45:$O$45</definedName>
    <definedName name="OSRRefE21_4_0x" localSheetId="58">'326'!$H$68:$O$68</definedName>
    <definedName name="OSRRefE21_4_0x" localSheetId="51">'330'!$H$62:$O$62</definedName>
    <definedName name="OSRRefE21_4_0x" localSheetId="56">'331'!$H$101:$O$101</definedName>
    <definedName name="OSRRefE21_4_0x" localSheetId="59">'332'!$H$54:$O$54</definedName>
    <definedName name="OSRRefE21_4_0x" localSheetId="73">'405'!$H$46:$O$46</definedName>
    <definedName name="OSRRefE21_4_0x" localSheetId="74">'406'!$H$27:$O$27</definedName>
    <definedName name="OSRRefE21_4_0x" localSheetId="75">'411'!$H$44:$O$44</definedName>
    <definedName name="OSRRefE21_4_0x" localSheetId="76">'412'!$H$45:$O$45</definedName>
    <definedName name="OSRRefE21_4_0x" localSheetId="77">'413'!$H$47:$O$47</definedName>
    <definedName name="OSRRefE21_4_0x" localSheetId="78">'414'!$H$48:$O$48</definedName>
    <definedName name="OSRRefE21_4_0x" localSheetId="79">'415'!$H$51:$O$51</definedName>
    <definedName name="OSRRefE21_4_0x" localSheetId="80">'418'!$H$46:$O$46</definedName>
    <definedName name="OSRRefE21_4_0x" localSheetId="82">'423'!$H$44:$O$44</definedName>
    <definedName name="OSRRefE21_4_0x" localSheetId="84">'425'!$H$31:$O$31</definedName>
    <definedName name="OSRRefE21_4_0x" localSheetId="87">'430'!$H$44:$O$44</definedName>
    <definedName name="OSRRefE21_4_0x" localSheetId="88">'433'!$H$52:$O$52</definedName>
    <definedName name="OSRRefE21_4_0x" localSheetId="90">'444'!$H$52:$O$52</definedName>
    <definedName name="OSRRefE21_4_0x" localSheetId="91">'450'!$H$48:$O$48</definedName>
    <definedName name="OSRRefE21_4_0x" localSheetId="72">'491'!$H$53:$O$53</definedName>
    <definedName name="OSRRefE21_4_0x" localSheetId="86">'492'!$H$52:$O$52</definedName>
    <definedName name="OSRRefE21_4_0x" localSheetId="93">'501'!$H$47:$O$47</definedName>
    <definedName name="OSRRefE21_4_0x" localSheetId="39">'Div 2'!$H$46:$O$46</definedName>
    <definedName name="OSRRefE21_4_0x" localSheetId="47">'Div 3'!$H$142:$O$142</definedName>
    <definedName name="OSRRefE21_4_0x" localSheetId="70">'Div 4'!$H$56:$O$56</definedName>
    <definedName name="OSRRefE21_4_0x" localSheetId="92">'Div 5'!$H$47:$O$47</definedName>
    <definedName name="OSRRefE21_4_0x" localSheetId="61">'Div 6'!$H$74:$O$74</definedName>
    <definedName name="OSRRefE21_4_0x" localSheetId="2">Summary!$H$169:$O$169</definedName>
    <definedName name="OSRRefE21_4_1x" localSheetId="40">'200'!$H$28:$O$28</definedName>
    <definedName name="OSRRefE21_4_1x" localSheetId="41">'201'!$H$45:$O$45</definedName>
    <definedName name="OSRRefE21_4_1x" localSheetId="42">'202'!$H$45:$O$45</definedName>
    <definedName name="OSRRefE21_4_1x" localSheetId="44">'204'!$H$46:$O$46</definedName>
    <definedName name="OSRRefE21_4_1x" localSheetId="45">'205'!$H$45:$O$45</definedName>
    <definedName name="OSRRefE21_4_1x" localSheetId="50">'301'!$H$46:$O$46</definedName>
    <definedName name="OSRRefE21_4_1x" localSheetId="73">'405'!$H$47:$O$47</definedName>
    <definedName name="OSRRefE21_4_1x" localSheetId="75">'411'!$H$45:$O$45</definedName>
    <definedName name="OSRRefE21_4_1x" localSheetId="76">'412'!$H$46:$O$46</definedName>
    <definedName name="OSRRefE21_4_1x" localSheetId="80">'418'!$H$47:$O$47</definedName>
    <definedName name="OSRRefE21_4_1x" localSheetId="87">'430'!$H$45:$O$45</definedName>
    <definedName name="OSRRefE21_4_2x" localSheetId="44">'204'!$H$47:$O$47</definedName>
    <definedName name="OSRRefE21_4_2x" localSheetId="45">'205'!$H$46:$O$46</definedName>
    <definedName name="OSRRefE21_4_2x" localSheetId="87">'430'!$H$46:$O$46</definedName>
    <definedName name="OSRRefE21_4x_0" localSheetId="40">'200'!$H$27:$H$28</definedName>
    <definedName name="OSRRefE21_4x_0" localSheetId="41">'201'!$H$44:$H$45</definedName>
    <definedName name="OSRRefE21_4x_0" localSheetId="42">'202'!$H$44:$H$45</definedName>
    <definedName name="OSRRefE21_4x_0" localSheetId="43">'203'!$H$45</definedName>
    <definedName name="OSRRefE21_4x_0" localSheetId="44">'204'!$H$45:$H$47</definedName>
    <definedName name="OSRRefE21_4x_0" localSheetId="45">'205'!$H$44:$H$46</definedName>
    <definedName name="OSRRefE21_4x_0" localSheetId="46">'206'!$H$44</definedName>
    <definedName name="OSRRefE21_4x_0" localSheetId="48">'300'!$H$138</definedName>
    <definedName name="OSRRefE21_4x_0" localSheetId="49">'300 &amp; 317'!$H$160</definedName>
    <definedName name="OSRRefE21_4x_0" localSheetId="50">'301'!$H$45:$H$46</definedName>
    <definedName name="OSRRefE21_4x_0" localSheetId="52">'307'!$H$62</definedName>
    <definedName name="OSRRefE21_4x_0" localSheetId="53">'308'!$H$79</definedName>
    <definedName name="OSRRefE21_4x_0" localSheetId="64">'309'!$H$45</definedName>
    <definedName name="OSRRefE21_4x_0" localSheetId="63">'310'!$H$51</definedName>
    <definedName name="OSRRefE21_4x_0" localSheetId="71">'310 &amp; 491'!$H$56</definedName>
    <definedName name="OSRRefE21_4x_0" localSheetId="54">'311'!$H$78</definedName>
    <definedName name="OSRRefE21_4x_0" localSheetId="65">'313'!$H$45</definedName>
    <definedName name="OSRRefE21_4x_0" localSheetId="57">'315'!$H$101</definedName>
    <definedName name="OSRRefE21_4x_0" localSheetId="60">'316'!$H$54</definedName>
    <definedName name="OSRRefE21_4x_0" localSheetId="62">'317'!$H$74</definedName>
    <definedName name="OSRRefE21_4x_0" localSheetId="66">'321'!$H$47</definedName>
    <definedName name="OSRRefE21_4x_0" localSheetId="67">'322'!$H$46</definedName>
    <definedName name="OSRRefE21_4x_0" localSheetId="68">'325'!$H$45</definedName>
    <definedName name="OSRRefE21_4x_0" localSheetId="58">'326'!$H$68</definedName>
    <definedName name="OSRRefE21_4x_0" localSheetId="51">'330'!$H$62</definedName>
    <definedName name="OSRRefE21_4x_0" localSheetId="56">'331'!$H$101</definedName>
    <definedName name="OSRRefE21_4x_0" localSheetId="59">'332'!$H$54</definedName>
    <definedName name="OSRRefE21_4x_0" localSheetId="73">'405'!$H$46:$H$47</definedName>
    <definedName name="OSRRefE21_4x_0" localSheetId="74">'406'!$H$27</definedName>
    <definedName name="OSRRefE21_4x_0" localSheetId="75">'411'!$H$44:$H$45</definedName>
    <definedName name="OSRRefE21_4x_0" localSheetId="76">'412'!$H$45:$H$46</definedName>
    <definedName name="OSRRefE21_4x_0" localSheetId="77">'413'!$H$47</definedName>
    <definedName name="OSRRefE21_4x_0" localSheetId="78">'414'!$H$48</definedName>
    <definedName name="OSRRefE21_4x_0" localSheetId="79">'415'!$H$51</definedName>
    <definedName name="OSRRefE21_4x_0" localSheetId="80">'418'!$H$46:$H$47</definedName>
    <definedName name="OSRRefE21_4x_0" localSheetId="82">'423'!$H$44</definedName>
    <definedName name="OSRRefE21_4x_0" localSheetId="84">'425'!$H$31</definedName>
    <definedName name="OSRRefE21_4x_0" localSheetId="87">'430'!$H$44:$H$46</definedName>
    <definedName name="OSRRefE21_4x_0" localSheetId="88">'433'!$H$52</definedName>
    <definedName name="OSRRefE21_4x_0" localSheetId="90">'444'!$H$52</definedName>
    <definedName name="OSRRefE21_4x_0" localSheetId="91">'450'!$H$48</definedName>
    <definedName name="OSRRefE21_4x_0" localSheetId="72">'491'!$H$53</definedName>
    <definedName name="OSRRefE21_4x_0" localSheetId="86">'492'!$H$52</definedName>
    <definedName name="OSRRefE21_4x_0" localSheetId="93">'501'!$H$47</definedName>
    <definedName name="OSRRefE21_4x_0" localSheetId="39">'Div 2'!$H$46</definedName>
    <definedName name="OSRRefE21_4x_0" localSheetId="47">'Div 3'!$H$142</definedName>
    <definedName name="OSRRefE21_4x_0" localSheetId="70">'Div 4'!$H$56</definedName>
    <definedName name="OSRRefE21_4x_0" localSheetId="92">'Div 5'!$H$47</definedName>
    <definedName name="OSRRefE21_4x_0" localSheetId="61">'Div 6'!$H$74</definedName>
    <definedName name="OSRRefE21_4x_0" localSheetId="2">Summary!$H$169</definedName>
    <definedName name="OSRRefE21_4x_1" localSheetId="40">'200'!$I$27:$I$28</definedName>
    <definedName name="OSRRefE21_4x_1" localSheetId="41">'201'!$I$44:$I$45</definedName>
    <definedName name="OSRRefE21_4x_1" localSheetId="42">'202'!$I$44:$I$45</definedName>
    <definedName name="OSRRefE21_4x_1" localSheetId="43">'203'!$I$45</definedName>
    <definedName name="OSRRefE21_4x_1" localSheetId="44">'204'!$I$45:$I$47</definedName>
    <definedName name="OSRRefE21_4x_1" localSheetId="45">'205'!$I$44:$I$46</definedName>
    <definedName name="OSRRefE21_4x_1" localSheetId="46">'206'!$I$44</definedName>
    <definedName name="OSRRefE21_4x_1" localSheetId="48">'300'!$I$138</definedName>
    <definedName name="OSRRefE21_4x_1" localSheetId="49">'300 &amp; 317'!$I$160</definedName>
    <definedName name="OSRRefE21_4x_1" localSheetId="50">'301'!$I$45:$I$46</definedName>
    <definedName name="OSRRefE21_4x_1" localSheetId="52">'307'!$I$62</definedName>
    <definedName name="OSRRefE21_4x_1" localSheetId="53">'308'!$I$79</definedName>
    <definedName name="OSRRefE21_4x_1" localSheetId="64">'309'!$I$45</definedName>
    <definedName name="OSRRefE21_4x_1" localSheetId="63">'310'!$I$51</definedName>
    <definedName name="OSRRefE21_4x_1" localSheetId="71">'310 &amp; 491'!$I$56</definedName>
    <definedName name="OSRRefE21_4x_1" localSheetId="54">'311'!$I$78</definedName>
    <definedName name="OSRRefE21_4x_1" localSheetId="65">'313'!$I$45</definedName>
    <definedName name="OSRRefE21_4x_1" localSheetId="57">'315'!$I$101</definedName>
    <definedName name="OSRRefE21_4x_1" localSheetId="60">'316'!$I$54</definedName>
    <definedName name="OSRRefE21_4x_1" localSheetId="62">'317'!$I$74</definedName>
    <definedName name="OSRRefE21_4x_1" localSheetId="66">'321'!$I$47</definedName>
    <definedName name="OSRRefE21_4x_1" localSheetId="67">'322'!$I$46</definedName>
    <definedName name="OSRRefE21_4x_1" localSheetId="68">'325'!$I$45</definedName>
    <definedName name="OSRRefE21_4x_1" localSheetId="58">'326'!$I$68</definedName>
    <definedName name="OSRRefE21_4x_1" localSheetId="51">'330'!$I$62</definedName>
    <definedName name="OSRRefE21_4x_1" localSheetId="56">'331'!$I$101</definedName>
    <definedName name="OSRRefE21_4x_1" localSheetId="59">'332'!$I$54</definedName>
    <definedName name="OSRRefE21_4x_1" localSheetId="73">'405'!$I$46:$I$47</definedName>
    <definedName name="OSRRefE21_4x_1" localSheetId="74">'406'!$I$27</definedName>
    <definedName name="OSRRefE21_4x_1" localSheetId="75">'411'!$I$44:$I$45</definedName>
    <definedName name="OSRRefE21_4x_1" localSheetId="76">'412'!$I$45:$I$46</definedName>
    <definedName name="OSRRefE21_4x_1" localSheetId="77">'413'!$I$47</definedName>
    <definedName name="OSRRefE21_4x_1" localSheetId="78">'414'!$I$48</definedName>
    <definedName name="OSRRefE21_4x_1" localSheetId="79">'415'!$I$51</definedName>
    <definedName name="OSRRefE21_4x_1" localSheetId="80">'418'!$I$46:$I$47</definedName>
    <definedName name="OSRRefE21_4x_1" localSheetId="82">'423'!$I$44</definedName>
    <definedName name="OSRRefE21_4x_1" localSheetId="84">'425'!$I$31</definedName>
    <definedName name="OSRRefE21_4x_1" localSheetId="87">'430'!$I$44:$I$46</definedName>
    <definedName name="OSRRefE21_4x_1" localSheetId="88">'433'!$I$52</definedName>
    <definedName name="OSRRefE21_4x_1" localSheetId="90">'444'!$I$52</definedName>
    <definedName name="OSRRefE21_4x_1" localSheetId="91">'450'!$I$48</definedName>
    <definedName name="OSRRefE21_4x_1" localSheetId="72">'491'!$I$53</definedName>
    <definedName name="OSRRefE21_4x_1" localSheetId="86">'492'!$I$52</definedName>
    <definedName name="OSRRefE21_4x_1" localSheetId="93">'501'!$I$47</definedName>
    <definedName name="OSRRefE21_4x_1" localSheetId="39">'Div 2'!$I$46</definedName>
    <definedName name="OSRRefE21_4x_1" localSheetId="47">'Div 3'!$I$142</definedName>
    <definedName name="OSRRefE21_4x_1" localSheetId="70">'Div 4'!$I$56</definedName>
    <definedName name="OSRRefE21_4x_1" localSheetId="92">'Div 5'!$I$47</definedName>
    <definedName name="OSRRefE21_4x_1" localSheetId="61">'Div 6'!$I$74</definedName>
    <definedName name="OSRRefE21_4x_1" localSheetId="2">Summary!$I$169</definedName>
    <definedName name="OSRRefE21_4x_2" localSheetId="40">'200'!$J$27:$J$28</definedName>
    <definedName name="OSRRefE21_4x_2" localSheetId="41">'201'!$J$44:$J$45</definedName>
    <definedName name="OSRRefE21_4x_2" localSheetId="42">'202'!$J$44:$J$45</definedName>
    <definedName name="OSRRefE21_4x_2" localSheetId="43">'203'!$J$45</definedName>
    <definedName name="OSRRefE21_4x_2" localSheetId="44">'204'!$J$45:$J$47</definedName>
    <definedName name="OSRRefE21_4x_2" localSheetId="45">'205'!$J$44:$J$46</definedName>
    <definedName name="OSRRefE21_4x_2" localSheetId="46">'206'!$J$44</definedName>
    <definedName name="OSRRefE21_4x_2" localSheetId="48">'300'!$J$138</definedName>
    <definedName name="OSRRefE21_4x_2" localSheetId="49">'300 &amp; 317'!$J$160</definedName>
    <definedName name="OSRRefE21_4x_2" localSheetId="50">'301'!$J$45:$J$46</definedName>
    <definedName name="OSRRefE21_4x_2" localSheetId="52">'307'!$J$62</definedName>
    <definedName name="OSRRefE21_4x_2" localSheetId="53">'308'!$J$79</definedName>
    <definedName name="OSRRefE21_4x_2" localSheetId="64">'309'!$J$45</definedName>
    <definedName name="OSRRefE21_4x_2" localSheetId="63">'310'!$J$51</definedName>
    <definedName name="OSRRefE21_4x_2" localSheetId="71">'310 &amp; 491'!$J$56</definedName>
    <definedName name="OSRRefE21_4x_2" localSheetId="54">'311'!$J$78</definedName>
    <definedName name="OSRRefE21_4x_2" localSheetId="65">'313'!$J$45</definedName>
    <definedName name="OSRRefE21_4x_2" localSheetId="57">'315'!$J$101</definedName>
    <definedName name="OSRRefE21_4x_2" localSheetId="60">'316'!$J$54</definedName>
    <definedName name="OSRRefE21_4x_2" localSheetId="62">'317'!$J$74</definedName>
    <definedName name="OSRRefE21_4x_2" localSheetId="66">'321'!$J$47</definedName>
    <definedName name="OSRRefE21_4x_2" localSheetId="67">'322'!$J$46</definedName>
    <definedName name="OSRRefE21_4x_2" localSheetId="68">'325'!$J$45</definedName>
    <definedName name="OSRRefE21_4x_2" localSheetId="58">'326'!$J$68</definedName>
    <definedName name="OSRRefE21_4x_2" localSheetId="51">'330'!$J$62</definedName>
    <definedName name="OSRRefE21_4x_2" localSheetId="56">'331'!$J$101</definedName>
    <definedName name="OSRRefE21_4x_2" localSheetId="59">'332'!$J$54</definedName>
    <definedName name="OSRRefE21_4x_2" localSheetId="73">'405'!$J$46:$J$47</definedName>
    <definedName name="OSRRefE21_4x_2" localSheetId="74">'406'!$J$27</definedName>
    <definedName name="OSRRefE21_4x_2" localSheetId="75">'411'!$J$44:$J$45</definedName>
    <definedName name="OSRRefE21_4x_2" localSheetId="76">'412'!$J$45:$J$46</definedName>
    <definedName name="OSRRefE21_4x_2" localSheetId="77">'413'!$J$47</definedName>
    <definedName name="OSRRefE21_4x_2" localSheetId="78">'414'!$J$48</definedName>
    <definedName name="OSRRefE21_4x_2" localSheetId="79">'415'!$J$51</definedName>
    <definedName name="OSRRefE21_4x_2" localSheetId="80">'418'!$J$46:$J$47</definedName>
    <definedName name="OSRRefE21_4x_2" localSheetId="82">'423'!$J$44</definedName>
    <definedName name="OSRRefE21_4x_2" localSheetId="84">'425'!$J$31</definedName>
    <definedName name="OSRRefE21_4x_2" localSheetId="87">'430'!$J$44:$J$46</definedName>
    <definedName name="OSRRefE21_4x_2" localSheetId="88">'433'!$J$52</definedName>
    <definedName name="OSRRefE21_4x_2" localSheetId="90">'444'!$J$52</definedName>
    <definedName name="OSRRefE21_4x_2" localSheetId="91">'450'!$J$48</definedName>
    <definedName name="OSRRefE21_4x_2" localSheetId="72">'491'!$J$53</definedName>
    <definedName name="OSRRefE21_4x_2" localSheetId="86">'492'!$J$52</definedName>
    <definedName name="OSRRefE21_4x_2" localSheetId="93">'501'!$J$47</definedName>
    <definedName name="OSRRefE21_4x_2" localSheetId="39">'Div 2'!$J$46</definedName>
    <definedName name="OSRRefE21_4x_2" localSheetId="47">'Div 3'!$J$142</definedName>
    <definedName name="OSRRefE21_4x_2" localSheetId="70">'Div 4'!$J$56</definedName>
    <definedName name="OSRRefE21_4x_2" localSheetId="92">'Div 5'!$J$47</definedName>
    <definedName name="OSRRefE21_4x_2" localSheetId="61">'Div 6'!$J$74</definedName>
    <definedName name="OSRRefE21_4x_2" localSheetId="2">Summary!$J$169</definedName>
    <definedName name="OSRRefE21_4x_3" localSheetId="40">'200'!$K$27:$K$28</definedName>
    <definedName name="OSRRefE21_4x_3" localSheetId="41">'201'!$K$44:$K$45</definedName>
    <definedName name="OSRRefE21_4x_3" localSheetId="42">'202'!$K$44:$K$45</definedName>
    <definedName name="OSRRefE21_4x_3" localSheetId="43">'203'!$K$45</definedName>
    <definedName name="OSRRefE21_4x_3" localSheetId="44">'204'!$K$45:$K$47</definedName>
    <definedName name="OSRRefE21_4x_3" localSheetId="45">'205'!$K$44:$K$46</definedName>
    <definedName name="OSRRefE21_4x_3" localSheetId="46">'206'!$K$44</definedName>
    <definedName name="OSRRefE21_4x_3" localSheetId="48">'300'!$K$138</definedName>
    <definedName name="OSRRefE21_4x_3" localSheetId="49">'300 &amp; 317'!$K$160</definedName>
    <definedName name="OSRRefE21_4x_3" localSheetId="50">'301'!$K$45:$K$46</definedName>
    <definedName name="OSRRefE21_4x_3" localSheetId="52">'307'!$K$62</definedName>
    <definedName name="OSRRefE21_4x_3" localSheetId="53">'308'!$K$79</definedName>
    <definedName name="OSRRefE21_4x_3" localSheetId="64">'309'!$K$45</definedName>
    <definedName name="OSRRefE21_4x_3" localSheetId="63">'310'!$K$51</definedName>
    <definedName name="OSRRefE21_4x_3" localSheetId="71">'310 &amp; 491'!$K$56</definedName>
    <definedName name="OSRRefE21_4x_3" localSheetId="54">'311'!$K$78</definedName>
    <definedName name="OSRRefE21_4x_3" localSheetId="65">'313'!$K$45</definedName>
    <definedName name="OSRRefE21_4x_3" localSheetId="57">'315'!$K$101</definedName>
    <definedName name="OSRRefE21_4x_3" localSheetId="60">'316'!$K$54</definedName>
    <definedName name="OSRRefE21_4x_3" localSheetId="62">'317'!$K$74</definedName>
    <definedName name="OSRRefE21_4x_3" localSheetId="66">'321'!$K$47</definedName>
    <definedName name="OSRRefE21_4x_3" localSheetId="67">'322'!$K$46</definedName>
    <definedName name="OSRRefE21_4x_3" localSheetId="68">'325'!$K$45</definedName>
    <definedName name="OSRRefE21_4x_3" localSheetId="58">'326'!$K$68</definedName>
    <definedName name="OSRRefE21_4x_3" localSheetId="51">'330'!$K$62</definedName>
    <definedName name="OSRRefE21_4x_3" localSheetId="56">'331'!$K$101</definedName>
    <definedName name="OSRRefE21_4x_3" localSheetId="59">'332'!$K$54</definedName>
    <definedName name="OSRRefE21_4x_3" localSheetId="73">'405'!$K$46:$K$47</definedName>
    <definedName name="OSRRefE21_4x_3" localSheetId="74">'406'!$K$27</definedName>
    <definedName name="OSRRefE21_4x_3" localSheetId="75">'411'!$K$44:$K$45</definedName>
    <definedName name="OSRRefE21_4x_3" localSheetId="76">'412'!$K$45:$K$46</definedName>
    <definedName name="OSRRefE21_4x_3" localSheetId="77">'413'!$K$47</definedName>
    <definedName name="OSRRefE21_4x_3" localSheetId="78">'414'!$K$48</definedName>
    <definedName name="OSRRefE21_4x_3" localSheetId="79">'415'!$K$51</definedName>
    <definedName name="OSRRefE21_4x_3" localSheetId="80">'418'!$K$46:$K$47</definedName>
    <definedName name="OSRRefE21_4x_3" localSheetId="82">'423'!$K$44</definedName>
    <definedName name="OSRRefE21_4x_3" localSheetId="84">'425'!$K$31</definedName>
    <definedName name="OSRRefE21_4x_3" localSheetId="87">'430'!$K$44:$K$46</definedName>
    <definedName name="OSRRefE21_4x_3" localSheetId="88">'433'!$K$52</definedName>
    <definedName name="OSRRefE21_4x_3" localSheetId="90">'444'!$K$52</definedName>
    <definedName name="OSRRefE21_4x_3" localSheetId="91">'450'!$K$48</definedName>
    <definedName name="OSRRefE21_4x_3" localSheetId="72">'491'!$K$53</definedName>
    <definedName name="OSRRefE21_4x_3" localSheetId="86">'492'!$K$52</definedName>
    <definedName name="OSRRefE21_4x_3" localSheetId="93">'501'!$K$47</definedName>
    <definedName name="OSRRefE21_4x_3" localSheetId="39">'Div 2'!$K$46</definedName>
    <definedName name="OSRRefE21_4x_3" localSheetId="47">'Div 3'!$K$142</definedName>
    <definedName name="OSRRefE21_4x_3" localSheetId="70">'Div 4'!$K$56</definedName>
    <definedName name="OSRRefE21_4x_3" localSheetId="92">'Div 5'!$K$47</definedName>
    <definedName name="OSRRefE21_4x_3" localSheetId="61">'Div 6'!$K$74</definedName>
    <definedName name="OSRRefE21_4x_3" localSheetId="2">Summary!$K$169</definedName>
    <definedName name="OSRRefE21_4x_4" localSheetId="40">'200'!$L$27:$L$28</definedName>
    <definedName name="OSRRefE21_4x_4" localSheetId="41">'201'!$L$44:$L$45</definedName>
    <definedName name="OSRRefE21_4x_4" localSheetId="42">'202'!$L$44:$L$45</definedName>
    <definedName name="OSRRefE21_4x_4" localSheetId="43">'203'!$L$45</definedName>
    <definedName name="OSRRefE21_4x_4" localSheetId="44">'204'!$L$45:$L$47</definedName>
    <definedName name="OSRRefE21_4x_4" localSheetId="45">'205'!$L$44:$L$46</definedName>
    <definedName name="OSRRefE21_4x_4" localSheetId="46">'206'!$L$44</definedName>
    <definedName name="OSRRefE21_4x_4" localSheetId="48">'300'!$L$138</definedName>
    <definedName name="OSRRefE21_4x_4" localSheetId="49">'300 &amp; 317'!$L$160</definedName>
    <definedName name="OSRRefE21_4x_4" localSheetId="50">'301'!$L$45:$L$46</definedName>
    <definedName name="OSRRefE21_4x_4" localSheetId="52">'307'!$L$62</definedName>
    <definedName name="OSRRefE21_4x_4" localSheetId="53">'308'!$L$79</definedName>
    <definedName name="OSRRefE21_4x_4" localSheetId="64">'309'!$L$45</definedName>
    <definedName name="OSRRefE21_4x_4" localSheetId="63">'310'!$L$51</definedName>
    <definedName name="OSRRefE21_4x_4" localSheetId="71">'310 &amp; 491'!$L$56</definedName>
    <definedName name="OSRRefE21_4x_4" localSheetId="54">'311'!$L$78</definedName>
    <definedName name="OSRRefE21_4x_4" localSheetId="65">'313'!$L$45</definedName>
    <definedName name="OSRRefE21_4x_4" localSheetId="57">'315'!$L$101</definedName>
    <definedName name="OSRRefE21_4x_4" localSheetId="60">'316'!$L$54</definedName>
    <definedName name="OSRRefE21_4x_4" localSheetId="62">'317'!$L$74</definedName>
    <definedName name="OSRRefE21_4x_4" localSheetId="66">'321'!$L$47</definedName>
    <definedName name="OSRRefE21_4x_4" localSheetId="67">'322'!$L$46</definedName>
    <definedName name="OSRRefE21_4x_4" localSheetId="68">'325'!$L$45</definedName>
    <definedName name="OSRRefE21_4x_4" localSheetId="58">'326'!$L$68</definedName>
    <definedName name="OSRRefE21_4x_4" localSheetId="51">'330'!$L$62</definedName>
    <definedName name="OSRRefE21_4x_4" localSheetId="56">'331'!$L$101</definedName>
    <definedName name="OSRRefE21_4x_4" localSheetId="59">'332'!$L$54</definedName>
    <definedName name="OSRRefE21_4x_4" localSheetId="73">'405'!$L$46:$L$47</definedName>
    <definedName name="OSRRefE21_4x_4" localSheetId="74">'406'!$L$27</definedName>
    <definedName name="OSRRefE21_4x_4" localSheetId="75">'411'!$L$44:$L$45</definedName>
    <definedName name="OSRRefE21_4x_4" localSheetId="76">'412'!$L$45:$L$46</definedName>
    <definedName name="OSRRefE21_4x_4" localSheetId="77">'413'!$L$47</definedName>
    <definedName name="OSRRefE21_4x_4" localSheetId="78">'414'!$L$48</definedName>
    <definedName name="OSRRefE21_4x_4" localSheetId="79">'415'!$L$51</definedName>
    <definedName name="OSRRefE21_4x_4" localSheetId="80">'418'!$L$46:$L$47</definedName>
    <definedName name="OSRRefE21_4x_4" localSheetId="82">'423'!$L$44</definedName>
    <definedName name="OSRRefE21_4x_4" localSheetId="84">'425'!$L$31</definedName>
    <definedName name="OSRRefE21_4x_4" localSheetId="87">'430'!$L$44:$L$46</definedName>
    <definedName name="OSRRefE21_4x_4" localSheetId="88">'433'!$L$52</definedName>
    <definedName name="OSRRefE21_4x_4" localSheetId="90">'444'!$L$52</definedName>
    <definedName name="OSRRefE21_4x_4" localSheetId="91">'450'!$L$48</definedName>
    <definedName name="OSRRefE21_4x_4" localSheetId="72">'491'!$L$53</definedName>
    <definedName name="OSRRefE21_4x_4" localSheetId="86">'492'!$L$52</definedName>
    <definedName name="OSRRefE21_4x_4" localSheetId="93">'501'!$L$47</definedName>
    <definedName name="OSRRefE21_4x_4" localSheetId="39">'Div 2'!$L$46</definedName>
    <definedName name="OSRRefE21_4x_4" localSheetId="47">'Div 3'!$L$142</definedName>
    <definedName name="OSRRefE21_4x_4" localSheetId="70">'Div 4'!$L$56</definedName>
    <definedName name="OSRRefE21_4x_4" localSheetId="92">'Div 5'!$L$47</definedName>
    <definedName name="OSRRefE21_4x_4" localSheetId="61">'Div 6'!$L$74</definedName>
    <definedName name="OSRRefE21_4x_4" localSheetId="2">Summary!$L$169</definedName>
    <definedName name="OSRRefE21_4x_5" localSheetId="40">'200'!$M$27:$M$28</definedName>
    <definedName name="OSRRefE21_4x_5" localSheetId="41">'201'!$M$44:$M$45</definedName>
    <definedName name="OSRRefE21_4x_5" localSheetId="42">'202'!$M$44:$M$45</definedName>
    <definedName name="OSRRefE21_4x_5" localSheetId="43">'203'!$M$45</definedName>
    <definedName name="OSRRefE21_4x_5" localSheetId="44">'204'!$M$45:$M$47</definedName>
    <definedName name="OSRRefE21_4x_5" localSheetId="45">'205'!$M$44:$M$46</definedName>
    <definedName name="OSRRefE21_4x_5" localSheetId="46">'206'!$M$44</definedName>
    <definedName name="OSRRefE21_4x_5" localSheetId="48">'300'!$M$138</definedName>
    <definedName name="OSRRefE21_4x_5" localSheetId="49">'300 &amp; 317'!$M$160</definedName>
    <definedName name="OSRRefE21_4x_5" localSheetId="50">'301'!$M$45:$M$46</definedName>
    <definedName name="OSRRefE21_4x_5" localSheetId="52">'307'!$M$62</definedName>
    <definedName name="OSRRefE21_4x_5" localSheetId="53">'308'!$M$79</definedName>
    <definedName name="OSRRefE21_4x_5" localSheetId="64">'309'!$M$45</definedName>
    <definedName name="OSRRefE21_4x_5" localSheetId="63">'310'!$M$51</definedName>
    <definedName name="OSRRefE21_4x_5" localSheetId="71">'310 &amp; 491'!$M$56</definedName>
    <definedName name="OSRRefE21_4x_5" localSheetId="54">'311'!$M$78</definedName>
    <definedName name="OSRRefE21_4x_5" localSheetId="65">'313'!$M$45</definedName>
    <definedName name="OSRRefE21_4x_5" localSheetId="57">'315'!$M$101</definedName>
    <definedName name="OSRRefE21_4x_5" localSheetId="60">'316'!$M$54</definedName>
    <definedName name="OSRRefE21_4x_5" localSheetId="62">'317'!$M$74</definedName>
    <definedName name="OSRRefE21_4x_5" localSheetId="66">'321'!$M$47</definedName>
    <definedName name="OSRRefE21_4x_5" localSheetId="67">'322'!$M$46</definedName>
    <definedName name="OSRRefE21_4x_5" localSheetId="68">'325'!$M$45</definedName>
    <definedName name="OSRRefE21_4x_5" localSheetId="58">'326'!$M$68</definedName>
    <definedName name="OSRRefE21_4x_5" localSheetId="51">'330'!$M$62</definedName>
    <definedName name="OSRRefE21_4x_5" localSheetId="56">'331'!$M$101</definedName>
    <definedName name="OSRRefE21_4x_5" localSheetId="59">'332'!$M$54</definedName>
    <definedName name="OSRRefE21_4x_5" localSheetId="73">'405'!$M$46:$M$47</definedName>
    <definedName name="OSRRefE21_4x_5" localSheetId="74">'406'!$M$27</definedName>
    <definedName name="OSRRefE21_4x_5" localSheetId="75">'411'!$M$44:$M$45</definedName>
    <definedName name="OSRRefE21_4x_5" localSheetId="76">'412'!$M$45:$M$46</definedName>
    <definedName name="OSRRefE21_4x_5" localSheetId="77">'413'!$M$47</definedName>
    <definedName name="OSRRefE21_4x_5" localSheetId="78">'414'!$M$48</definedName>
    <definedName name="OSRRefE21_4x_5" localSheetId="79">'415'!$M$51</definedName>
    <definedName name="OSRRefE21_4x_5" localSheetId="80">'418'!$M$46:$M$47</definedName>
    <definedName name="OSRRefE21_4x_5" localSheetId="82">'423'!$M$44</definedName>
    <definedName name="OSRRefE21_4x_5" localSheetId="84">'425'!$M$31</definedName>
    <definedName name="OSRRefE21_4x_5" localSheetId="87">'430'!$M$44:$M$46</definedName>
    <definedName name="OSRRefE21_4x_5" localSheetId="88">'433'!$M$52</definedName>
    <definedName name="OSRRefE21_4x_5" localSheetId="90">'444'!$M$52</definedName>
    <definedName name="OSRRefE21_4x_5" localSheetId="91">'450'!$M$48</definedName>
    <definedName name="OSRRefE21_4x_5" localSheetId="72">'491'!$M$53</definedName>
    <definedName name="OSRRefE21_4x_5" localSheetId="86">'492'!$M$52</definedName>
    <definedName name="OSRRefE21_4x_5" localSheetId="93">'501'!$M$47</definedName>
    <definedName name="OSRRefE21_4x_5" localSheetId="39">'Div 2'!$M$46</definedName>
    <definedName name="OSRRefE21_4x_5" localSheetId="47">'Div 3'!$M$142</definedName>
    <definedName name="OSRRefE21_4x_5" localSheetId="70">'Div 4'!$M$56</definedName>
    <definedName name="OSRRefE21_4x_5" localSheetId="92">'Div 5'!$M$47</definedName>
    <definedName name="OSRRefE21_4x_5" localSheetId="61">'Div 6'!$M$74</definedName>
    <definedName name="OSRRefE21_4x_5" localSheetId="2">Summary!$M$169</definedName>
    <definedName name="OSRRefE21_4x_6" localSheetId="40">'200'!$N$27:$N$28</definedName>
    <definedName name="OSRRefE21_4x_6" localSheetId="41">'201'!$N$44:$N$45</definedName>
    <definedName name="OSRRefE21_4x_6" localSheetId="42">'202'!$N$44:$N$45</definedName>
    <definedName name="OSRRefE21_4x_6" localSheetId="43">'203'!$N$45</definedName>
    <definedName name="OSRRefE21_4x_6" localSheetId="44">'204'!$N$45:$N$47</definedName>
    <definedName name="OSRRefE21_4x_6" localSheetId="45">'205'!$N$44:$N$46</definedName>
    <definedName name="OSRRefE21_4x_6" localSheetId="46">'206'!$N$44</definedName>
    <definedName name="OSRRefE21_4x_6" localSheetId="48">'300'!$N$138</definedName>
    <definedName name="OSRRefE21_4x_6" localSheetId="49">'300 &amp; 317'!$N$160</definedName>
    <definedName name="OSRRefE21_4x_6" localSheetId="50">'301'!$N$45:$N$46</definedName>
    <definedName name="OSRRefE21_4x_6" localSheetId="52">'307'!$N$62</definedName>
    <definedName name="OSRRefE21_4x_6" localSheetId="53">'308'!$N$79</definedName>
    <definedName name="OSRRefE21_4x_6" localSheetId="64">'309'!$N$45</definedName>
    <definedName name="OSRRefE21_4x_6" localSheetId="63">'310'!$N$51</definedName>
    <definedName name="OSRRefE21_4x_6" localSheetId="71">'310 &amp; 491'!$N$56</definedName>
    <definedName name="OSRRefE21_4x_6" localSheetId="54">'311'!$N$78</definedName>
    <definedName name="OSRRefE21_4x_6" localSheetId="65">'313'!$N$45</definedName>
    <definedName name="OSRRefE21_4x_6" localSheetId="57">'315'!$N$101</definedName>
    <definedName name="OSRRefE21_4x_6" localSheetId="60">'316'!$N$54</definedName>
    <definedName name="OSRRefE21_4x_6" localSheetId="62">'317'!$N$74</definedName>
    <definedName name="OSRRefE21_4x_6" localSheetId="66">'321'!$N$47</definedName>
    <definedName name="OSRRefE21_4x_6" localSheetId="67">'322'!$N$46</definedName>
    <definedName name="OSRRefE21_4x_6" localSheetId="68">'325'!$N$45</definedName>
    <definedName name="OSRRefE21_4x_6" localSheetId="58">'326'!$N$68</definedName>
    <definedName name="OSRRefE21_4x_6" localSheetId="51">'330'!$N$62</definedName>
    <definedName name="OSRRefE21_4x_6" localSheetId="56">'331'!$N$101</definedName>
    <definedName name="OSRRefE21_4x_6" localSheetId="59">'332'!$N$54</definedName>
    <definedName name="OSRRefE21_4x_6" localSheetId="73">'405'!$N$46:$N$47</definedName>
    <definedName name="OSRRefE21_4x_6" localSheetId="74">'406'!$N$27</definedName>
    <definedName name="OSRRefE21_4x_6" localSheetId="75">'411'!$N$44:$N$45</definedName>
    <definedName name="OSRRefE21_4x_6" localSheetId="76">'412'!$N$45:$N$46</definedName>
    <definedName name="OSRRefE21_4x_6" localSheetId="77">'413'!$N$47</definedName>
    <definedName name="OSRRefE21_4x_6" localSheetId="78">'414'!$N$48</definedName>
    <definedName name="OSRRefE21_4x_6" localSheetId="79">'415'!$N$51</definedName>
    <definedName name="OSRRefE21_4x_6" localSheetId="80">'418'!$N$46:$N$47</definedName>
    <definedName name="OSRRefE21_4x_6" localSheetId="82">'423'!$N$44</definedName>
    <definedName name="OSRRefE21_4x_6" localSheetId="84">'425'!$N$31</definedName>
    <definedName name="OSRRefE21_4x_6" localSheetId="87">'430'!$N$44:$N$46</definedName>
    <definedName name="OSRRefE21_4x_6" localSheetId="88">'433'!$N$52</definedName>
    <definedName name="OSRRefE21_4x_6" localSheetId="90">'444'!$N$52</definedName>
    <definedName name="OSRRefE21_4x_6" localSheetId="91">'450'!$N$48</definedName>
    <definedName name="OSRRefE21_4x_6" localSheetId="72">'491'!$N$53</definedName>
    <definedName name="OSRRefE21_4x_6" localSheetId="86">'492'!$N$52</definedName>
    <definedName name="OSRRefE21_4x_6" localSheetId="93">'501'!$N$47</definedName>
    <definedName name="OSRRefE21_4x_6" localSheetId="39">'Div 2'!$N$46</definedName>
    <definedName name="OSRRefE21_4x_6" localSheetId="47">'Div 3'!$N$142</definedName>
    <definedName name="OSRRefE21_4x_6" localSheetId="70">'Div 4'!$N$56</definedName>
    <definedName name="OSRRefE21_4x_6" localSheetId="92">'Div 5'!$N$47</definedName>
    <definedName name="OSRRefE21_4x_6" localSheetId="61">'Div 6'!$N$74</definedName>
    <definedName name="OSRRefE21_4x_6" localSheetId="2">Summary!$N$169</definedName>
    <definedName name="OSRRefE21_4x_7" localSheetId="40">'200'!$O$27:$O$28</definedName>
    <definedName name="OSRRefE21_4x_7" localSheetId="41">'201'!$O$44:$O$45</definedName>
    <definedName name="OSRRefE21_4x_7" localSheetId="42">'202'!$O$44:$O$45</definedName>
    <definedName name="OSRRefE21_4x_7" localSheetId="43">'203'!$O$45</definedName>
    <definedName name="OSRRefE21_4x_7" localSheetId="44">'204'!$O$45:$O$47</definedName>
    <definedName name="OSRRefE21_4x_7" localSheetId="45">'205'!$O$44:$O$46</definedName>
    <definedName name="OSRRefE21_4x_7" localSheetId="46">'206'!$O$44</definedName>
    <definedName name="OSRRefE21_4x_7" localSheetId="48">'300'!$O$138</definedName>
    <definedName name="OSRRefE21_4x_7" localSheetId="49">'300 &amp; 317'!$O$160</definedName>
    <definedName name="OSRRefE21_4x_7" localSheetId="50">'301'!$O$45:$O$46</definedName>
    <definedName name="OSRRefE21_4x_7" localSheetId="52">'307'!$O$62</definedName>
    <definedName name="OSRRefE21_4x_7" localSheetId="53">'308'!$O$79</definedName>
    <definedName name="OSRRefE21_4x_7" localSheetId="64">'309'!$O$45</definedName>
    <definedName name="OSRRefE21_4x_7" localSheetId="63">'310'!$O$51</definedName>
    <definedName name="OSRRefE21_4x_7" localSheetId="71">'310 &amp; 491'!$O$56</definedName>
    <definedName name="OSRRefE21_4x_7" localSheetId="54">'311'!$O$78</definedName>
    <definedName name="OSRRefE21_4x_7" localSheetId="65">'313'!$O$45</definedName>
    <definedName name="OSRRefE21_4x_7" localSheetId="57">'315'!$O$101</definedName>
    <definedName name="OSRRefE21_4x_7" localSheetId="60">'316'!$O$54</definedName>
    <definedName name="OSRRefE21_4x_7" localSheetId="62">'317'!$O$74</definedName>
    <definedName name="OSRRefE21_4x_7" localSheetId="66">'321'!$O$47</definedName>
    <definedName name="OSRRefE21_4x_7" localSheetId="67">'322'!$O$46</definedName>
    <definedName name="OSRRefE21_4x_7" localSheetId="68">'325'!$O$45</definedName>
    <definedName name="OSRRefE21_4x_7" localSheetId="58">'326'!$O$68</definedName>
    <definedName name="OSRRefE21_4x_7" localSheetId="51">'330'!$O$62</definedName>
    <definedName name="OSRRefE21_4x_7" localSheetId="56">'331'!$O$101</definedName>
    <definedName name="OSRRefE21_4x_7" localSheetId="59">'332'!$O$54</definedName>
    <definedName name="OSRRefE21_4x_7" localSheetId="73">'405'!$O$46:$O$47</definedName>
    <definedName name="OSRRefE21_4x_7" localSheetId="74">'406'!$O$27</definedName>
    <definedName name="OSRRefE21_4x_7" localSheetId="75">'411'!$O$44:$O$45</definedName>
    <definedName name="OSRRefE21_4x_7" localSheetId="76">'412'!$O$45:$O$46</definedName>
    <definedName name="OSRRefE21_4x_7" localSheetId="77">'413'!$O$47</definedName>
    <definedName name="OSRRefE21_4x_7" localSheetId="78">'414'!$O$48</definedName>
    <definedName name="OSRRefE21_4x_7" localSheetId="79">'415'!$O$51</definedName>
    <definedName name="OSRRefE21_4x_7" localSheetId="80">'418'!$O$46:$O$47</definedName>
    <definedName name="OSRRefE21_4x_7" localSheetId="82">'423'!$O$44</definedName>
    <definedName name="OSRRefE21_4x_7" localSheetId="84">'425'!$O$31</definedName>
    <definedName name="OSRRefE21_4x_7" localSheetId="87">'430'!$O$44:$O$46</definedName>
    <definedName name="OSRRefE21_4x_7" localSheetId="88">'433'!$O$52</definedName>
    <definedName name="OSRRefE21_4x_7" localSheetId="90">'444'!$O$52</definedName>
    <definedName name="OSRRefE21_4x_7" localSheetId="91">'450'!$O$48</definedName>
    <definedName name="OSRRefE21_4x_7" localSheetId="72">'491'!$O$53</definedName>
    <definedName name="OSRRefE21_4x_7" localSheetId="86">'492'!$O$52</definedName>
    <definedName name="OSRRefE21_4x_7" localSheetId="93">'501'!$O$47</definedName>
    <definedName name="OSRRefE21_4x_7" localSheetId="39">'Div 2'!$O$46</definedName>
    <definedName name="OSRRefE21_4x_7" localSheetId="47">'Div 3'!$O$142</definedName>
    <definedName name="OSRRefE21_4x_7" localSheetId="70">'Div 4'!$O$56</definedName>
    <definedName name="OSRRefE21_4x_7" localSheetId="92">'Div 5'!$O$47</definedName>
    <definedName name="OSRRefE21_4x_7" localSheetId="61">'Div 6'!$O$74</definedName>
    <definedName name="OSRRefE21_4x_7" localSheetId="2">Summary!$O$169</definedName>
    <definedName name="OSRRefE21_5_0x" localSheetId="41">'201'!$H$47:$O$47</definedName>
    <definedName name="OSRRefE21_5_0x" localSheetId="42">'202'!$H$47:$O$47</definedName>
    <definedName name="OSRRefE21_5_0x" localSheetId="43">'203'!$H$47:$O$47</definedName>
    <definedName name="OSRRefE21_5_0x" localSheetId="44">'204'!$H$49:$O$49</definedName>
    <definedName name="OSRRefE21_5_0x" localSheetId="45">'205'!$H$48:$O$48</definedName>
    <definedName name="OSRRefE21_5_0x" localSheetId="46">'206'!$H$46:$O$46</definedName>
    <definedName name="OSRRefE21_5_0x" localSheetId="48">'300'!$H$140:$O$140</definedName>
    <definedName name="OSRRefE21_5_0x" localSheetId="49">'300 &amp; 317'!$H$162:$O$162</definedName>
    <definedName name="OSRRefE21_5_0x" localSheetId="50">'301'!$H$48:$O$48</definedName>
    <definedName name="OSRRefE21_5_0x" localSheetId="52">'307'!$H$64:$O$64</definedName>
    <definedName name="OSRRefE21_5_0x" localSheetId="53">'308'!$H$81:$O$81</definedName>
    <definedName name="OSRRefE21_5_0x" localSheetId="64">'309'!$H$47:$O$47</definedName>
    <definedName name="OSRRefE21_5_0x" localSheetId="63">'310'!$H$53:$O$53</definedName>
    <definedName name="OSRRefE21_5_0x" localSheetId="71">'310 &amp; 491'!$H$58:$O$58</definedName>
    <definedName name="OSRRefE21_5_0x" localSheetId="54">'311'!$H$80:$O$80</definedName>
    <definedName name="OSRRefE21_5_0x" localSheetId="65">'313'!$H$47:$O$47</definedName>
    <definedName name="OSRRefE21_5_0x" localSheetId="57">'315'!$H$103:$O$103</definedName>
    <definedName name="OSRRefE21_5_0x" localSheetId="60">'316'!$H$56:$O$56</definedName>
    <definedName name="OSRRefE21_5_0x" localSheetId="62">'317'!$H$76:$O$76</definedName>
    <definedName name="OSRRefE21_5_0x" localSheetId="66">'321'!$H$49:$O$49</definedName>
    <definedName name="OSRRefE21_5_0x" localSheetId="67">'322'!$H$48:$O$48</definedName>
    <definedName name="OSRRefE21_5_0x" localSheetId="68">'325'!$H$47:$O$47</definedName>
    <definedName name="OSRRefE21_5_0x" localSheetId="58">'326'!$H$70:$O$70</definedName>
    <definedName name="OSRRefE21_5_0x" localSheetId="51">'330'!$H$64:$O$64</definedName>
    <definedName name="OSRRefE21_5_0x" localSheetId="56">'331'!$H$103:$O$103</definedName>
    <definedName name="OSRRefE21_5_0x" localSheetId="59">'332'!$H$56:$O$56</definedName>
    <definedName name="OSRRefE21_5_0x" localSheetId="73">'405'!$H$49:$O$49</definedName>
    <definedName name="OSRRefE21_5_0x" localSheetId="75">'411'!$H$47:$O$47</definedName>
    <definedName name="OSRRefE21_5_0x" localSheetId="76">'412'!$H$48:$O$48</definedName>
    <definedName name="OSRRefE21_5_0x" localSheetId="77">'413'!$H$49:$O$49</definedName>
    <definedName name="OSRRefE21_5_0x" localSheetId="78">'414'!$H$50:$O$50</definedName>
    <definedName name="OSRRefE21_5_0x" localSheetId="79">'415'!$H$53:$O$53</definedName>
    <definedName name="OSRRefE21_5_0x" localSheetId="80">'418'!$H$49:$O$49</definedName>
    <definedName name="OSRRefE21_5_0x" localSheetId="82">'423'!$H$46:$O$46</definedName>
    <definedName name="OSRRefE21_5_0x" localSheetId="87">'430'!$H$48:$O$48</definedName>
    <definedName name="OSRRefE21_5_0x" localSheetId="88">'433'!$H$54:$O$54</definedName>
    <definedName name="OSRRefE21_5_0x" localSheetId="90">'444'!$H$54:$O$54</definedName>
    <definedName name="OSRRefE21_5_0x" localSheetId="91">'450'!$H$50:$O$50</definedName>
    <definedName name="OSRRefE21_5_0x" localSheetId="72">'491'!$H$55:$O$55</definedName>
    <definedName name="OSRRefE21_5_0x" localSheetId="86">'492'!$H$54:$O$54</definedName>
    <definedName name="OSRRefE21_5_0x" localSheetId="93">'501'!$H$49:$O$49</definedName>
    <definedName name="OSRRefE21_5_0x" localSheetId="39">'Div 2'!$H$48:$O$48</definedName>
    <definedName name="OSRRefE21_5_0x" localSheetId="47">'Div 3'!$H$144:$O$144</definedName>
    <definedName name="OSRRefE21_5_0x" localSheetId="70">'Div 4'!$H$58:$O$58</definedName>
    <definedName name="OSRRefE21_5_0x" localSheetId="92">'Div 5'!$H$49:$O$49</definedName>
    <definedName name="OSRRefE21_5_0x" localSheetId="61">'Div 6'!$H$76:$O$76</definedName>
    <definedName name="OSRRefE21_5_0x" localSheetId="2">Summary!$H$171:$O$171</definedName>
    <definedName name="OSRRefE21_5_1x" localSheetId="48">'300'!$H$141:$O$141</definedName>
    <definedName name="OSRRefE21_5_1x" localSheetId="49">'300 &amp; 317'!$H$163:$O$163</definedName>
    <definedName name="OSRRefE21_5_1x" localSheetId="52">'307'!$H$65:$O$65</definedName>
    <definedName name="OSRRefE21_5_1x" localSheetId="64">'309'!$H$48:$O$48</definedName>
    <definedName name="OSRRefE21_5_1x" localSheetId="63">'310'!$H$54:$O$54</definedName>
    <definedName name="OSRRefE21_5_1x" localSheetId="71">'310 &amp; 491'!$H$59:$O$59</definedName>
    <definedName name="OSRRefE21_5_1x" localSheetId="68">'325'!$H$48:$O$48</definedName>
    <definedName name="OSRRefE21_5_1x" localSheetId="51">'330'!$H$65:$O$65</definedName>
    <definedName name="OSRRefE21_5_1x" localSheetId="79">'415'!$H$54:$O$54</definedName>
    <definedName name="OSRRefE21_5_1x" localSheetId="87">'430'!$H$49:$O$49</definedName>
    <definedName name="OSRRefE21_5_1x" localSheetId="72">'491'!$H$56:$O$56</definedName>
    <definedName name="OSRRefE21_5_1x" localSheetId="93">'501'!$H$50:$O$50</definedName>
    <definedName name="OSRRefE21_5_1x" localSheetId="47">'Div 3'!$H$145:$O$145</definedName>
    <definedName name="OSRRefE21_5_1x" localSheetId="70">'Div 4'!$H$59:$O$59</definedName>
    <definedName name="OSRRefE21_5_1x" localSheetId="92">'Div 5'!$H$50:$O$50</definedName>
    <definedName name="OSRRefE21_5_1x" localSheetId="2">Summary!$H$172:$O$172</definedName>
    <definedName name="OSRRefE21_5_2x" localSheetId="71">'310 &amp; 491'!$H$60:$O$60</definedName>
    <definedName name="OSRRefE21_5_2x" localSheetId="72">'491'!$H$57:$O$57</definedName>
    <definedName name="OSRRefE21_5_2x" localSheetId="70">'Div 4'!$H$60:$O$60</definedName>
    <definedName name="OSRRefE21_5_2x" localSheetId="2">Summary!$H$173:$O$173</definedName>
    <definedName name="OSRRefE21_5x_0" localSheetId="41">'201'!$H$47</definedName>
    <definedName name="OSRRefE21_5x_0" localSheetId="42">'202'!$H$47</definedName>
    <definedName name="OSRRefE21_5x_0" localSheetId="43">'203'!$H$47</definedName>
    <definedName name="OSRRefE21_5x_0" localSheetId="44">'204'!$H$49</definedName>
    <definedName name="OSRRefE21_5x_0" localSheetId="45">'205'!$H$48</definedName>
    <definedName name="OSRRefE21_5x_0" localSheetId="46">'206'!$H$46</definedName>
    <definedName name="OSRRefE21_5x_0" localSheetId="48">'300'!$H$140:$H$141</definedName>
    <definedName name="OSRRefE21_5x_0" localSheetId="49">'300 &amp; 317'!$H$162:$H$163</definedName>
    <definedName name="OSRRefE21_5x_0" localSheetId="50">'301'!$H$48</definedName>
    <definedName name="OSRRefE21_5x_0" localSheetId="52">'307'!$H$64:$H$65</definedName>
    <definedName name="OSRRefE21_5x_0" localSheetId="53">'308'!$H$81</definedName>
    <definedName name="OSRRefE21_5x_0" localSheetId="64">'309'!$H$47:$H$48</definedName>
    <definedName name="OSRRefE21_5x_0" localSheetId="63">'310'!$H$53:$H$54</definedName>
    <definedName name="OSRRefE21_5x_0" localSheetId="71">'310 &amp; 491'!$H$58:$H$60</definedName>
    <definedName name="OSRRefE21_5x_0" localSheetId="54">'311'!$H$80</definedName>
    <definedName name="OSRRefE21_5x_0" localSheetId="65">'313'!$H$47</definedName>
    <definedName name="OSRRefE21_5x_0" localSheetId="57">'315'!$H$103</definedName>
    <definedName name="OSRRefE21_5x_0" localSheetId="60">'316'!$H$56</definedName>
    <definedName name="OSRRefE21_5x_0" localSheetId="62">'317'!$H$76</definedName>
    <definedName name="OSRRefE21_5x_0" localSheetId="66">'321'!$H$49</definedName>
    <definedName name="OSRRefE21_5x_0" localSheetId="67">'322'!$H$48</definedName>
    <definedName name="OSRRefE21_5x_0" localSheetId="68">'325'!$H$47:$H$48</definedName>
    <definedName name="OSRRefE21_5x_0" localSheetId="58">'326'!$H$70</definedName>
    <definedName name="OSRRefE21_5x_0" localSheetId="51">'330'!$H$64:$H$65</definedName>
    <definedName name="OSRRefE21_5x_0" localSheetId="56">'331'!$H$103</definedName>
    <definedName name="OSRRefE21_5x_0" localSheetId="59">'332'!$H$56</definedName>
    <definedName name="OSRRefE21_5x_0" localSheetId="73">'405'!$H$49</definedName>
    <definedName name="OSRRefE21_5x_0" localSheetId="75">'411'!$H$47</definedName>
    <definedName name="OSRRefE21_5x_0" localSheetId="76">'412'!$H$48</definedName>
    <definedName name="OSRRefE21_5x_0" localSheetId="77">'413'!$H$49</definedName>
    <definedName name="OSRRefE21_5x_0" localSheetId="78">'414'!$H$50</definedName>
    <definedName name="OSRRefE21_5x_0" localSheetId="79">'415'!$H$53:$H$54</definedName>
    <definedName name="OSRRefE21_5x_0" localSheetId="80">'418'!$H$49</definedName>
    <definedName name="OSRRefE21_5x_0" localSheetId="82">'423'!$H$46</definedName>
    <definedName name="OSRRefE21_5x_0" localSheetId="87">'430'!$H$48:$H$49</definedName>
    <definedName name="OSRRefE21_5x_0" localSheetId="88">'433'!$H$54</definedName>
    <definedName name="OSRRefE21_5x_0" localSheetId="90">'444'!$H$54</definedName>
    <definedName name="OSRRefE21_5x_0" localSheetId="91">'450'!$H$50</definedName>
    <definedName name="OSRRefE21_5x_0" localSheetId="72">'491'!$H$55:$H$57</definedName>
    <definedName name="OSRRefE21_5x_0" localSheetId="86">'492'!$H$54</definedName>
    <definedName name="OSRRefE21_5x_0" localSheetId="93">'501'!$H$49:$H$50</definedName>
    <definedName name="OSRRefE21_5x_0" localSheetId="39">'Div 2'!$H$48</definedName>
    <definedName name="OSRRefE21_5x_0" localSheetId="47">'Div 3'!$H$144:$H$145</definedName>
    <definedName name="OSRRefE21_5x_0" localSheetId="70">'Div 4'!$H$58:$H$60</definedName>
    <definedName name="OSRRefE21_5x_0" localSheetId="92">'Div 5'!$H$49:$H$50</definedName>
    <definedName name="OSRRefE21_5x_0" localSheetId="61">'Div 6'!$H$76</definedName>
    <definedName name="OSRRefE21_5x_0" localSheetId="2">Summary!$H$171:$H$173</definedName>
    <definedName name="OSRRefE21_5x_1" localSheetId="41">'201'!$I$47</definedName>
    <definedName name="OSRRefE21_5x_1" localSheetId="42">'202'!$I$47</definedName>
    <definedName name="OSRRefE21_5x_1" localSheetId="43">'203'!$I$47</definedName>
    <definedName name="OSRRefE21_5x_1" localSheetId="44">'204'!$I$49</definedName>
    <definedName name="OSRRefE21_5x_1" localSheetId="45">'205'!$I$48</definedName>
    <definedName name="OSRRefE21_5x_1" localSheetId="46">'206'!$I$46</definedName>
    <definedName name="OSRRefE21_5x_1" localSheetId="48">'300'!$I$140:$I$141</definedName>
    <definedName name="OSRRefE21_5x_1" localSheetId="49">'300 &amp; 317'!$I$162:$I$163</definedName>
    <definedName name="OSRRefE21_5x_1" localSheetId="50">'301'!$I$48</definedName>
    <definedName name="OSRRefE21_5x_1" localSheetId="52">'307'!$I$64:$I$65</definedName>
    <definedName name="OSRRefE21_5x_1" localSheetId="53">'308'!$I$81</definedName>
    <definedName name="OSRRefE21_5x_1" localSheetId="64">'309'!$I$47:$I$48</definedName>
    <definedName name="OSRRefE21_5x_1" localSheetId="63">'310'!$I$53:$I$54</definedName>
    <definedName name="OSRRefE21_5x_1" localSheetId="71">'310 &amp; 491'!$I$58:$I$60</definedName>
    <definedName name="OSRRefE21_5x_1" localSheetId="54">'311'!$I$80</definedName>
    <definedName name="OSRRefE21_5x_1" localSheetId="65">'313'!$I$47</definedName>
    <definedName name="OSRRefE21_5x_1" localSheetId="57">'315'!$I$103</definedName>
    <definedName name="OSRRefE21_5x_1" localSheetId="60">'316'!$I$56</definedName>
    <definedName name="OSRRefE21_5x_1" localSheetId="62">'317'!$I$76</definedName>
    <definedName name="OSRRefE21_5x_1" localSheetId="66">'321'!$I$49</definedName>
    <definedName name="OSRRefE21_5x_1" localSheetId="67">'322'!$I$48</definedName>
    <definedName name="OSRRefE21_5x_1" localSheetId="68">'325'!$I$47:$I$48</definedName>
    <definedName name="OSRRefE21_5x_1" localSheetId="58">'326'!$I$70</definedName>
    <definedName name="OSRRefE21_5x_1" localSheetId="51">'330'!$I$64:$I$65</definedName>
    <definedName name="OSRRefE21_5x_1" localSheetId="56">'331'!$I$103</definedName>
    <definedName name="OSRRefE21_5x_1" localSheetId="59">'332'!$I$56</definedName>
    <definedName name="OSRRefE21_5x_1" localSheetId="73">'405'!$I$49</definedName>
    <definedName name="OSRRefE21_5x_1" localSheetId="75">'411'!$I$47</definedName>
    <definedName name="OSRRefE21_5x_1" localSheetId="76">'412'!$I$48</definedName>
    <definedName name="OSRRefE21_5x_1" localSheetId="77">'413'!$I$49</definedName>
    <definedName name="OSRRefE21_5x_1" localSheetId="78">'414'!$I$50</definedName>
    <definedName name="OSRRefE21_5x_1" localSheetId="79">'415'!$I$53:$I$54</definedName>
    <definedName name="OSRRefE21_5x_1" localSheetId="80">'418'!$I$49</definedName>
    <definedName name="OSRRefE21_5x_1" localSheetId="82">'423'!$I$46</definedName>
    <definedName name="OSRRefE21_5x_1" localSheetId="87">'430'!$I$48:$I$49</definedName>
    <definedName name="OSRRefE21_5x_1" localSheetId="88">'433'!$I$54</definedName>
    <definedName name="OSRRefE21_5x_1" localSheetId="90">'444'!$I$54</definedName>
    <definedName name="OSRRefE21_5x_1" localSheetId="91">'450'!$I$50</definedName>
    <definedName name="OSRRefE21_5x_1" localSheetId="72">'491'!$I$55:$I$57</definedName>
    <definedName name="OSRRefE21_5x_1" localSheetId="86">'492'!$I$54</definedName>
    <definedName name="OSRRefE21_5x_1" localSheetId="93">'501'!$I$49:$I$50</definedName>
    <definedName name="OSRRefE21_5x_1" localSheetId="39">'Div 2'!$I$48</definedName>
    <definedName name="OSRRefE21_5x_1" localSheetId="47">'Div 3'!$I$144:$I$145</definedName>
    <definedName name="OSRRefE21_5x_1" localSheetId="70">'Div 4'!$I$58:$I$60</definedName>
    <definedName name="OSRRefE21_5x_1" localSheetId="92">'Div 5'!$I$49:$I$50</definedName>
    <definedName name="OSRRefE21_5x_1" localSheetId="61">'Div 6'!$I$76</definedName>
    <definedName name="OSRRefE21_5x_1" localSheetId="2">Summary!$I$171:$I$173</definedName>
    <definedName name="OSRRefE21_5x_2" localSheetId="41">'201'!$J$47</definedName>
    <definedName name="OSRRefE21_5x_2" localSheetId="42">'202'!$J$47</definedName>
    <definedName name="OSRRefE21_5x_2" localSheetId="43">'203'!$J$47</definedName>
    <definedName name="OSRRefE21_5x_2" localSheetId="44">'204'!$J$49</definedName>
    <definedName name="OSRRefE21_5x_2" localSheetId="45">'205'!$J$48</definedName>
    <definedName name="OSRRefE21_5x_2" localSheetId="46">'206'!$J$46</definedName>
    <definedName name="OSRRefE21_5x_2" localSheetId="48">'300'!$J$140:$J$141</definedName>
    <definedName name="OSRRefE21_5x_2" localSheetId="49">'300 &amp; 317'!$J$162:$J$163</definedName>
    <definedName name="OSRRefE21_5x_2" localSheetId="50">'301'!$J$48</definedName>
    <definedName name="OSRRefE21_5x_2" localSheetId="52">'307'!$J$64:$J$65</definedName>
    <definedName name="OSRRefE21_5x_2" localSheetId="53">'308'!$J$81</definedName>
    <definedName name="OSRRefE21_5x_2" localSheetId="64">'309'!$J$47:$J$48</definedName>
    <definedName name="OSRRefE21_5x_2" localSheetId="63">'310'!$J$53:$J$54</definedName>
    <definedName name="OSRRefE21_5x_2" localSheetId="71">'310 &amp; 491'!$J$58:$J$60</definedName>
    <definedName name="OSRRefE21_5x_2" localSheetId="54">'311'!$J$80</definedName>
    <definedName name="OSRRefE21_5x_2" localSheetId="65">'313'!$J$47</definedName>
    <definedName name="OSRRefE21_5x_2" localSheetId="57">'315'!$J$103</definedName>
    <definedName name="OSRRefE21_5x_2" localSheetId="60">'316'!$J$56</definedName>
    <definedName name="OSRRefE21_5x_2" localSheetId="62">'317'!$J$76</definedName>
    <definedName name="OSRRefE21_5x_2" localSheetId="66">'321'!$J$49</definedName>
    <definedName name="OSRRefE21_5x_2" localSheetId="67">'322'!$J$48</definedName>
    <definedName name="OSRRefE21_5x_2" localSheetId="68">'325'!$J$47:$J$48</definedName>
    <definedName name="OSRRefE21_5x_2" localSheetId="58">'326'!$J$70</definedName>
    <definedName name="OSRRefE21_5x_2" localSheetId="51">'330'!$J$64:$J$65</definedName>
    <definedName name="OSRRefE21_5x_2" localSheetId="56">'331'!$J$103</definedName>
    <definedName name="OSRRefE21_5x_2" localSheetId="59">'332'!$J$56</definedName>
    <definedName name="OSRRefE21_5x_2" localSheetId="73">'405'!$J$49</definedName>
    <definedName name="OSRRefE21_5x_2" localSheetId="75">'411'!$J$47</definedName>
    <definedName name="OSRRefE21_5x_2" localSheetId="76">'412'!$J$48</definedName>
    <definedName name="OSRRefE21_5x_2" localSheetId="77">'413'!$J$49</definedName>
    <definedName name="OSRRefE21_5x_2" localSheetId="78">'414'!$J$50</definedName>
    <definedName name="OSRRefE21_5x_2" localSheetId="79">'415'!$J$53:$J$54</definedName>
    <definedName name="OSRRefE21_5x_2" localSheetId="80">'418'!$J$49</definedName>
    <definedName name="OSRRefE21_5x_2" localSheetId="82">'423'!$J$46</definedName>
    <definedName name="OSRRefE21_5x_2" localSheetId="87">'430'!$J$48:$J$49</definedName>
    <definedName name="OSRRefE21_5x_2" localSheetId="88">'433'!$J$54</definedName>
    <definedName name="OSRRefE21_5x_2" localSheetId="90">'444'!$J$54</definedName>
    <definedName name="OSRRefE21_5x_2" localSheetId="91">'450'!$J$50</definedName>
    <definedName name="OSRRefE21_5x_2" localSheetId="72">'491'!$J$55:$J$57</definedName>
    <definedName name="OSRRefE21_5x_2" localSheetId="86">'492'!$J$54</definedName>
    <definedName name="OSRRefE21_5x_2" localSheetId="93">'501'!$J$49:$J$50</definedName>
    <definedName name="OSRRefE21_5x_2" localSheetId="39">'Div 2'!$J$48</definedName>
    <definedName name="OSRRefE21_5x_2" localSheetId="47">'Div 3'!$J$144:$J$145</definedName>
    <definedName name="OSRRefE21_5x_2" localSheetId="70">'Div 4'!$J$58:$J$60</definedName>
    <definedName name="OSRRefE21_5x_2" localSheetId="92">'Div 5'!$J$49:$J$50</definedName>
    <definedName name="OSRRefE21_5x_2" localSheetId="61">'Div 6'!$J$76</definedName>
    <definedName name="OSRRefE21_5x_2" localSheetId="2">Summary!$J$171:$J$173</definedName>
    <definedName name="OSRRefE21_5x_3" localSheetId="41">'201'!$K$47</definedName>
    <definedName name="OSRRefE21_5x_3" localSheetId="42">'202'!$K$47</definedName>
    <definedName name="OSRRefE21_5x_3" localSheetId="43">'203'!$K$47</definedName>
    <definedName name="OSRRefE21_5x_3" localSheetId="44">'204'!$K$49</definedName>
    <definedName name="OSRRefE21_5x_3" localSheetId="45">'205'!$K$48</definedName>
    <definedName name="OSRRefE21_5x_3" localSheetId="46">'206'!$K$46</definedName>
    <definedName name="OSRRefE21_5x_3" localSheetId="48">'300'!$K$140:$K$141</definedName>
    <definedName name="OSRRefE21_5x_3" localSheetId="49">'300 &amp; 317'!$K$162:$K$163</definedName>
    <definedName name="OSRRefE21_5x_3" localSheetId="50">'301'!$K$48</definedName>
    <definedName name="OSRRefE21_5x_3" localSheetId="52">'307'!$K$64:$K$65</definedName>
    <definedName name="OSRRefE21_5x_3" localSheetId="53">'308'!$K$81</definedName>
    <definedName name="OSRRefE21_5x_3" localSheetId="64">'309'!$K$47:$K$48</definedName>
    <definedName name="OSRRefE21_5x_3" localSheetId="63">'310'!$K$53:$K$54</definedName>
    <definedName name="OSRRefE21_5x_3" localSheetId="71">'310 &amp; 491'!$K$58:$K$60</definedName>
    <definedName name="OSRRefE21_5x_3" localSheetId="54">'311'!$K$80</definedName>
    <definedName name="OSRRefE21_5x_3" localSheetId="65">'313'!$K$47</definedName>
    <definedName name="OSRRefE21_5x_3" localSheetId="57">'315'!$K$103</definedName>
    <definedName name="OSRRefE21_5x_3" localSheetId="60">'316'!$K$56</definedName>
    <definedName name="OSRRefE21_5x_3" localSheetId="62">'317'!$K$76</definedName>
    <definedName name="OSRRefE21_5x_3" localSheetId="66">'321'!$K$49</definedName>
    <definedName name="OSRRefE21_5x_3" localSheetId="67">'322'!$K$48</definedName>
    <definedName name="OSRRefE21_5x_3" localSheetId="68">'325'!$K$47:$K$48</definedName>
    <definedName name="OSRRefE21_5x_3" localSheetId="58">'326'!$K$70</definedName>
    <definedName name="OSRRefE21_5x_3" localSheetId="51">'330'!$K$64:$K$65</definedName>
    <definedName name="OSRRefE21_5x_3" localSheetId="56">'331'!$K$103</definedName>
    <definedName name="OSRRefE21_5x_3" localSheetId="59">'332'!$K$56</definedName>
    <definedName name="OSRRefE21_5x_3" localSheetId="73">'405'!$K$49</definedName>
    <definedName name="OSRRefE21_5x_3" localSheetId="75">'411'!$K$47</definedName>
    <definedName name="OSRRefE21_5x_3" localSheetId="76">'412'!$K$48</definedName>
    <definedName name="OSRRefE21_5x_3" localSheetId="77">'413'!$K$49</definedName>
    <definedName name="OSRRefE21_5x_3" localSheetId="78">'414'!$K$50</definedName>
    <definedName name="OSRRefE21_5x_3" localSheetId="79">'415'!$K$53:$K$54</definedName>
    <definedName name="OSRRefE21_5x_3" localSheetId="80">'418'!$K$49</definedName>
    <definedName name="OSRRefE21_5x_3" localSheetId="82">'423'!$K$46</definedName>
    <definedName name="OSRRefE21_5x_3" localSheetId="87">'430'!$K$48:$K$49</definedName>
    <definedName name="OSRRefE21_5x_3" localSheetId="88">'433'!$K$54</definedName>
    <definedName name="OSRRefE21_5x_3" localSheetId="90">'444'!$K$54</definedName>
    <definedName name="OSRRefE21_5x_3" localSheetId="91">'450'!$K$50</definedName>
    <definedName name="OSRRefE21_5x_3" localSheetId="72">'491'!$K$55:$K$57</definedName>
    <definedName name="OSRRefE21_5x_3" localSheetId="86">'492'!$K$54</definedName>
    <definedName name="OSRRefE21_5x_3" localSheetId="93">'501'!$K$49:$K$50</definedName>
    <definedName name="OSRRefE21_5x_3" localSheetId="39">'Div 2'!$K$48</definedName>
    <definedName name="OSRRefE21_5x_3" localSheetId="47">'Div 3'!$K$144:$K$145</definedName>
    <definedName name="OSRRefE21_5x_3" localSheetId="70">'Div 4'!$K$58:$K$60</definedName>
    <definedName name="OSRRefE21_5x_3" localSheetId="92">'Div 5'!$K$49:$K$50</definedName>
    <definedName name="OSRRefE21_5x_3" localSheetId="61">'Div 6'!$K$76</definedName>
    <definedName name="OSRRefE21_5x_3" localSheetId="2">Summary!$K$171:$K$173</definedName>
    <definedName name="OSRRefE21_5x_4" localSheetId="41">'201'!$L$47</definedName>
    <definedName name="OSRRefE21_5x_4" localSheetId="42">'202'!$L$47</definedName>
    <definedName name="OSRRefE21_5x_4" localSheetId="43">'203'!$L$47</definedName>
    <definedName name="OSRRefE21_5x_4" localSheetId="44">'204'!$L$49</definedName>
    <definedName name="OSRRefE21_5x_4" localSheetId="45">'205'!$L$48</definedName>
    <definedName name="OSRRefE21_5x_4" localSheetId="46">'206'!$L$46</definedName>
    <definedName name="OSRRefE21_5x_4" localSheetId="48">'300'!$L$140:$L$141</definedName>
    <definedName name="OSRRefE21_5x_4" localSheetId="49">'300 &amp; 317'!$L$162:$L$163</definedName>
    <definedName name="OSRRefE21_5x_4" localSheetId="50">'301'!$L$48</definedName>
    <definedName name="OSRRefE21_5x_4" localSheetId="52">'307'!$L$64:$L$65</definedName>
    <definedName name="OSRRefE21_5x_4" localSheetId="53">'308'!$L$81</definedName>
    <definedName name="OSRRefE21_5x_4" localSheetId="64">'309'!$L$47:$L$48</definedName>
    <definedName name="OSRRefE21_5x_4" localSheetId="63">'310'!$L$53:$L$54</definedName>
    <definedName name="OSRRefE21_5x_4" localSheetId="71">'310 &amp; 491'!$L$58:$L$60</definedName>
    <definedName name="OSRRefE21_5x_4" localSheetId="54">'311'!$L$80</definedName>
    <definedName name="OSRRefE21_5x_4" localSheetId="65">'313'!$L$47</definedName>
    <definedName name="OSRRefE21_5x_4" localSheetId="57">'315'!$L$103</definedName>
    <definedName name="OSRRefE21_5x_4" localSheetId="60">'316'!$L$56</definedName>
    <definedName name="OSRRefE21_5x_4" localSheetId="62">'317'!$L$76</definedName>
    <definedName name="OSRRefE21_5x_4" localSheetId="66">'321'!$L$49</definedName>
    <definedName name="OSRRefE21_5x_4" localSheetId="67">'322'!$L$48</definedName>
    <definedName name="OSRRefE21_5x_4" localSheetId="68">'325'!$L$47:$L$48</definedName>
    <definedName name="OSRRefE21_5x_4" localSheetId="58">'326'!$L$70</definedName>
    <definedName name="OSRRefE21_5x_4" localSheetId="51">'330'!$L$64:$L$65</definedName>
    <definedName name="OSRRefE21_5x_4" localSheetId="56">'331'!$L$103</definedName>
    <definedName name="OSRRefE21_5x_4" localSheetId="59">'332'!$L$56</definedName>
    <definedName name="OSRRefE21_5x_4" localSheetId="73">'405'!$L$49</definedName>
    <definedName name="OSRRefE21_5x_4" localSheetId="75">'411'!$L$47</definedName>
    <definedName name="OSRRefE21_5x_4" localSheetId="76">'412'!$L$48</definedName>
    <definedName name="OSRRefE21_5x_4" localSheetId="77">'413'!$L$49</definedName>
    <definedName name="OSRRefE21_5x_4" localSheetId="78">'414'!$L$50</definedName>
    <definedName name="OSRRefE21_5x_4" localSheetId="79">'415'!$L$53:$L$54</definedName>
    <definedName name="OSRRefE21_5x_4" localSheetId="80">'418'!$L$49</definedName>
    <definedName name="OSRRefE21_5x_4" localSheetId="82">'423'!$L$46</definedName>
    <definedName name="OSRRefE21_5x_4" localSheetId="87">'430'!$L$48:$L$49</definedName>
    <definedName name="OSRRefE21_5x_4" localSheetId="88">'433'!$L$54</definedName>
    <definedName name="OSRRefE21_5x_4" localSheetId="90">'444'!$L$54</definedName>
    <definedName name="OSRRefE21_5x_4" localSheetId="91">'450'!$L$50</definedName>
    <definedName name="OSRRefE21_5x_4" localSheetId="72">'491'!$L$55:$L$57</definedName>
    <definedName name="OSRRefE21_5x_4" localSheetId="86">'492'!$L$54</definedName>
    <definedName name="OSRRefE21_5x_4" localSheetId="93">'501'!$L$49:$L$50</definedName>
    <definedName name="OSRRefE21_5x_4" localSheetId="39">'Div 2'!$L$48</definedName>
    <definedName name="OSRRefE21_5x_4" localSheetId="47">'Div 3'!$L$144:$L$145</definedName>
    <definedName name="OSRRefE21_5x_4" localSheetId="70">'Div 4'!$L$58:$L$60</definedName>
    <definedName name="OSRRefE21_5x_4" localSheetId="92">'Div 5'!$L$49:$L$50</definedName>
    <definedName name="OSRRefE21_5x_4" localSheetId="61">'Div 6'!$L$76</definedName>
    <definedName name="OSRRefE21_5x_4" localSheetId="2">Summary!$L$171:$L$173</definedName>
    <definedName name="OSRRefE21_5x_5" localSheetId="41">'201'!$M$47</definedName>
    <definedName name="OSRRefE21_5x_5" localSheetId="42">'202'!$M$47</definedName>
    <definedName name="OSRRefE21_5x_5" localSheetId="43">'203'!$M$47</definedName>
    <definedName name="OSRRefE21_5x_5" localSheetId="44">'204'!$M$49</definedName>
    <definedName name="OSRRefE21_5x_5" localSheetId="45">'205'!$M$48</definedName>
    <definedName name="OSRRefE21_5x_5" localSheetId="46">'206'!$M$46</definedName>
    <definedName name="OSRRefE21_5x_5" localSheetId="48">'300'!$M$140:$M$141</definedName>
    <definedName name="OSRRefE21_5x_5" localSheetId="49">'300 &amp; 317'!$M$162:$M$163</definedName>
    <definedName name="OSRRefE21_5x_5" localSheetId="50">'301'!$M$48</definedName>
    <definedName name="OSRRefE21_5x_5" localSheetId="52">'307'!$M$64:$M$65</definedName>
    <definedName name="OSRRefE21_5x_5" localSheetId="53">'308'!$M$81</definedName>
    <definedName name="OSRRefE21_5x_5" localSheetId="64">'309'!$M$47:$M$48</definedName>
    <definedName name="OSRRefE21_5x_5" localSheetId="63">'310'!$M$53:$M$54</definedName>
    <definedName name="OSRRefE21_5x_5" localSheetId="71">'310 &amp; 491'!$M$58:$M$60</definedName>
    <definedName name="OSRRefE21_5x_5" localSheetId="54">'311'!$M$80</definedName>
    <definedName name="OSRRefE21_5x_5" localSheetId="65">'313'!$M$47</definedName>
    <definedName name="OSRRefE21_5x_5" localSheetId="57">'315'!$M$103</definedName>
    <definedName name="OSRRefE21_5x_5" localSheetId="60">'316'!$M$56</definedName>
    <definedName name="OSRRefE21_5x_5" localSheetId="62">'317'!$M$76</definedName>
    <definedName name="OSRRefE21_5x_5" localSheetId="66">'321'!$M$49</definedName>
    <definedName name="OSRRefE21_5x_5" localSheetId="67">'322'!$M$48</definedName>
    <definedName name="OSRRefE21_5x_5" localSheetId="68">'325'!$M$47:$M$48</definedName>
    <definedName name="OSRRefE21_5x_5" localSheetId="58">'326'!$M$70</definedName>
    <definedName name="OSRRefE21_5x_5" localSheetId="51">'330'!$M$64:$M$65</definedName>
    <definedName name="OSRRefE21_5x_5" localSheetId="56">'331'!$M$103</definedName>
    <definedName name="OSRRefE21_5x_5" localSheetId="59">'332'!$M$56</definedName>
    <definedName name="OSRRefE21_5x_5" localSheetId="73">'405'!$M$49</definedName>
    <definedName name="OSRRefE21_5x_5" localSheetId="75">'411'!$M$47</definedName>
    <definedName name="OSRRefE21_5x_5" localSheetId="76">'412'!$M$48</definedName>
    <definedName name="OSRRefE21_5x_5" localSheetId="77">'413'!$M$49</definedName>
    <definedName name="OSRRefE21_5x_5" localSheetId="78">'414'!$M$50</definedName>
    <definedName name="OSRRefE21_5x_5" localSheetId="79">'415'!$M$53:$M$54</definedName>
    <definedName name="OSRRefE21_5x_5" localSheetId="80">'418'!$M$49</definedName>
    <definedName name="OSRRefE21_5x_5" localSheetId="82">'423'!$M$46</definedName>
    <definedName name="OSRRefE21_5x_5" localSheetId="87">'430'!$M$48:$M$49</definedName>
    <definedName name="OSRRefE21_5x_5" localSheetId="88">'433'!$M$54</definedName>
    <definedName name="OSRRefE21_5x_5" localSheetId="90">'444'!$M$54</definedName>
    <definedName name="OSRRefE21_5x_5" localSheetId="91">'450'!$M$50</definedName>
    <definedName name="OSRRefE21_5x_5" localSheetId="72">'491'!$M$55:$M$57</definedName>
    <definedName name="OSRRefE21_5x_5" localSheetId="86">'492'!$M$54</definedName>
    <definedName name="OSRRefE21_5x_5" localSheetId="93">'501'!$M$49:$M$50</definedName>
    <definedName name="OSRRefE21_5x_5" localSheetId="39">'Div 2'!$M$48</definedName>
    <definedName name="OSRRefE21_5x_5" localSheetId="47">'Div 3'!$M$144:$M$145</definedName>
    <definedName name="OSRRefE21_5x_5" localSheetId="70">'Div 4'!$M$58:$M$60</definedName>
    <definedName name="OSRRefE21_5x_5" localSheetId="92">'Div 5'!$M$49:$M$50</definedName>
    <definedName name="OSRRefE21_5x_5" localSheetId="61">'Div 6'!$M$76</definedName>
    <definedName name="OSRRefE21_5x_5" localSheetId="2">Summary!$M$171:$M$173</definedName>
    <definedName name="OSRRefE21_5x_6" localSheetId="41">'201'!$N$47</definedName>
    <definedName name="OSRRefE21_5x_6" localSheetId="42">'202'!$N$47</definedName>
    <definedName name="OSRRefE21_5x_6" localSheetId="43">'203'!$N$47</definedName>
    <definedName name="OSRRefE21_5x_6" localSheetId="44">'204'!$N$49</definedName>
    <definedName name="OSRRefE21_5x_6" localSheetId="45">'205'!$N$48</definedName>
    <definedName name="OSRRefE21_5x_6" localSheetId="46">'206'!$N$46</definedName>
    <definedName name="OSRRefE21_5x_6" localSheetId="48">'300'!$N$140:$N$141</definedName>
    <definedName name="OSRRefE21_5x_6" localSheetId="49">'300 &amp; 317'!$N$162:$N$163</definedName>
    <definedName name="OSRRefE21_5x_6" localSheetId="50">'301'!$N$48</definedName>
    <definedName name="OSRRefE21_5x_6" localSheetId="52">'307'!$N$64:$N$65</definedName>
    <definedName name="OSRRefE21_5x_6" localSheetId="53">'308'!$N$81</definedName>
    <definedName name="OSRRefE21_5x_6" localSheetId="64">'309'!$N$47:$N$48</definedName>
    <definedName name="OSRRefE21_5x_6" localSheetId="63">'310'!$N$53:$N$54</definedName>
    <definedName name="OSRRefE21_5x_6" localSheetId="71">'310 &amp; 491'!$N$58:$N$60</definedName>
    <definedName name="OSRRefE21_5x_6" localSheetId="54">'311'!$N$80</definedName>
    <definedName name="OSRRefE21_5x_6" localSheetId="65">'313'!$N$47</definedName>
    <definedName name="OSRRefE21_5x_6" localSheetId="57">'315'!$N$103</definedName>
    <definedName name="OSRRefE21_5x_6" localSheetId="60">'316'!$N$56</definedName>
    <definedName name="OSRRefE21_5x_6" localSheetId="62">'317'!$N$76</definedName>
    <definedName name="OSRRefE21_5x_6" localSheetId="66">'321'!$N$49</definedName>
    <definedName name="OSRRefE21_5x_6" localSheetId="67">'322'!$N$48</definedName>
    <definedName name="OSRRefE21_5x_6" localSheetId="68">'325'!$N$47:$N$48</definedName>
    <definedName name="OSRRefE21_5x_6" localSheetId="58">'326'!$N$70</definedName>
    <definedName name="OSRRefE21_5x_6" localSheetId="51">'330'!$N$64:$N$65</definedName>
    <definedName name="OSRRefE21_5x_6" localSheetId="56">'331'!$N$103</definedName>
    <definedName name="OSRRefE21_5x_6" localSheetId="59">'332'!$N$56</definedName>
    <definedName name="OSRRefE21_5x_6" localSheetId="73">'405'!$N$49</definedName>
    <definedName name="OSRRefE21_5x_6" localSheetId="75">'411'!$N$47</definedName>
    <definedName name="OSRRefE21_5x_6" localSheetId="76">'412'!$N$48</definedName>
    <definedName name="OSRRefE21_5x_6" localSheetId="77">'413'!$N$49</definedName>
    <definedName name="OSRRefE21_5x_6" localSheetId="78">'414'!$N$50</definedName>
    <definedName name="OSRRefE21_5x_6" localSheetId="79">'415'!$N$53:$N$54</definedName>
    <definedName name="OSRRefE21_5x_6" localSheetId="80">'418'!$N$49</definedName>
    <definedName name="OSRRefE21_5x_6" localSheetId="82">'423'!$N$46</definedName>
    <definedName name="OSRRefE21_5x_6" localSheetId="87">'430'!$N$48:$N$49</definedName>
    <definedName name="OSRRefE21_5x_6" localSheetId="88">'433'!$N$54</definedName>
    <definedName name="OSRRefE21_5x_6" localSheetId="90">'444'!$N$54</definedName>
    <definedName name="OSRRefE21_5x_6" localSheetId="91">'450'!$N$50</definedName>
    <definedName name="OSRRefE21_5x_6" localSheetId="72">'491'!$N$55:$N$57</definedName>
    <definedName name="OSRRefE21_5x_6" localSheetId="86">'492'!$N$54</definedName>
    <definedName name="OSRRefE21_5x_6" localSheetId="93">'501'!$N$49:$N$50</definedName>
    <definedName name="OSRRefE21_5x_6" localSheetId="39">'Div 2'!$N$48</definedName>
    <definedName name="OSRRefE21_5x_6" localSheetId="47">'Div 3'!$N$144:$N$145</definedName>
    <definedName name="OSRRefE21_5x_6" localSheetId="70">'Div 4'!$N$58:$N$60</definedName>
    <definedName name="OSRRefE21_5x_6" localSheetId="92">'Div 5'!$N$49:$N$50</definedName>
    <definedName name="OSRRefE21_5x_6" localSheetId="61">'Div 6'!$N$76</definedName>
    <definedName name="OSRRefE21_5x_6" localSheetId="2">Summary!$N$171:$N$173</definedName>
    <definedName name="OSRRefE21_5x_7" localSheetId="41">'201'!$O$47</definedName>
    <definedName name="OSRRefE21_5x_7" localSheetId="42">'202'!$O$47</definedName>
    <definedName name="OSRRefE21_5x_7" localSheetId="43">'203'!$O$47</definedName>
    <definedName name="OSRRefE21_5x_7" localSheetId="44">'204'!$O$49</definedName>
    <definedName name="OSRRefE21_5x_7" localSheetId="45">'205'!$O$48</definedName>
    <definedName name="OSRRefE21_5x_7" localSheetId="46">'206'!$O$46</definedName>
    <definedName name="OSRRefE21_5x_7" localSheetId="48">'300'!$O$140:$O$141</definedName>
    <definedName name="OSRRefE21_5x_7" localSheetId="49">'300 &amp; 317'!$O$162:$O$163</definedName>
    <definedName name="OSRRefE21_5x_7" localSheetId="50">'301'!$O$48</definedName>
    <definedName name="OSRRefE21_5x_7" localSheetId="52">'307'!$O$64:$O$65</definedName>
    <definedName name="OSRRefE21_5x_7" localSheetId="53">'308'!$O$81</definedName>
    <definedName name="OSRRefE21_5x_7" localSheetId="64">'309'!$O$47:$O$48</definedName>
    <definedName name="OSRRefE21_5x_7" localSheetId="63">'310'!$O$53:$O$54</definedName>
    <definedName name="OSRRefE21_5x_7" localSheetId="71">'310 &amp; 491'!$O$58:$O$60</definedName>
    <definedName name="OSRRefE21_5x_7" localSheetId="54">'311'!$O$80</definedName>
    <definedName name="OSRRefE21_5x_7" localSheetId="65">'313'!$O$47</definedName>
    <definedName name="OSRRefE21_5x_7" localSheetId="57">'315'!$O$103</definedName>
    <definedName name="OSRRefE21_5x_7" localSheetId="60">'316'!$O$56</definedName>
    <definedName name="OSRRefE21_5x_7" localSheetId="62">'317'!$O$76</definedName>
    <definedName name="OSRRefE21_5x_7" localSheetId="66">'321'!$O$49</definedName>
    <definedName name="OSRRefE21_5x_7" localSheetId="67">'322'!$O$48</definedName>
    <definedName name="OSRRefE21_5x_7" localSheetId="68">'325'!$O$47:$O$48</definedName>
    <definedName name="OSRRefE21_5x_7" localSheetId="58">'326'!$O$70</definedName>
    <definedName name="OSRRefE21_5x_7" localSheetId="51">'330'!$O$64:$O$65</definedName>
    <definedName name="OSRRefE21_5x_7" localSheetId="56">'331'!$O$103</definedName>
    <definedName name="OSRRefE21_5x_7" localSheetId="59">'332'!$O$56</definedName>
    <definedName name="OSRRefE21_5x_7" localSheetId="73">'405'!$O$49</definedName>
    <definedName name="OSRRefE21_5x_7" localSheetId="75">'411'!$O$47</definedName>
    <definedName name="OSRRefE21_5x_7" localSheetId="76">'412'!$O$48</definedName>
    <definedName name="OSRRefE21_5x_7" localSheetId="77">'413'!$O$49</definedName>
    <definedName name="OSRRefE21_5x_7" localSheetId="78">'414'!$O$50</definedName>
    <definedName name="OSRRefE21_5x_7" localSheetId="79">'415'!$O$53:$O$54</definedName>
    <definedName name="OSRRefE21_5x_7" localSheetId="80">'418'!$O$49</definedName>
    <definedName name="OSRRefE21_5x_7" localSheetId="82">'423'!$O$46</definedName>
    <definedName name="OSRRefE21_5x_7" localSheetId="87">'430'!$O$48:$O$49</definedName>
    <definedName name="OSRRefE21_5x_7" localSheetId="88">'433'!$O$54</definedName>
    <definedName name="OSRRefE21_5x_7" localSheetId="90">'444'!$O$54</definedName>
    <definedName name="OSRRefE21_5x_7" localSheetId="91">'450'!$O$50</definedName>
    <definedName name="OSRRefE21_5x_7" localSheetId="72">'491'!$O$55:$O$57</definedName>
    <definedName name="OSRRefE21_5x_7" localSheetId="86">'492'!$O$54</definedName>
    <definedName name="OSRRefE21_5x_7" localSheetId="93">'501'!$O$49:$O$50</definedName>
    <definedName name="OSRRefE21_5x_7" localSheetId="39">'Div 2'!$O$48</definedName>
    <definedName name="OSRRefE21_5x_7" localSheetId="47">'Div 3'!$O$144:$O$145</definedName>
    <definedName name="OSRRefE21_5x_7" localSheetId="70">'Div 4'!$O$58:$O$60</definedName>
    <definedName name="OSRRefE21_5x_7" localSheetId="92">'Div 5'!$O$49:$O$50</definedName>
    <definedName name="OSRRefE21_5x_7" localSheetId="61">'Div 6'!$O$76</definedName>
    <definedName name="OSRRefE21_5x_7" localSheetId="2">Summary!$O$171:$O$173</definedName>
    <definedName name="OSRRefE21_6_0x" localSheetId="41">'201'!$H$49:$O$49</definedName>
    <definedName name="OSRRefE21_6_0x" localSheetId="42">'202'!$H$49:$O$49</definedName>
    <definedName name="OSRRefE21_6_0x" localSheetId="43">'203'!$H$49:$O$49</definedName>
    <definedName name="OSRRefE21_6_0x" localSheetId="44">'204'!$H$51:$O$51</definedName>
    <definedName name="OSRRefE21_6_0x" localSheetId="45">'205'!$H$50:$O$50</definedName>
    <definedName name="OSRRefE21_6_0x" localSheetId="46">'206'!$H$48:$O$48</definedName>
    <definedName name="OSRRefE21_6_0x" localSheetId="48">'300'!$H$143:$O$143</definedName>
    <definedName name="OSRRefE21_6_0x" localSheetId="49">'300 &amp; 317'!$H$165:$O$165</definedName>
    <definedName name="OSRRefE21_6_0x" localSheetId="50">'301'!$H$50:$O$50</definedName>
    <definedName name="OSRRefE21_6_0x" localSheetId="52">'307'!$H$67:$O$67</definedName>
    <definedName name="OSRRefE21_6_0x" localSheetId="53">'308'!$H$83:$O$83</definedName>
    <definedName name="OSRRefE21_6_0x" localSheetId="64">'309'!$H$50:$O$50</definedName>
    <definedName name="OSRRefE21_6_0x" localSheetId="63">'310'!$H$56:$O$56</definedName>
    <definedName name="OSRRefE21_6_0x" localSheetId="71">'310 &amp; 491'!$H$62:$O$62</definedName>
    <definedName name="OSRRefE21_6_0x" localSheetId="54">'311'!$H$82:$O$82</definedName>
    <definedName name="OSRRefE21_6_0x" localSheetId="65">'313'!$H$49:$O$49</definedName>
    <definedName name="OSRRefE21_6_0x" localSheetId="57">'315'!$H$105:$O$105</definedName>
    <definedName name="OSRRefE21_6_0x" localSheetId="60">'316'!$H$58:$O$58</definedName>
    <definedName name="OSRRefE21_6_0x" localSheetId="62">'317'!$H$78:$O$78</definedName>
    <definedName name="OSRRefE21_6_0x" localSheetId="66">'321'!$H$51:$O$51</definedName>
    <definedName name="OSRRefE21_6_0x" localSheetId="67">'322'!$H$50:$O$50</definedName>
    <definedName name="OSRRefE21_6_0x" localSheetId="68">'325'!$H$50:$O$50</definedName>
    <definedName name="OSRRefE21_6_0x" localSheetId="58">'326'!$H$72:$O$72</definedName>
    <definedName name="OSRRefE21_6_0x" localSheetId="51">'330'!$H$67:$O$67</definedName>
    <definedName name="OSRRefE21_6_0x" localSheetId="56">'331'!$H$105:$O$105</definedName>
    <definedName name="OSRRefE21_6_0x" localSheetId="59">'332'!$H$58:$O$58</definedName>
    <definedName name="OSRRefE21_6_0x" localSheetId="73">'405'!$H$51:$O$51</definedName>
    <definedName name="OSRRefE21_6_0x" localSheetId="75">'411'!$H$49:$O$49</definedName>
    <definedName name="OSRRefE21_6_0x" localSheetId="76">'412'!$H$50:$O$50</definedName>
    <definedName name="OSRRefE21_6_0x" localSheetId="77">'413'!$H$51:$O$51</definedName>
    <definedName name="OSRRefE21_6_0x" localSheetId="78">'414'!$H$52:$O$52</definedName>
    <definedName name="OSRRefE21_6_0x" localSheetId="79">'415'!$H$56:$O$56</definedName>
    <definedName name="OSRRefE21_6_0x" localSheetId="80">'418'!$H$51:$O$51</definedName>
    <definedName name="OSRRefE21_6_0x" localSheetId="82">'423'!$H$48:$O$48</definedName>
    <definedName name="OSRRefE21_6_0x" localSheetId="87">'430'!$H$51:$O$51</definedName>
    <definedName name="OSRRefE21_6_0x" localSheetId="88">'433'!$H$56:$O$56</definedName>
    <definedName name="OSRRefE21_6_0x" localSheetId="90">'444'!$H$56:$O$56</definedName>
    <definedName name="OSRRefE21_6_0x" localSheetId="91">'450'!$H$52:$O$52</definedName>
    <definedName name="OSRRefE21_6_0x" localSheetId="72">'491'!$H$59:$O$59</definedName>
    <definedName name="OSRRefE21_6_0x" localSheetId="86">'492'!$H$56:$O$56</definedName>
    <definedName name="OSRRefE21_6_0x" localSheetId="93">'501'!$H$52:$O$52</definedName>
    <definedName name="OSRRefE21_6_0x" localSheetId="39">'Div 2'!$H$50:$O$50</definedName>
    <definedName name="OSRRefE21_6_0x" localSheetId="47">'Div 3'!$H$147:$O$147</definedName>
    <definedName name="OSRRefE21_6_0x" localSheetId="70">'Div 4'!$H$62:$O$62</definedName>
    <definedName name="OSRRefE21_6_0x" localSheetId="92">'Div 5'!$H$52:$O$52</definedName>
    <definedName name="OSRRefE21_6_0x" localSheetId="61">'Div 6'!$H$78:$O$78</definedName>
    <definedName name="OSRRefE21_6_0x" localSheetId="2">Summary!$H$175:$O$175</definedName>
    <definedName name="OSRRefE21_6_1x" localSheetId="48">'300'!$H$144:$O$144</definedName>
    <definedName name="OSRRefE21_6_1x" localSheetId="49">'300 &amp; 317'!$H$166:$O$166</definedName>
    <definedName name="OSRRefE21_6_1x" localSheetId="52">'307'!$H$68:$O$68</definedName>
    <definedName name="OSRRefE21_6_1x" localSheetId="64">'309'!$H$51:$O$51</definedName>
    <definedName name="OSRRefE21_6_1x" localSheetId="60">'316'!$H$59:$O$59</definedName>
    <definedName name="OSRRefE21_6_1x" localSheetId="62">'317'!$H$79:$O$79</definedName>
    <definedName name="OSRRefE21_6_1x" localSheetId="66">'321'!$H$52:$O$52</definedName>
    <definedName name="OSRRefE21_6_1x" localSheetId="67">'322'!$H$51:$O$51</definedName>
    <definedName name="OSRRefE21_6_1x" localSheetId="51">'330'!$H$68:$O$68</definedName>
    <definedName name="OSRRefE21_6_1x" localSheetId="59">'332'!$H$59:$O$59</definedName>
    <definedName name="OSRRefE21_6_1x" localSheetId="39">'Div 2'!$H$51:$O$51</definedName>
    <definedName name="OSRRefE21_6_1x" localSheetId="47">'Div 3'!$H$148:$O$148</definedName>
    <definedName name="OSRRefE21_6_1x" localSheetId="61">'Div 6'!$H$79:$O$79</definedName>
    <definedName name="OSRRefE21_6_1x" localSheetId="2">Summary!$H$176:$O$176</definedName>
    <definedName name="OSRRefE21_6x_0" localSheetId="41">'201'!$H$49</definedName>
    <definedName name="OSRRefE21_6x_0" localSheetId="42">'202'!$H$49</definedName>
    <definedName name="OSRRefE21_6x_0" localSheetId="43">'203'!$H$49</definedName>
    <definedName name="OSRRefE21_6x_0" localSheetId="44">'204'!$H$51</definedName>
    <definedName name="OSRRefE21_6x_0" localSheetId="45">'205'!$H$50</definedName>
    <definedName name="OSRRefE21_6x_0" localSheetId="46">'206'!$H$48</definedName>
    <definedName name="OSRRefE21_6x_0" localSheetId="48">'300'!$H$143:$H$144</definedName>
    <definedName name="OSRRefE21_6x_0" localSheetId="49">'300 &amp; 317'!$H$165:$H$166</definedName>
    <definedName name="OSRRefE21_6x_0" localSheetId="50">'301'!$H$50</definedName>
    <definedName name="OSRRefE21_6x_0" localSheetId="52">'307'!$H$67:$H$68</definedName>
    <definedName name="OSRRefE21_6x_0" localSheetId="53">'308'!$H$83</definedName>
    <definedName name="OSRRefE21_6x_0" localSheetId="64">'309'!$H$50:$H$51</definedName>
    <definedName name="OSRRefE21_6x_0" localSheetId="63">'310'!$H$56</definedName>
    <definedName name="OSRRefE21_6x_0" localSheetId="71">'310 &amp; 491'!$H$62</definedName>
    <definedName name="OSRRefE21_6x_0" localSheetId="54">'311'!$H$82</definedName>
    <definedName name="OSRRefE21_6x_0" localSheetId="65">'313'!$H$49</definedName>
    <definedName name="OSRRefE21_6x_0" localSheetId="57">'315'!$H$105</definedName>
    <definedName name="OSRRefE21_6x_0" localSheetId="60">'316'!$H$58:$H$59</definedName>
    <definedName name="OSRRefE21_6x_0" localSheetId="62">'317'!$H$78:$H$79</definedName>
    <definedName name="OSRRefE21_6x_0" localSheetId="66">'321'!$H$51:$H$52</definedName>
    <definedName name="OSRRefE21_6x_0" localSheetId="67">'322'!$H$50:$H$51</definedName>
    <definedName name="OSRRefE21_6x_0" localSheetId="68">'325'!$H$50</definedName>
    <definedName name="OSRRefE21_6x_0" localSheetId="58">'326'!$H$72</definedName>
    <definedName name="OSRRefE21_6x_0" localSheetId="51">'330'!$H$67:$H$68</definedName>
    <definedName name="OSRRefE21_6x_0" localSheetId="56">'331'!$H$105</definedName>
    <definedName name="OSRRefE21_6x_0" localSheetId="59">'332'!$H$58:$H$59</definedName>
    <definedName name="OSRRefE21_6x_0" localSheetId="73">'405'!$H$51</definedName>
    <definedName name="OSRRefE21_6x_0" localSheetId="75">'411'!$H$49</definedName>
    <definedName name="OSRRefE21_6x_0" localSheetId="76">'412'!$H$50</definedName>
    <definedName name="OSRRefE21_6x_0" localSheetId="77">'413'!$H$51</definedName>
    <definedName name="OSRRefE21_6x_0" localSheetId="78">'414'!$H$52</definedName>
    <definedName name="OSRRefE21_6x_0" localSheetId="79">'415'!$H$56</definedName>
    <definedName name="OSRRefE21_6x_0" localSheetId="80">'418'!$H$51</definedName>
    <definedName name="OSRRefE21_6x_0" localSheetId="82">'423'!$H$48</definedName>
    <definedName name="OSRRefE21_6x_0" localSheetId="87">'430'!$H$51</definedName>
    <definedName name="OSRRefE21_6x_0" localSheetId="88">'433'!$H$56</definedName>
    <definedName name="OSRRefE21_6x_0" localSheetId="90">'444'!$H$56</definedName>
    <definedName name="OSRRefE21_6x_0" localSheetId="91">'450'!$H$52</definedName>
    <definedName name="OSRRefE21_6x_0" localSheetId="72">'491'!$H$59</definedName>
    <definedName name="OSRRefE21_6x_0" localSheetId="86">'492'!$H$56</definedName>
    <definedName name="OSRRefE21_6x_0" localSheetId="93">'501'!$H$52</definedName>
    <definedName name="OSRRefE21_6x_0" localSheetId="39">'Div 2'!$H$50:$H$51</definedName>
    <definedName name="OSRRefE21_6x_0" localSheetId="47">'Div 3'!$H$147:$H$148</definedName>
    <definedName name="OSRRefE21_6x_0" localSheetId="70">'Div 4'!$H$62</definedName>
    <definedName name="OSRRefE21_6x_0" localSheetId="92">'Div 5'!$H$52</definedName>
    <definedName name="OSRRefE21_6x_0" localSheetId="61">'Div 6'!$H$78:$H$79</definedName>
    <definedName name="OSRRefE21_6x_0" localSheetId="2">Summary!$H$175:$H$176</definedName>
    <definedName name="OSRRefE21_6x_1" localSheetId="41">'201'!$I$49</definedName>
    <definedName name="OSRRefE21_6x_1" localSheetId="42">'202'!$I$49</definedName>
    <definedName name="OSRRefE21_6x_1" localSheetId="43">'203'!$I$49</definedName>
    <definedName name="OSRRefE21_6x_1" localSheetId="44">'204'!$I$51</definedName>
    <definedName name="OSRRefE21_6x_1" localSheetId="45">'205'!$I$50</definedName>
    <definedName name="OSRRefE21_6x_1" localSheetId="46">'206'!$I$48</definedName>
    <definedName name="OSRRefE21_6x_1" localSheetId="48">'300'!$I$143:$I$144</definedName>
    <definedName name="OSRRefE21_6x_1" localSheetId="49">'300 &amp; 317'!$I$165:$I$166</definedName>
    <definedName name="OSRRefE21_6x_1" localSheetId="50">'301'!$I$50</definedName>
    <definedName name="OSRRefE21_6x_1" localSheetId="52">'307'!$I$67:$I$68</definedName>
    <definedName name="OSRRefE21_6x_1" localSheetId="53">'308'!$I$83</definedName>
    <definedName name="OSRRefE21_6x_1" localSheetId="64">'309'!$I$50:$I$51</definedName>
    <definedName name="OSRRefE21_6x_1" localSheetId="63">'310'!$I$56</definedName>
    <definedName name="OSRRefE21_6x_1" localSheetId="71">'310 &amp; 491'!$I$62</definedName>
    <definedName name="OSRRefE21_6x_1" localSheetId="54">'311'!$I$82</definedName>
    <definedName name="OSRRefE21_6x_1" localSheetId="65">'313'!$I$49</definedName>
    <definedName name="OSRRefE21_6x_1" localSheetId="57">'315'!$I$105</definedName>
    <definedName name="OSRRefE21_6x_1" localSheetId="60">'316'!$I$58:$I$59</definedName>
    <definedName name="OSRRefE21_6x_1" localSheetId="62">'317'!$I$78:$I$79</definedName>
    <definedName name="OSRRefE21_6x_1" localSheetId="66">'321'!$I$51:$I$52</definedName>
    <definedName name="OSRRefE21_6x_1" localSheetId="67">'322'!$I$50:$I$51</definedName>
    <definedName name="OSRRefE21_6x_1" localSheetId="68">'325'!$I$50</definedName>
    <definedName name="OSRRefE21_6x_1" localSheetId="58">'326'!$I$72</definedName>
    <definedName name="OSRRefE21_6x_1" localSheetId="51">'330'!$I$67:$I$68</definedName>
    <definedName name="OSRRefE21_6x_1" localSheetId="56">'331'!$I$105</definedName>
    <definedName name="OSRRefE21_6x_1" localSheetId="59">'332'!$I$58:$I$59</definedName>
    <definedName name="OSRRefE21_6x_1" localSheetId="73">'405'!$I$51</definedName>
    <definedName name="OSRRefE21_6x_1" localSheetId="75">'411'!$I$49</definedName>
    <definedName name="OSRRefE21_6x_1" localSheetId="76">'412'!$I$50</definedName>
    <definedName name="OSRRefE21_6x_1" localSheetId="77">'413'!$I$51</definedName>
    <definedName name="OSRRefE21_6x_1" localSheetId="78">'414'!$I$52</definedName>
    <definedName name="OSRRefE21_6x_1" localSheetId="79">'415'!$I$56</definedName>
    <definedName name="OSRRefE21_6x_1" localSheetId="80">'418'!$I$51</definedName>
    <definedName name="OSRRefE21_6x_1" localSheetId="82">'423'!$I$48</definedName>
    <definedName name="OSRRefE21_6x_1" localSheetId="87">'430'!$I$51</definedName>
    <definedName name="OSRRefE21_6x_1" localSheetId="88">'433'!$I$56</definedName>
    <definedName name="OSRRefE21_6x_1" localSheetId="90">'444'!$I$56</definedName>
    <definedName name="OSRRefE21_6x_1" localSheetId="91">'450'!$I$52</definedName>
    <definedName name="OSRRefE21_6x_1" localSheetId="72">'491'!$I$59</definedName>
    <definedName name="OSRRefE21_6x_1" localSheetId="86">'492'!$I$56</definedName>
    <definedName name="OSRRefE21_6x_1" localSheetId="93">'501'!$I$52</definedName>
    <definedName name="OSRRefE21_6x_1" localSheetId="39">'Div 2'!$I$50:$I$51</definedName>
    <definedName name="OSRRefE21_6x_1" localSheetId="47">'Div 3'!$I$147:$I$148</definedName>
    <definedName name="OSRRefE21_6x_1" localSheetId="70">'Div 4'!$I$62</definedName>
    <definedName name="OSRRefE21_6x_1" localSheetId="92">'Div 5'!$I$52</definedName>
    <definedName name="OSRRefE21_6x_1" localSheetId="61">'Div 6'!$I$78:$I$79</definedName>
    <definedName name="OSRRefE21_6x_1" localSheetId="2">Summary!$I$175:$I$176</definedName>
    <definedName name="OSRRefE21_6x_2" localSheetId="41">'201'!$J$49</definedName>
    <definedName name="OSRRefE21_6x_2" localSheetId="42">'202'!$J$49</definedName>
    <definedName name="OSRRefE21_6x_2" localSheetId="43">'203'!$J$49</definedName>
    <definedName name="OSRRefE21_6x_2" localSheetId="44">'204'!$J$51</definedName>
    <definedName name="OSRRefE21_6x_2" localSheetId="45">'205'!$J$50</definedName>
    <definedName name="OSRRefE21_6x_2" localSheetId="46">'206'!$J$48</definedName>
    <definedName name="OSRRefE21_6x_2" localSheetId="48">'300'!$J$143:$J$144</definedName>
    <definedName name="OSRRefE21_6x_2" localSheetId="49">'300 &amp; 317'!$J$165:$J$166</definedName>
    <definedName name="OSRRefE21_6x_2" localSheetId="50">'301'!$J$50</definedName>
    <definedName name="OSRRefE21_6x_2" localSheetId="52">'307'!$J$67:$J$68</definedName>
    <definedName name="OSRRefE21_6x_2" localSheetId="53">'308'!$J$83</definedName>
    <definedName name="OSRRefE21_6x_2" localSheetId="64">'309'!$J$50:$J$51</definedName>
    <definedName name="OSRRefE21_6x_2" localSheetId="63">'310'!$J$56</definedName>
    <definedName name="OSRRefE21_6x_2" localSheetId="71">'310 &amp; 491'!$J$62</definedName>
    <definedName name="OSRRefE21_6x_2" localSheetId="54">'311'!$J$82</definedName>
    <definedName name="OSRRefE21_6x_2" localSheetId="65">'313'!$J$49</definedName>
    <definedName name="OSRRefE21_6x_2" localSheetId="57">'315'!$J$105</definedName>
    <definedName name="OSRRefE21_6x_2" localSheetId="60">'316'!$J$58:$J$59</definedName>
    <definedName name="OSRRefE21_6x_2" localSheetId="62">'317'!$J$78:$J$79</definedName>
    <definedName name="OSRRefE21_6x_2" localSheetId="66">'321'!$J$51:$J$52</definedName>
    <definedName name="OSRRefE21_6x_2" localSheetId="67">'322'!$J$50:$J$51</definedName>
    <definedName name="OSRRefE21_6x_2" localSheetId="68">'325'!$J$50</definedName>
    <definedName name="OSRRefE21_6x_2" localSheetId="58">'326'!$J$72</definedName>
    <definedName name="OSRRefE21_6x_2" localSheetId="51">'330'!$J$67:$J$68</definedName>
    <definedName name="OSRRefE21_6x_2" localSheetId="56">'331'!$J$105</definedName>
    <definedName name="OSRRefE21_6x_2" localSheetId="59">'332'!$J$58:$J$59</definedName>
    <definedName name="OSRRefE21_6x_2" localSheetId="73">'405'!$J$51</definedName>
    <definedName name="OSRRefE21_6x_2" localSheetId="75">'411'!$J$49</definedName>
    <definedName name="OSRRefE21_6x_2" localSheetId="76">'412'!$J$50</definedName>
    <definedName name="OSRRefE21_6x_2" localSheetId="77">'413'!$J$51</definedName>
    <definedName name="OSRRefE21_6x_2" localSheetId="78">'414'!$J$52</definedName>
    <definedName name="OSRRefE21_6x_2" localSheetId="79">'415'!$J$56</definedName>
    <definedName name="OSRRefE21_6x_2" localSheetId="80">'418'!$J$51</definedName>
    <definedName name="OSRRefE21_6x_2" localSheetId="82">'423'!$J$48</definedName>
    <definedName name="OSRRefE21_6x_2" localSheetId="87">'430'!$J$51</definedName>
    <definedName name="OSRRefE21_6x_2" localSheetId="88">'433'!$J$56</definedName>
    <definedName name="OSRRefE21_6x_2" localSheetId="90">'444'!$J$56</definedName>
    <definedName name="OSRRefE21_6x_2" localSheetId="91">'450'!$J$52</definedName>
    <definedName name="OSRRefE21_6x_2" localSheetId="72">'491'!$J$59</definedName>
    <definedName name="OSRRefE21_6x_2" localSheetId="86">'492'!$J$56</definedName>
    <definedName name="OSRRefE21_6x_2" localSheetId="93">'501'!$J$52</definedName>
    <definedName name="OSRRefE21_6x_2" localSheetId="39">'Div 2'!$J$50:$J$51</definedName>
    <definedName name="OSRRefE21_6x_2" localSheetId="47">'Div 3'!$J$147:$J$148</definedName>
    <definedName name="OSRRefE21_6x_2" localSheetId="70">'Div 4'!$J$62</definedName>
    <definedName name="OSRRefE21_6x_2" localSheetId="92">'Div 5'!$J$52</definedName>
    <definedName name="OSRRefE21_6x_2" localSheetId="61">'Div 6'!$J$78:$J$79</definedName>
    <definedName name="OSRRefE21_6x_2" localSheetId="2">Summary!$J$175:$J$176</definedName>
    <definedName name="OSRRefE21_6x_3" localSheetId="41">'201'!$K$49</definedName>
    <definedName name="OSRRefE21_6x_3" localSheetId="42">'202'!$K$49</definedName>
    <definedName name="OSRRefE21_6x_3" localSheetId="43">'203'!$K$49</definedName>
    <definedName name="OSRRefE21_6x_3" localSheetId="44">'204'!$K$51</definedName>
    <definedName name="OSRRefE21_6x_3" localSheetId="45">'205'!$K$50</definedName>
    <definedName name="OSRRefE21_6x_3" localSheetId="46">'206'!$K$48</definedName>
    <definedName name="OSRRefE21_6x_3" localSheetId="48">'300'!$K$143:$K$144</definedName>
    <definedName name="OSRRefE21_6x_3" localSheetId="49">'300 &amp; 317'!$K$165:$K$166</definedName>
    <definedName name="OSRRefE21_6x_3" localSheetId="50">'301'!$K$50</definedName>
    <definedName name="OSRRefE21_6x_3" localSheetId="52">'307'!$K$67:$K$68</definedName>
    <definedName name="OSRRefE21_6x_3" localSheetId="53">'308'!$K$83</definedName>
    <definedName name="OSRRefE21_6x_3" localSheetId="64">'309'!$K$50:$K$51</definedName>
    <definedName name="OSRRefE21_6x_3" localSheetId="63">'310'!$K$56</definedName>
    <definedName name="OSRRefE21_6x_3" localSheetId="71">'310 &amp; 491'!$K$62</definedName>
    <definedName name="OSRRefE21_6x_3" localSheetId="54">'311'!$K$82</definedName>
    <definedName name="OSRRefE21_6x_3" localSheetId="65">'313'!$K$49</definedName>
    <definedName name="OSRRefE21_6x_3" localSheetId="57">'315'!$K$105</definedName>
    <definedName name="OSRRefE21_6x_3" localSheetId="60">'316'!$K$58:$K$59</definedName>
    <definedName name="OSRRefE21_6x_3" localSheetId="62">'317'!$K$78:$K$79</definedName>
    <definedName name="OSRRefE21_6x_3" localSheetId="66">'321'!$K$51:$K$52</definedName>
    <definedName name="OSRRefE21_6x_3" localSheetId="67">'322'!$K$50:$K$51</definedName>
    <definedName name="OSRRefE21_6x_3" localSheetId="68">'325'!$K$50</definedName>
    <definedName name="OSRRefE21_6x_3" localSheetId="58">'326'!$K$72</definedName>
    <definedName name="OSRRefE21_6x_3" localSheetId="51">'330'!$K$67:$K$68</definedName>
    <definedName name="OSRRefE21_6x_3" localSheetId="56">'331'!$K$105</definedName>
    <definedName name="OSRRefE21_6x_3" localSheetId="59">'332'!$K$58:$K$59</definedName>
    <definedName name="OSRRefE21_6x_3" localSheetId="73">'405'!$K$51</definedName>
    <definedName name="OSRRefE21_6x_3" localSheetId="75">'411'!$K$49</definedName>
    <definedName name="OSRRefE21_6x_3" localSheetId="76">'412'!$K$50</definedName>
    <definedName name="OSRRefE21_6x_3" localSheetId="77">'413'!$K$51</definedName>
    <definedName name="OSRRefE21_6x_3" localSheetId="78">'414'!$K$52</definedName>
    <definedName name="OSRRefE21_6x_3" localSheetId="79">'415'!$K$56</definedName>
    <definedName name="OSRRefE21_6x_3" localSheetId="80">'418'!$K$51</definedName>
    <definedName name="OSRRefE21_6x_3" localSheetId="82">'423'!$K$48</definedName>
    <definedName name="OSRRefE21_6x_3" localSheetId="87">'430'!$K$51</definedName>
    <definedName name="OSRRefE21_6x_3" localSheetId="88">'433'!$K$56</definedName>
    <definedName name="OSRRefE21_6x_3" localSheetId="90">'444'!$K$56</definedName>
    <definedName name="OSRRefE21_6x_3" localSheetId="91">'450'!$K$52</definedName>
    <definedName name="OSRRefE21_6x_3" localSheetId="72">'491'!$K$59</definedName>
    <definedName name="OSRRefE21_6x_3" localSheetId="86">'492'!$K$56</definedName>
    <definedName name="OSRRefE21_6x_3" localSheetId="93">'501'!$K$52</definedName>
    <definedName name="OSRRefE21_6x_3" localSheetId="39">'Div 2'!$K$50:$K$51</definedName>
    <definedName name="OSRRefE21_6x_3" localSheetId="47">'Div 3'!$K$147:$K$148</definedName>
    <definedName name="OSRRefE21_6x_3" localSheetId="70">'Div 4'!$K$62</definedName>
    <definedName name="OSRRefE21_6x_3" localSheetId="92">'Div 5'!$K$52</definedName>
    <definedName name="OSRRefE21_6x_3" localSheetId="61">'Div 6'!$K$78:$K$79</definedName>
    <definedName name="OSRRefE21_6x_3" localSheetId="2">Summary!$K$175:$K$176</definedName>
    <definedName name="OSRRefE21_6x_4" localSheetId="41">'201'!$L$49</definedName>
    <definedName name="OSRRefE21_6x_4" localSheetId="42">'202'!$L$49</definedName>
    <definedName name="OSRRefE21_6x_4" localSheetId="43">'203'!$L$49</definedName>
    <definedName name="OSRRefE21_6x_4" localSheetId="44">'204'!$L$51</definedName>
    <definedName name="OSRRefE21_6x_4" localSheetId="45">'205'!$L$50</definedName>
    <definedName name="OSRRefE21_6x_4" localSheetId="46">'206'!$L$48</definedName>
    <definedName name="OSRRefE21_6x_4" localSheetId="48">'300'!$L$143:$L$144</definedName>
    <definedName name="OSRRefE21_6x_4" localSheetId="49">'300 &amp; 317'!$L$165:$L$166</definedName>
    <definedName name="OSRRefE21_6x_4" localSheetId="50">'301'!$L$50</definedName>
    <definedName name="OSRRefE21_6x_4" localSheetId="52">'307'!$L$67:$L$68</definedName>
    <definedName name="OSRRefE21_6x_4" localSheetId="53">'308'!$L$83</definedName>
    <definedName name="OSRRefE21_6x_4" localSheetId="64">'309'!$L$50:$L$51</definedName>
    <definedName name="OSRRefE21_6x_4" localSheetId="63">'310'!$L$56</definedName>
    <definedName name="OSRRefE21_6x_4" localSheetId="71">'310 &amp; 491'!$L$62</definedName>
    <definedName name="OSRRefE21_6x_4" localSheetId="54">'311'!$L$82</definedName>
    <definedName name="OSRRefE21_6x_4" localSheetId="65">'313'!$L$49</definedName>
    <definedName name="OSRRefE21_6x_4" localSheetId="57">'315'!$L$105</definedName>
    <definedName name="OSRRefE21_6x_4" localSheetId="60">'316'!$L$58:$L$59</definedName>
    <definedName name="OSRRefE21_6x_4" localSheetId="62">'317'!$L$78:$L$79</definedName>
    <definedName name="OSRRefE21_6x_4" localSheetId="66">'321'!$L$51:$L$52</definedName>
    <definedName name="OSRRefE21_6x_4" localSheetId="67">'322'!$L$50:$L$51</definedName>
    <definedName name="OSRRefE21_6x_4" localSheetId="68">'325'!$L$50</definedName>
    <definedName name="OSRRefE21_6x_4" localSheetId="58">'326'!$L$72</definedName>
    <definedName name="OSRRefE21_6x_4" localSheetId="51">'330'!$L$67:$L$68</definedName>
    <definedName name="OSRRefE21_6x_4" localSheetId="56">'331'!$L$105</definedName>
    <definedName name="OSRRefE21_6x_4" localSheetId="59">'332'!$L$58:$L$59</definedName>
    <definedName name="OSRRefE21_6x_4" localSheetId="73">'405'!$L$51</definedName>
    <definedName name="OSRRefE21_6x_4" localSheetId="75">'411'!$L$49</definedName>
    <definedName name="OSRRefE21_6x_4" localSheetId="76">'412'!$L$50</definedName>
    <definedName name="OSRRefE21_6x_4" localSheetId="77">'413'!$L$51</definedName>
    <definedName name="OSRRefE21_6x_4" localSheetId="78">'414'!$L$52</definedName>
    <definedName name="OSRRefE21_6x_4" localSheetId="79">'415'!$L$56</definedName>
    <definedName name="OSRRefE21_6x_4" localSheetId="80">'418'!$L$51</definedName>
    <definedName name="OSRRefE21_6x_4" localSheetId="82">'423'!$L$48</definedName>
    <definedName name="OSRRefE21_6x_4" localSheetId="87">'430'!$L$51</definedName>
    <definedName name="OSRRefE21_6x_4" localSheetId="88">'433'!$L$56</definedName>
    <definedName name="OSRRefE21_6x_4" localSheetId="90">'444'!$L$56</definedName>
    <definedName name="OSRRefE21_6x_4" localSheetId="91">'450'!$L$52</definedName>
    <definedName name="OSRRefE21_6x_4" localSheetId="72">'491'!$L$59</definedName>
    <definedName name="OSRRefE21_6x_4" localSheetId="86">'492'!$L$56</definedName>
    <definedName name="OSRRefE21_6x_4" localSheetId="93">'501'!$L$52</definedName>
    <definedName name="OSRRefE21_6x_4" localSheetId="39">'Div 2'!$L$50:$L$51</definedName>
    <definedName name="OSRRefE21_6x_4" localSheetId="47">'Div 3'!$L$147:$L$148</definedName>
    <definedName name="OSRRefE21_6x_4" localSheetId="70">'Div 4'!$L$62</definedName>
    <definedName name="OSRRefE21_6x_4" localSheetId="92">'Div 5'!$L$52</definedName>
    <definedName name="OSRRefE21_6x_4" localSheetId="61">'Div 6'!$L$78:$L$79</definedName>
    <definedName name="OSRRefE21_6x_4" localSheetId="2">Summary!$L$175:$L$176</definedName>
    <definedName name="OSRRefE21_6x_5" localSheetId="41">'201'!$M$49</definedName>
    <definedName name="OSRRefE21_6x_5" localSheetId="42">'202'!$M$49</definedName>
    <definedName name="OSRRefE21_6x_5" localSheetId="43">'203'!$M$49</definedName>
    <definedName name="OSRRefE21_6x_5" localSheetId="44">'204'!$M$51</definedName>
    <definedName name="OSRRefE21_6x_5" localSheetId="45">'205'!$M$50</definedName>
    <definedName name="OSRRefE21_6x_5" localSheetId="46">'206'!$M$48</definedName>
    <definedName name="OSRRefE21_6x_5" localSheetId="48">'300'!$M$143:$M$144</definedName>
    <definedName name="OSRRefE21_6x_5" localSheetId="49">'300 &amp; 317'!$M$165:$M$166</definedName>
    <definedName name="OSRRefE21_6x_5" localSheetId="50">'301'!$M$50</definedName>
    <definedName name="OSRRefE21_6x_5" localSheetId="52">'307'!$M$67:$M$68</definedName>
    <definedName name="OSRRefE21_6x_5" localSheetId="53">'308'!$M$83</definedName>
    <definedName name="OSRRefE21_6x_5" localSheetId="64">'309'!$M$50:$M$51</definedName>
    <definedName name="OSRRefE21_6x_5" localSheetId="63">'310'!$M$56</definedName>
    <definedName name="OSRRefE21_6x_5" localSheetId="71">'310 &amp; 491'!$M$62</definedName>
    <definedName name="OSRRefE21_6x_5" localSheetId="54">'311'!$M$82</definedName>
    <definedName name="OSRRefE21_6x_5" localSheetId="65">'313'!$M$49</definedName>
    <definedName name="OSRRefE21_6x_5" localSheetId="57">'315'!$M$105</definedName>
    <definedName name="OSRRefE21_6x_5" localSheetId="60">'316'!$M$58:$M$59</definedName>
    <definedName name="OSRRefE21_6x_5" localSheetId="62">'317'!$M$78:$M$79</definedName>
    <definedName name="OSRRefE21_6x_5" localSheetId="66">'321'!$M$51:$M$52</definedName>
    <definedName name="OSRRefE21_6x_5" localSheetId="67">'322'!$M$50:$M$51</definedName>
    <definedName name="OSRRefE21_6x_5" localSheetId="68">'325'!$M$50</definedName>
    <definedName name="OSRRefE21_6x_5" localSheetId="58">'326'!$M$72</definedName>
    <definedName name="OSRRefE21_6x_5" localSheetId="51">'330'!$M$67:$M$68</definedName>
    <definedName name="OSRRefE21_6x_5" localSheetId="56">'331'!$M$105</definedName>
    <definedName name="OSRRefE21_6x_5" localSheetId="59">'332'!$M$58:$M$59</definedName>
    <definedName name="OSRRefE21_6x_5" localSheetId="73">'405'!$M$51</definedName>
    <definedName name="OSRRefE21_6x_5" localSheetId="75">'411'!$M$49</definedName>
    <definedName name="OSRRefE21_6x_5" localSheetId="76">'412'!$M$50</definedName>
    <definedName name="OSRRefE21_6x_5" localSheetId="77">'413'!$M$51</definedName>
    <definedName name="OSRRefE21_6x_5" localSheetId="78">'414'!$M$52</definedName>
    <definedName name="OSRRefE21_6x_5" localSheetId="79">'415'!$M$56</definedName>
    <definedName name="OSRRefE21_6x_5" localSheetId="80">'418'!$M$51</definedName>
    <definedName name="OSRRefE21_6x_5" localSheetId="82">'423'!$M$48</definedName>
    <definedName name="OSRRefE21_6x_5" localSheetId="87">'430'!$M$51</definedName>
    <definedName name="OSRRefE21_6x_5" localSheetId="88">'433'!$M$56</definedName>
    <definedName name="OSRRefE21_6x_5" localSheetId="90">'444'!$M$56</definedName>
    <definedName name="OSRRefE21_6x_5" localSheetId="91">'450'!$M$52</definedName>
    <definedName name="OSRRefE21_6x_5" localSheetId="72">'491'!$M$59</definedName>
    <definedName name="OSRRefE21_6x_5" localSheetId="86">'492'!$M$56</definedName>
    <definedName name="OSRRefE21_6x_5" localSheetId="93">'501'!$M$52</definedName>
    <definedName name="OSRRefE21_6x_5" localSheetId="39">'Div 2'!$M$50:$M$51</definedName>
    <definedName name="OSRRefE21_6x_5" localSheetId="47">'Div 3'!$M$147:$M$148</definedName>
    <definedName name="OSRRefE21_6x_5" localSheetId="70">'Div 4'!$M$62</definedName>
    <definedName name="OSRRefE21_6x_5" localSheetId="92">'Div 5'!$M$52</definedName>
    <definedName name="OSRRefE21_6x_5" localSheetId="61">'Div 6'!$M$78:$M$79</definedName>
    <definedName name="OSRRefE21_6x_5" localSheetId="2">Summary!$M$175:$M$176</definedName>
    <definedName name="OSRRefE21_6x_6" localSheetId="41">'201'!$N$49</definedName>
    <definedName name="OSRRefE21_6x_6" localSheetId="42">'202'!$N$49</definedName>
    <definedName name="OSRRefE21_6x_6" localSheetId="43">'203'!$N$49</definedName>
    <definedName name="OSRRefE21_6x_6" localSheetId="44">'204'!$N$51</definedName>
    <definedName name="OSRRefE21_6x_6" localSheetId="45">'205'!$N$50</definedName>
    <definedName name="OSRRefE21_6x_6" localSheetId="46">'206'!$N$48</definedName>
    <definedName name="OSRRefE21_6x_6" localSheetId="48">'300'!$N$143:$N$144</definedName>
    <definedName name="OSRRefE21_6x_6" localSheetId="49">'300 &amp; 317'!$N$165:$N$166</definedName>
    <definedName name="OSRRefE21_6x_6" localSheetId="50">'301'!$N$50</definedName>
    <definedName name="OSRRefE21_6x_6" localSheetId="52">'307'!$N$67:$N$68</definedName>
    <definedName name="OSRRefE21_6x_6" localSheetId="53">'308'!$N$83</definedName>
    <definedName name="OSRRefE21_6x_6" localSheetId="64">'309'!$N$50:$N$51</definedName>
    <definedName name="OSRRefE21_6x_6" localSheetId="63">'310'!$N$56</definedName>
    <definedName name="OSRRefE21_6x_6" localSheetId="71">'310 &amp; 491'!$N$62</definedName>
    <definedName name="OSRRefE21_6x_6" localSheetId="54">'311'!$N$82</definedName>
    <definedName name="OSRRefE21_6x_6" localSheetId="65">'313'!$N$49</definedName>
    <definedName name="OSRRefE21_6x_6" localSheetId="57">'315'!$N$105</definedName>
    <definedName name="OSRRefE21_6x_6" localSheetId="60">'316'!$N$58:$N$59</definedName>
    <definedName name="OSRRefE21_6x_6" localSheetId="62">'317'!$N$78:$N$79</definedName>
    <definedName name="OSRRefE21_6x_6" localSheetId="66">'321'!$N$51:$N$52</definedName>
    <definedName name="OSRRefE21_6x_6" localSheetId="67">'322'!$N$50:$N$51</definedName>
    <definedName name="OSRRefE21_6x_6" localSheetId="68">'325'!$N$50</definedName>
    <definedName name="OSRRefE21_6x_6" localSheetId="58">'326'!$N$72</definedName>
    <definedName name="OSRRefE21_6x_6" localSheetId="51">'330'!$N$67:$N$68</definedName>
    <definedName name="OSRRefE21_6x_6" localSheetId="56">'331'!$N$105</definedName>
    <definedName name="OSRRefE21_6x_6" localSheetId="59">'332'!$N$58:$N$59</definedName>
    <definedName name="OSRRefE21_6x_6" localSheetId="73">'405'!$N$51</definedName>
    <definedName name="OSRRefE21_6x_6" localSheetId="75">'411'!$N$49</definedName>
    <definedName name="OSRRefE21_6x_6" localSheetId="76">'412'!$N$50</definedName>
    <definedName name="OSRRefE21_6x_6" localSheetId="77">'413'!$N$51</definedName>
    <definedName name="OSRRefE21_6x_6" localSheetId="78">'414'!$N$52</definedName>
    <definedName name="OSRRefE21_6x_6" localSheetId="79">'415'!$N$56</definedName>
    <definedName name="OSRRefE21_6x_6" localSheetId="80">'418'!$N$51</definedName>
    <definedName name="OSRRefE21_6x_6" localSheetId="82">'423'!$N$48</definedName>
    <definedName name="OSRRefE21_6x_6" localSheetId="87">'430'!$N$51</definedName>
    <definedName name="OSRRefE21_6x_6" localSheetId="88">'433'!$N$56</definedName>
    <definedName name="OSRRefE21_6x_6" localSheetId="90">'444'!$N$56</definedName>
    <definedName name="OSRRefE21_6x_6" localSheetId="91">'450'!$N$52</definedName>
    <definedName name="OSRRefE21_6x_6" localSheetId="72">'491'!$N$59</definedName>
    <definedName name="OSRRefE21_6x_6" localSheetId="86">'492'!$N$56</definedName>
    <definedName name="OSRRefE21_6x_6" localSheetId="93">'501'!$N$52</definedName>
    <definedName name="OSRRefE21_6x_6" localSheetId="39">'Div 2'!$N$50:$N$51</definedName>
    <definedName name="OSRRefE21_6x_6" localSheetId="47">'Div 3'!$N$147:$N$148</definedName>
    <definedName name="OSRRefE21_6x_6" localSheetId="70">'Div 4'!$N$62</definedName>
    <definedName name="OSRRefE21_6x_6" localSheetId="92">'Div 5'!$N$52</definedName>
    <definedName name="OSRRefE21_6x_6" localSheetId="61">'Div 6'!$N$78:$N$79</definedName>
    <definedName name="OSRRefE21_6x_6" localSheetId="2">Summary!$N$175:$N$176</definedName>
    <definedName name="OSRRefE21_6x_7" localSheetId="41">'201'!$O$49</definedName>
    <definedName name="OSRRefE21_6x_7" localSheetId="42">'202'!$O$49</definedName>
    <definedName name="OSRRefE21_6x_7" localSheetId="43">'203'!$O$49</definedName>
    <definedName name="OSRRefE21_6x_7" localSheetId="44">'204'!$O$51</definedName>
    <definedName name="OSRRefE21_6x_7" localSheetId="45">'205'!$O$50</definedName>
    <definedName name="OSRRefE21_6x_7" localSheetId="46">'206'!$O$48</definedName>
    <definedName name="OSRRefE21_6x_7" localSheetId="48">'300'!$O$143:$O$144</definedName>
    <definedName name="OSRRefE21_6x_7" localSheetId="49">'300 &amp; 317'!$O$165:$O$166</definedName>
    <definedName name="OSRRefE21_6x_7" localSheetId="50">'301'!$O$50</definedName>
    <definedName name="OSRRefE21_6x_7" localSheetId="52">'307'!$O$67:$O$68</definedName>
    <definedName name="OSRRefE21_6x_7" localSheetId="53">'308'!$O$83</definedName>
    <definedName name="OSRRefE21_6x_7" localSheetId="64">'309'!$O$50:$O$51</definedName>
    <definedName name="OSRRefE21_6x_7" localSheetId="63">'310'!$O$56</definedName>
    <definedName name="OSRRefE21_6x_7" localSheetId="71">'310 &amp; 491'!$O$62</definedName>
    <definedName name="OSRRefE21_6x_7" localSheetId="54">'311'!$O$82</definedName>
    <definedName name="OSRRefE21_6x_7" localSheetId="65">'313'!$O$49</definedName>
    <definedName name="OSRRefE21_6x_7" localSheetId="57">'315'!$O$105</definedName>
    <definedName name="OSRRefE21_6x_7" localSheetId="60">'316'!$O$58:$O$59</definedName>
    <definedName name="OSRRefE21_6x_7" localSheetId="62">'317'!$O$78:$O$79</definedName>
    <definedName name="OSRRefE21_6x_7" localSheetId="66">'321'!$O$51:$O$52</definedName>
    <definedName name="OSRRefE21_6x_7" localSheetId="67">'322'!$O$50:$O$51</definedName>
    <definedName name="OSRRefE21_6x_7" localSheetId="68">'325'!$O$50</definedName>
    <definedName name="OSRRefE21_6x_7" localSheetId="58">'326'!$O$72</definedName>
    <definedName name="OSRRefE21_6x_7" localSheetId="51">'330'!$O$67:$O$68</definedName>
    <definedName name="OSRRefE21_6x_7" localSheetId="56">'331'!$O$105</definedName>
    <definedName name="OSRRefE21_6x_7" localSheetId="59">'332'!$O$58:$O$59</definedName>
    <definedName name="OSRRefE21_6x_7" localSheetId="73">'405'!$O$51</definedName>
    <definedName name="OSRRefE21_6x_7" localSheetId="75">'411'!$O$49</definedName>
    <definedName name="OSRRefE21_6x_7" localSheetId="76">'412'!$O$50</definedName>
    <definedName name="OSRRefE21_6x_7" localSheetId="77">'413'!$O$51</definedName>
    <definedName name="OSRRefE21_6x_7" localSheetId="78">'414'!$O$52</definedName>
    <definedName name="OSRRefE21_6x_7" localSheetId="79">'415'!$O$56</definedName>
    <definedName name="OSRRefE21_6x_7" localSheetId="80">'418'!$O$51</definedName>
    <definedName name="OSRRefE21_6x_7" localSheetId="82">'423'!$O$48</definedName>
    <definedName name="OSRRefE21_6x_7" localSheetId="87">'430'!$O$51</definedName>
    <definedName name="OSRRefE21_6x_7" localSheetId="88">'433'!$O$56</definedName>
    <definedName name="OSRRefE21_6x_7" localSheetId="90">'444'!$O$56</definedName>
    <definedName name="OSRRefE21_6x_7" localSheetId="91">'450'!$O$52</definedName>
    <definedName name="OSRRefE21_6x_7" localSheetId="72">'491'!$O$59</definedName>
    <definedName name="OSRRefE21_6x_7" localSheetId="86">'492'!$O$56</definedName>
    <definedName name="OSRRefE21_6x_7" localSheetId="93">'501'!$O$52</definedName>
    <definedName name="OSRRefE21_6x_7" localSheetId="39">'Div 2'!$O$50:$O$51</definedName>
    <definedName name="OSRRefE21_6x_7" localSheetId="47">'Div 3'!$O$147:$O$148</definedName>
    <definedName name="OSRRefE21_6x_7" localSheetId="70">'Div 4'!$O$62</definedName>
    <definedName name="OSRRefE21_6x_7" localSheetId="92">'Div 5'!$O$52</definedName>
    <definedName name="OSRRefE21_6x_7" localSheetId="61">'Div 6'!$O$78:$O$79</definedName>
    <definedName name="OSRRefE21_6x_7" localSheetId="2">Summary!$O$175:$O$176</definedName>
    <definedName name="OSRRefE21_7_0x" localSheetId="41">'201'!$H$51:$O$51</definedName>
    <definedName name="OSRRefE21_7_0x" localSheetId="42">'202'!$H$51:$O$51</definedName>
    <definedName name="OSRRefE21_7_0x" localSheetId="43">'203'!$H$51:$O$51</definedName>
    <definedName name="OSRRefE21_7_0x" localSheetId="44">'204'!$H$53:$O$53</definedName>
    <definedName name="OSRRefE21_7_0x" localSheetId="45">'205'!$H$52:$O$52</definedName>
    <definedName name="OSRRefE21_7_0x" localSheetId="48">'300'!$H$146:$O$146</definedName>
    <definedName name="OSRRefE21_7_0x" localSheetId="49">'300 &amp; 317'!$H$168:$O$168</definedName>
    <definedName name="OSRRefE21_7_0x" localSheetId="50">'301'!$H$52:$O$52</definedName>
    <definedName name="OSRRefE21_7_0x" localSheetId="52">'307'!$H$70:$O$70</definedName>
    <definedName name="OSRRefE21_7_0x" localSheetId="53">'308'!$H$85:$O$85</definedName>
    <definedName name="OSRRefE21_7_0x" localSheetId="64">'309'!$H$53:$O$53</definedName>
    <definedName name="OSRRefE21_7_0x" localSheetId="63">'310'!$H$58:$O$58</definedName>
    <definedName name="OSRRefE21_7_0x" localSheetId="71">'310 &amp; 491'!$H$64:$O$64</definedName>
    <definedName name="OSRRefE21_7_0x" localSheetId="54">'311'!$H$84:$O$84</definedName>
    <definedName name="OSRRefE21_7_0x" localSheetId="65">'313'!$H$51:$O$51</definedName>
    <definedName name="OSRRefE21_7_0x" localSheetId="57">'315'!$H$107:$O$107</definedName>
    <definedName name="OSRRefE21_7_0x" localSheetId="60">'316'!$H$61:$O$61</definedName>
    <definedName name="OSRRefE21_7_0x" localSheetId="62">'317'!$H$81:$O$81</definedName>
    <definedName name="OSRRefE21_7_0x" localSheetId="66">'321'!$H$54:$O$54</definedName>
    <definedName name="OSRRefE21_7_0x" localSheetId="67">'322'!$H$53:$O$53</definedName>
    <definedName name="OSRRefE21_7_0x" localSheetId="68">'325'!$H$52:$O$52</definedName>
    <definedName name="OSRRefE21_7_0x" localSheetId="58">'326'!$H$74:$O$74</definedName>
    <definedName name="OSRRefE21_7_0x" localSheetId="51">'330'!$H$70:$O$70</definedName>
    <definedName name="OSRRefE21_7_0x" localSheetId="56">'331'!$H$107:$O$107</definedName>
    <definedName name="OSRRefE21_7_0x" localSheetId="59">'332'!$H$61:$O$61</definedName>
    <definedName name="OSRRefE21_7_0x" localSheetId="73">'405'!$H$53:$O$53</definedName>
    <definedName name="OSRRefE21_7_0x" localSheetId="75">'411'!$H$51:$O$51</definedName>
    <definedName name="OSRRefE21_7_0x" localSheetId="76">'412'!$H$52:$O$52</definedName>
    <definedName name="OSRRefE21_7_0x" localSheetId="77">'413'!$H$53:$O$53</definedName>
    <definedName name="OSRRefE21_7_0x" localSheetId="78">'414'!$H$54:$O$54</definedName>
    <definedName name="OSRRefE21_7_0x" localSheetId="79">'415'!$H$58:$O$58</definedName>
    <definedName name="OSRRefE21_7_0x" localSheetId="80">'418'!$H$53:$O$53</definedName>
    <definedName name="OSRRefE21_7_0x" localSheetId="87">'430'!$H$53:$O$53</definedName>
    <definedName name="OSRRefE21_7_0x" localSheetId="88">'433'!$H$58:$O$58</definedName>
    <definedName name="OSRRefE21_7_0x" localSheetId="90">'444'!$H$58:$O$58</definedName>
    <definedName name="OSRRefE21_7_0x" localSheetId="91">'450'!$H$54:$O$54</definedName>
    <definedName name="OSRRefE21_7_0x" localSheetId="72">'491'!$H$61:$O$61</definedName>
    <definedName name="OSRRefE21_7_0x" localSheetId="86">'492'!$H$58:$O$58</definedName>
    <definedName name="OSRRefE21_7_0x" localSheetId="93">'501'!$H$54:$O$54</definedName>
    <definedName name="OSRRefE21_7_0x" localSheetId="39">'Div 2'!$H$53:$O$53</definedName>
    <definedName name="OSRRefE21_7_0x" localSheetId="47">'Div 3'!$H$150:$O$150</definedName>
    <definedName name="OSRRefE21_7_0x" localSheetId="70">'Div 4'!$H$64:$O$64</definedName>
    <definedName name="OSRRefE21_7_0x" localSheetId="92">'Div 5'!$H$54:$O$54</definedName>
    <definedName name="OSRRefE21_7_0x" localSheetId="61">'Div 6'!$H$81:$O$81</definedName>
    <definedName name="OSRRefE21_7_0x" localSheetId="2">Summary!$H$178:$O$178</definedName>
    <definedName name="OSRRefE21_7_1x" localSheetId="42">'202'!$H$52:$O$52</definedName>
    <definedName name="OSRRefE21_7_1x" localSheetId="44">'204'!$H$54:$O$54</definedName>
    <definedName name="OSRRefE21_7_1x" localSheetId="53">'308'!$H$86:$O$86</definedName>
    <definedName name="OSRRefE21_7_1x" localSheetId="64">'309'!$H$54:$O$54</definedName>
    <definedName name="OSRRefE21_7_1x" localSheetId="54">'311'!$H$85:$O$85</definedName>
    <definedName name="OSRRefE21_7_1x" localSheetId="57">'315'!$H$108:$O$108</definedName>
    <definedName name="OSRRefE21_7_1x" localSheetId="60">'316'!$H$62:$O$62</definedName>
    <definedName name="OSRRefE21_7_1x" localSheetId="67">'322'!$H$54:$O$54</definedName>
    <definedName name="OSRRefE21_7_1x" localSheetId="56">'331'!$H$108:$O$108</definedName>
    <definedName name="OSRRefE21_7_1x" localSheetId="59">'332'!$H$62:$O$62</definedName>
    <definedName name="OSRRefE21_7_2x" localSheetId="64">'309'!$H$55:$O$55</definedName>
    <definedName name="OSRRefE21_7x_0" localSheetId="41">'201'!$H$51</definedName>
    <definedName name="OSRRefE21_7x_0" localSheetId="42">'202'!$H$51:$H$52</definedName>
    <definedName name="OSRRefE21_7x_0" localSheetId="43">'203'!$H$51</definedName>
    <definedName name="OSRRefE21_7x_0" localSheetId="44">'204'!$H$53:$H$54</definedName>
    <definedName name="OSRRefE21_7x_0" localSheetId="45">'205'!$H$52</definedName>
    <definedName name="OSRRefE21_7x_0" localSheetId="48">'300'!$H$146</definedName>
    <definedName name="OSRRefE21_7x_0" localSheetId="49">'300 &amp; 317'!$H$168</definedName>
    <definedName name="OSRRefE21_7x_0" localSheetId="50">'301'!$H$52</definedName>
    <definedName name="OSRRefE21_7x_0" localSheetId="52">'307'!$H$70</definedName>
    <definedName name="OSRRefE21_7x_0" localSheetId="53">'308'!$H$85:$H$86</definedName>
    <definedName name="OSRRefE21_7x_0" localSheetId="64">'309'!$H$53:$H$55</definedName>
    <definedName name="OSRRefE21_7x_0" localSheetId="63">'310'!$H$58</definedName>
    <definedName name="OSRRefE21_7x_0" localSheetId="71">'310 &amp; 491'!$H$64</definedName>
    <definedName name="OSRRefE21_7x_0" localSheetId="54">'311'!$H$84:$H$85</definedName>
    <definedName name="OSRRefE21_7x_0" localSheetId="65">'313'!$H$51</definedName>
    <definedName name="OSRRefE21_7x_0" localSheetId="57">'315'!$H$107:$H$108</definedName>
    <definedName name="OSRRefE21_7x_0" localSheetId="60">'316'!$H$61:$H$62</definedName>
    <definedName name="OSRRefE21_7x_0" localSheetId="62">'317'!$H$81</definedName>
    <definedName name="OSRRefE21_7x_0" localSheetId="66">'321'!$H$54</definedName>
    <definedName name="OSRRefE21_7x_0" localSheetId="67">'322'!$H$53:$H$54</definedName>
    <definedName name="OSRRefE21_7x_0" localSheetId="68">'325'!$H$52</definedName>
    <definedName name="OSRRefE21_7x_0" localSheetId="58">'326'!$H$74</definedName>
    <definedName name="OSRRefE21_7x_0" localSheetId="51">'330'!$H$70</definedName>
    <definedName name="OSRRefE21_7x_0" localSheetId="56">'331'!$H$107:$H$108</definedName>
    <definedName name="OSRRefE21_7x_0" localSheetId="59">'332'!$H$61:$H$62</definedName>
    <definedName name="OSRRefE21_7x_0" localSheetId="73">'405'!$H$53</definedName>
    <definedName name="OSRRefE21_7x_0" localSheetId="75">'411'!$H$51</definedName>
    <definedName name="OSRRefE21_7x_0" localSheetId="76">'412'!$H$52</definedName>
    <definedName name="OSRRefE21_7x_0" localSheetId="77">'413'!$H$53</definedName>
    <definedName name="OSRRefE21_7x_0" localSheetId="78">'414'!$H$54</definedName>
    <definedName name="OSRRefE21_7x_0" localSheetId="79">'415'!$H$58</definedName>
    <definedName name="OSRRefE21_7x_0" localSheetId="80">'418'!$H$53</definedName>
    <definedName name="OSRRefE21_7x_0" localSheetId="87">'430'!$H$53</definedName>
    <definedName name="OSRRefE21_7x_0" localSheetId="88">'433'!$H$58</definedName>
    <definedName name="OSRRefE21_7x_0" localSheetId="90">'444'!$H$58</definedName>
    <definedName name="OSRRefE21_7x_0" localSheetId="91">'450'!$H$54</definedName>
    <definedName name="OSRRefE21_7x_0" localSheetId="72">'491'!$H$61</definedName>
    <definedName name="OSRRefE21_7x_0" localSheetId="86">'492'!$H$58</definedName>
    <definedName name="OSRRefE21_7x_0" localSheetId="93">'501'!$H$54</definedName>
    <definedName name="OSRRefE21_7x_0" localSheetId="39">'Div 2'!$H$53</definedName>
    <definedName name="OSRRefE21_7x_0" localSheetId="47">'Div 3'!$H$150</definedName>
    <definedName name="OSRRefE21_7x_0" localSheetId="70">'Div 4'!$H$64</definedName>
    <definedName name="OSRRefE21_7x_0" localSheetId="92">'Div 5'!$H$54</definedName>
    <definedName name="OSRRefE21_7x_0" localSheetId="61">'Div 6'!$H$81</definedName>
    <definedName name="OSRRefE21_7x_0" localSheetId="2">Summary!$H$178</definedName>
    <definedName name="OSRRefE21_7x_1" localSheetId="41">'201'!$I$51</definedName>
    <definedName name="OSRRefE21_7x_1" localSheetId="42">'202'!$I$51:$I$52</definedName>
    <definedName name="OSRRefE21_7x_1" localSheetId="43">'203'!$I$51</definedName>
    <definedName name="OSRRefE21_7x_1" localSheetId="44">'204'!$I$53:$I$54</definedName>
    <definedName name="OSRRefE21_7x_1" localSheetId="45">'205'!$I$52</definedName>
    <definedName name="OSRRefE21_7x_1" localSheetId="48">'300'!$I$146</definedName>
    <definedName name="OSRRefE21_7x_1" localSheetId="49">'300 &amp; 317'!$I$168</definedName>
    <definedName name="OSRRefE21_7x_1" localSheetId="50">'301'!$I$52</definedName>
    <definedName name="OSRRefE21_7x_1" localSheetId="52">'307'!$I$70</definedName>
    <definedName name="OSRRefE21_7x_1" localSheetId="53">'308'!$I$85:$I$86</definedName>
    <definedName name="OSRRefE21_7x_1" localSheetId="64">'309'!$I$53:$I$55</definedName>
    <definedName name="OSRRefE21_7x_1" localSheetId="63">'310'!$I$58</definedName>
    <definedName name="OSRRefE21_7x_1" localSheetId="71">'310 &amp; 491'!$I$64</definedName>
    <definedName name="OSRRefE21_7x_1" localSheetId="54">'311'!$I$84:$I$85</definedName>
    <definedName name="OSRRefE21_7x_1" localSheetId="65">'313'!$I$51</definedName>
    <definedName name="OSRRefE21_7x_1" localSheetId="57">'315'!$I$107:$I$108</definedName>
    <definedName name="OSRRefE21_7x_1" localSheetId="60">'316'!$I$61:$I$62</definedName>
    <definedName name="OSRRefE21_7x_1" localSheetId="62">'317'!$I$81</definedName>
    <definedName name="OSRRefE21_7x_1" localSheetId="66">'321'!$I$54</definedName>
    <definedName name="OSRRefE21_7x_1" localSheetId="67">'322'!$I$53:$I$54</definedName>
    <definedName name="OSRRefE21_7x_1" localSheetId="68">'325'!$I$52</definedName>
    <definedName name="OSRRefE21_7x_1" localSheetId="58">'326'!$I$74</definedName>
    <definedName name="OSRRefE21_7x_1" localSheetId="51">'330'!$I$70</definedName>
    <definedName name="OSRRefE21_7x_1" localSheetId="56">'331'!$I$107:$I$108</definedName>
    <definedName name="OSRRefE21_7x_1" localSheetId="59">'332'!$I$61:$I$62</definedName>
    <definedName name="OSRRefE21_7x_1" localSheetId="73">'405'!$I$53</definedName>
    <definedName name="OSRRefE21_7x_1" localSheetId="75">'411'!$I$51</definedName>
    <definedName name="OSRRefE21_7x_1" localSheetId="76">'412'!$I$52</definedName>
    <definedName name="OSRRefE21_7x_1" localSheetId="77">'413'!$I$53</definedName>
    <definedName name="OSRRefE21_7x_1" localSheetId="78">'414'!$I$54</definedName>
    <definedName name="OSRRefE21_7x_1" localSheetId="79">'415'!$I$58</definedName>
    <definedName name="OSRRefE21_7x_1" localSheetId="80">'418'!$I$53</definedName>
    <definedName name="OSRRefE21_7x_1" localSheetId="87">'430'!$I$53</definedName>
    <definedName name="OSRRefE21_7x_1" localSheetId="88">'433'!$I$58</definedName>
    <definedName name="OSRRefE21_7x_1" localSheetId="90">'444'!$I$58</definedName>
    <definedName name="OSRRefE21_7x_1" localSheetId="91">'450'!$I$54</definedName>
    <definedName name="OSRRefE21_7x_1" localSheetId="72">'491'!$I$61</definedName>
    <definedName name="OSRRefE21_7x_1" localSheetId="86">'492'!$I$58</definedName>
    <definedName name="OSRRefE21_7x_1" localSheetId="93">'501'!$I$54</definedName>
    <definedName name="OSRRefE21_7x_1" localSheetId="39">'Div 2'!$I$53</definedName>
    <definedName name="OSRRefE21_7x_1" localSheetId="47">'Div 3'!$I$150</definedName>
    <definedName name="OSRRefE21_7x_1" localSheetId="70">'Div 4'!$I$64</definedName>
    <definedName name="OSRRefE21_7x_1" localSheetId="92">'Div 5'!$I$54</definedName>
    <definedName name="OSRRefE21_7x_1" localSheetId="61">'Div 6'!$I$81</definedName>
    <definedName name="OSRRefE21_7x_1" localSheetId="2">Summary!$I$178</definedName>
    <definedName name="OSRRefE21_7x_2" localSheetId="41">'201'!$J$51</definedName>
    <definedName name="OSRRefE21_7x_2" localSheetId="42">'202'!$J$51:$J$52</definedName>
    <definedName name="OSRRefE21_7x_2" localSheetId="43">'203'!$J$51</definedName>
    <definedName name="OSRRefE21_7x_2" localSheetId="44">'204'!$J$53:$J$54</definedName>
    <definedName name="OSRRefE21_7x_2" localSheetId="45">'205'!$J$52</definedName>
    <definedName name="OSRRefE21_7x_2" localSheetId="48">'300'!$J$146</definedName>
    <definedName name="OSRRefE21_7x_2" localSheetId="49">'300 &amp; 317'!$J$168</definedName>
    <definedName name="OSRRefE21_7x_2" localSheetId="50">'301'!$J$52</definedName>
    <definedName name="OSRRefE21_7x_2" localSheetId="52">'307'!$J$70</definedName>
    <definedName name="OSRRefE21_7x_2" localSheetId="53">'308'!$J$85:$J$86</definedName>
    <definedName name="OSRRefE21_7x_2" localSheetId="64">'309'!$J$53:$J$55</definedName>
    <definedName name="OSRRefE21_7x_2" localSheetId="63">'310'!$J$58</definedName>
    <definedName name="OSRRefE21_7x_2" localSheetId="71">'310 &amp; 491'!$J$64</definedName>
    <definedName name="OSRRefE21_7x_2" localSheetId="54">'311'!$J$84:$J$85</definedName>
    <definedName name="OSRRefE21_7x_2" localSheetId="65">'313'!$J$51</definedName>
    <definedName name="OSRRefE21_7x_2" localSheetId="57">'315'!$J$107:$J$108</definedName>
    <definedName name="OSRRefE21_7x_2" localSheetId="60">'316'!$J$61:$J$62</definedName>
    <definedName name="OSRRefE21_7x_2" localSheetId="62">'317'!$J$81</definedName>
    <definedName name="OSRRefE21_7x_2" localSheetId="66">'321'!$J$54</definedName>
    <definedName name="OSRRefE21_7x_2" localSheetId="67">'322'!$J$53:$J$54</definedName>
    <definedName name="OSRRefE21_7x_2" localSheetId="68">'325'!$J$52</definedName>
    <definedName name="OSRRefE21_7x_2" localSheetId="58">'326'!$J$74</definedName>
    <definedName name="OSRRefE21_7x_2" localSheetId="51">'330'!$J$70</definedName>
    <definedName name="OSRRefE21_7x_2" localSheetId="56">'331'!$J$107:$J$108</definedName>
    <definedName name="OSRRefE21_7x_2" localSheetId="59">'332'!$J$61:$J$62</definedName>
    <definedName name="OSRRefE21_7x_2" localSheetId="73">'405'!$J$53</definedName>
    <definedName name="OSRRefE21_7x_2" localSheetId="75">'411'!$J$51</definedName>
    <definedName name="OSRRefE21_7x_2" localSheetId="76">'412'!$J$52</definedName>
    <definedName name="OSRRefE21_7x_2" localSheetId="77">'413'!$J$53</definedName>
    <definedName name="OSRRefE21_7x_2" localSheetId="78">'414'!$J$54</definedName>
    <definedName name="OSRRefE21_7x_2" localSheetId="79">'415'!$J$58</definedName>
    <definedName name="OSRRefE21_7x_2" localSheetId="80">'418'!$J$53</definedName>
    <definedName name="OSRRefE21_7x_2" localSheetId="87">'430'!$J$53</definedName>
    <definedName name="OSRRefE21_7x_2" localSheetId="88">'433'!$J$58</definedName>
    <definedName name="OSRRefE21_7x_2" localSheetId="90">'444'!$J$58</definedName>
    <definedName name="OSRRefE21_7x_2" localSheetId="91">'450'!$J$54</definedName>
    <definedName name="OSRRefE21_7x_2" localSheetId="72">'491'!$J$61</definedName>
    <definedName name="OSRRefE21_7x_2" localSheetId="86">'492'!$J$58</definedName>
    <definedName name="OSRRefE21_7x_2" localSheetId="93">'501'!$J$54</definedName>
    <definedName name="OSRRefE21_7x_2" localSheetId="39">'Div 2'!$J$53</definedName>
    <definedName name="OSRRefE21_7x_2" localSheetId="47">'Div 3'!$J$150</definedName>
    <definedName name="OSRRefE21_7x_2" localSheetId="70">'Div 4'!$J$64</definedName>
    <definedName name="OSRRefE21_7x_2" localSheetId="92">'Div 5'!$J$54</definedName>
    <definedName name="OSRRefE21_7x_2" localSheetId="61">'Div 6'!$J$81</definedName>
    <definedName name="OSRRefE21_7x_2" localSheetId="2">Summary!$J$178</definedName>
    <definedName name="OSRRefE21_7x_3" localSheetId="41">'201'!$K$51</definedName>
    <definedName name="OSRRefE21_7x_3" localSheetId="42">'202'!$K$51:$K$52</definedName>
    <definedName name="OSRRefE21_7x_3" localSheetId="43">'203'!$K$51</definedName>
    <definedName name="OSRRefE21_7x_3" localSheetId="44">'204'!$K$53:$K$54</definedName>
    <definedName name="OSRRefE21_7x_3" localSheetId="45">'205'!$K$52</definedName>
    <definedName name="OSRRefE21_7x_3" localSheetId="48">'300'!$K$146</definedName>
    <definedName name="OSRRefE21_7x_3" localSheetId="49">'300 &amp; 317'!$K$168</definedName>
    <definedName name="OSRRefE21_7x_3" localSheetId="50">'301'!$K$52</definedName>
    <definedName name="OSRRefE21_7x_3" localSheetId="52">'307'!$K$70</definedName>
    <definedName name="OSRRefE21_7x_3" localSheetId="53">'308'!$K$85:$K$86</definedName>
    <definedName name="OSRRefE21_7x_3" localSheetId="64">'309'!$K$53:$K$55</definedName>
    <definedName name="OSRRefE21_7x_3" localSheetId="63">'310'!$K$58</definedName>
    <definedName name="OSRRefE21_7x_3" localSheetId="71">'310 &amp; 491'!$K$64</definedName>
    <definedName name="OSRRefE21_7x_3" localSheetId="54">'311'!$K$84:$K$85</definedName>
    <definedName name="OSRRefE21_7x_3" localSheetId="65">'313'!$K$51</definedName>
    <definedName name="OSRRefE21_7x_3" localSheetId="57">'315'!$K$107:$K$108</definedName>
    <definedName name="OSRRefE21_7x_3" localSheetId="60">'316'!$K$61:$K$62</definedName>
    <definedName name="OSRRefE21_7x_3" localSheetId="62">'317'!$K$81</definedName>
    <definedName name="OSRRefE21_7x_3" localSheetId="66">'321'!$K$54</definedName>
    <definedName name="OSRRefE21_7x_3" localSheetId="67">'322'!$K$53:$K$54</definedName>
    <definedName name="OSRRefE21_7x_3" localSheetId="68">'325'!$K$52</definedName>
    <definedName name="OSRRefE21_7x_3" localSheetId="58">'326'!$K$74</definedName>
    <definedName name="OSRRefE21_7x_3" localSheetId="51">'330'!$K$70</definedName>
    <definedName name="OSRRefE21_7x_3" localSheetId="56">'331'!$K$107:$K$108</definedName>
    <definedName name="OSRRefE21_7x_3" localSheetId="59">'332'!$K$61:$K$62</definedName>
    <definedName name="OSRRefE21_7x_3" localSheetId="73">'405'!$K$53</definedName>
    <definedName name="OSRRefE21_7x_3" localSheetId="75">'411'!$K$51</definedName>
    <definedName name="OSRRefE21_7x_3" localSheetId="76">'412'!$K$52</definedName>
    <definedName name="OSRRefE21_7x_3" localSheetId="77">'413'!$K$53</definedName>
    <definedName name="OSRRefE21_7x_3" localSheetId="78">'414'!$K$54</definedName>
    <definedName name="OSRRefE21_7x_3" localSheetId="79">'415'!$K$58</definedName>
    <definedName name="OSRRefE21_7x_3" localSheetId="80">'418'!$K$53</definedName>
    <definedName name="OSRRefE21_7x_3" localSheetId="87">'430'!$K$53</definedName>
    <definedName name="OSRRefE21_7x_3" localSheetId="88">'433'!$K$58</definedName>
    <definedName name="OSRRefE21_7x_3" localSheetId="90">'444'!$K$58</definedName>
    <definedName name="OSRRefE21_7x_3" localSheetId="91">'450'!$K$54</definedName>
    <definedName name="OSRRefE21_7x_3" localSheetId="72">'491'!$K$61</definedName>
    <definedName name="OSRRefE21_7x_3" localSheetId="86">'492'!$K$58</definedName>
    <definedName name="OSRRefE21_7x_3" localSheetId="93">'501'!$K$54</definedName>
    <definedName name="OSRRefE21_7x_3" localSheetId="39">'Div 2'!$K$53</definedName>
    <definedName name="OSRRefE21_7x_3" localSheetId="47">'Div 3'!$K$150</definedName>
    <definedName name="OSRRefE21_7x_3" localSheetId="70">'Div 4'!$K$64</definedName>
    <definedName name="OSRRefE21_7x_3" localSheetId="92">'Div 5'!$K$54</definedName>
    <definedName name="OSRRefE21_7x_3" localSheetId="61">'Div 6'!$K$81</definedName>
    <definedName name="OSRRefE21_7x_3" localSheetId="2">Summary!$K$178</definedName>
    <definedName name="OSRRefE21_7x_4" localSheetId="41">'201'!$L$51</definedName>
    <definedName name="OSRRefE21_7x_4" localSheetId="42">'202'!$L$51:$L$52</definedName>
    <definedName name="OSRRefE21_7x_4" localSheetId="43">'203'!$L$51</definedName>
    <definedName name="OSRRefE21_7x_4" localSheetId="44">'204'!$L$53:$L$54</definedName>
    <definedName name="OSRRefE21_7x_4" localSheetId="45">'205'!$L$52</definedName>
    <definedName name="OSRRefE21_7x_4" localSheetId="48">'300'!$L$146</definedName>
    <definedName name="OSRRefE21_7x_4" localSheetId="49">'300 &amp; 317'!$L$168</definedName>
    <definedName name="OSRRefE21_7x_4" localSheetId="50">'301'!$L$52</definedName>
    <definedName name="OSRRefE21_7x_4" localSheetId="52">'307'!$L$70</definedName>
    <definedName name="OSRRefE21_7x_4" localSheetId="53">'308'!$L$85:$L$86</definedName>
    <definedName name="OSRRefE21_7x_4" localSheetId="64">'309'!$L$53:$L$55</definedName>
    <definedName name="OSRRefE21_7x_4" localSheetId="63">'310'!$L$58</definedName>
    <definedName name="OSRRefE21_7x_4" localSheetId="71">'310 &amp; 491'!$L$64</definedName>
    <definedName name="OSRRefE21_7x_4" localSheetId="54">'311'!$L$84:$L$85</definedName>
    <definedName name="OSRRefE21_7x_4" localSheetId="65">'313'!$L$51</definedName>
    <definedName name="OSRRefE21_7x_4" localSheetId="57">'315'!$L$107:$L$108</definedName>
    <definedName name="OSRRefE21_7x_4" localSheetId="60">'316'!$L$61:$L$62</definedName>
    <definedName name="OSRRefE21_7x_4" localSheetId="62">'317'!$L$81</definedName>
    <definedName name="OSRRefE21_7x_4" localSheetId="66">'321'!$L$54</definedName>
    <definedName name="OSRRefE21_7x_4" localSheetId="67">'322'!$L$53:$L$54</definedName>
    <definedName name="OSRRefE21_7x_4" localSheetId="68">'325'!$L$52</definedName>
    <definedName name="OSRRefE21_7x_4" localSheetId="58">'326'!$L$74</definedName>
    <definedName name="OSRRefE21_7x_4" localSheetId="51">'330'!$L$70</definedName>
    <definedName name="OSRRefE21_7x_4" localSheetId="56">'331'!$L$107:$L$108</definedName>
    <definedName name="OSRRefE21_7x_4" localSheetId="59">'332'!$L$61:$L$62</definedName>
    <definedName name="OSRRefE21_7x_4" localSheetId="73">'405'!$L$53</definedName>
    <definedName name="OSRRefE21_7x_4" localSheetId="75">'411'!$L$51</definedName>
    <definedName name="OSRRefE21_7x_4" localSheetId="76">'412'!$L$52</definedName>
    <definedName name="OSRRefE21_7x_4" localSheetId="77">'413'!$L$53</definedName>
    <definedName name="OSRRefE21_7x_4" localSheetId="78">'414'!$L$54</definedName>
    <definedName name="OSRRefE21_7x_4" localSheetId="79">'415'!$L$58</definedName>
    <definedName name="OSRRefE21_7x_4" localSheetId="80">'418'!$L$53</definedName>
    <definedName name="OSRRefE21_7x_4" localSheetId="87">'430'!$L$53</definedName>
    <definedName name="OSRRefE21_7x_4" localSheetId="88">'433'!$L$58</definedName>
    <definedName name="OSRRefE21_7x_4" localSheetId="90">'444'!$L$58</definedName>
    <definedName name="OSRRefE21_7x_4" localSheetId="91">'450'!$L$54</definedName>
    <definedName name="OSRRefE21_7x_4" localSheetId="72">'491'!$L$61</definedName>
    <definedName name="OSRRefE21_7x_4" localSheetId="86">'492'!$L$58</definedName>
    <definedName name="OSRRefE21_7x_4" localSheetId="93">'501'!$L$54</definedName>
    <definedName name="OSRRefE21_7x_4" localSheetId="39">'Div 2'!$L$53</definedName>
    <definedName name="OSRRefE21_7x_4" localSheetId="47">'Div 3'!$L$150</definedName>
    <definedName name="OSRRefE21_7x_4" localSheetId="70">'Div 4'!$L$64</definedName>
    <definedName name="OSRRefE21_7x_4" localSheetId="92">'Div 5'!$L$54</definedName>
    <definedName name="OSRRefE21_7x_4" localSheetId="61">'Div 6'!$L$81</definedName>
    <definedName name="OSRRefE21_7x_4" localSheetId="2">Summary!$L$178</definedName>
    <definedName name="OSRRefE21_7x_5" localSheetId="41">'201'!$M$51</definedName>
    <definedName name="OSRRefE21_7x_5" localSheetId="42">'202'!$M$51:$M$52</definedName>
    <definedName name="OSRRefE21_7x_5" localSheetId="43">'203'!$M$51</definedName>
    <definedName name="OSRRefE21_7x_5" localSheetId="44">'204'!$M$53:$M$54</definedName>
    <definedName name="OSRRefE21_7x_5" localSheetId="45">'205'!$M$52</definedName>
    <definedName name="OSRRefE21_7x_5" localSheetId="48">'300'!$M$146</definedName>
    <definedName name="OSRRefE21_7x_5" localSheetId="49">'300 &amp; 317'!$M$168</definedName>
    <definedName name="OSRRefE21_7x_5" localSheetId="50">'301'!$M$52</definedName>
    <definedName name="OSRRefE21_7x_5" localSheetId="52">'307'!$M$70</definedName>
    <definedName name="OSRRefE21_7x_5" localSheetId="53">'308'!$M$85:$M$86</definedName>
    <definedName name="OSRRefE21_7x_5" localSheetId="64">'309'!$M$53:$M$55</definedName>
    <definedName name="OSRRefE21_7x_5" localSheetId="63">'310'!$M$58</definedName>
    <definedName name="OSRRefE21_7x_5" localSheetId="71">'310 &amp; 491'!$M$64</definedName>
    <definedName name="OSRRefE21_7x_5" localSheetId="54">'311'!$M$84:$M$85</definedName>
    <definedName name="OSRRefE21_7x_5" localSheetId="65">'313'!$M$51</definedName>
    <definedName name="OSRRefE21_7x_5" localSheetId="57">'315'!$M$107:$M$108</definedName>
    <definedName name="OSRRefE21_7x_5" localSheetId="60">'316'!$M$61:$M$62</definedName>
    <definedName name="OSRRefE21_7x_5" localSheetId="62">'317'!$M$81</definedName>
    <definedName name="OSRRefE21_7x_5" localSheetId="66">'321'!$M$54</definedName>
    <definedName name="OSRRefE21_7x_5" localSheetId="67">'322'!$M$53:$M$54</definedName>
    <definedName name="OSRRefE21_7x_5" localSheetId="68">'325'!$M$52</definedName>
    <definedName name="OSRRefE21_7x_5" localSheetId="58">'326'!$M$74</definedName>
    <definedName name="OSRRefE21_7x_5" localSheetId="51">'330'!$M$70</definedName>
    <definedName name="OSRRefE21_7x_5" localSheetId="56">'331'!$M$107:$M$108</definedName>
    <definedName name="OSRRefE21_7x_5" localSheetId="59">'332'!$M$61:$M$62</definedName>
    <definedName name="OSRRefE21_7x_5" localSheetId="73">'405'!$M$53</definedName>
    <definedName name="OSRRefE21_7x_5" localSheetId="75">'411'!$M$51</definedName>
    <definedName name="OSRRefE21_7x_5" localSheetId="76">'412'!$M$52</definedName>
    <definedName name="OSRRefE21_7x_5" localSheetId="77">'413'!$M$53</definedName>
    <definedName name="OSRRefE21_7x_5" localSheetId="78">'414'!$M$54</definedName>
    <definedName name="OSRRefE21_7x_5" localSheetId="79">'415'!$M$58</definedName>
    <definedName name="OSRRefE21_7x_5" localSheetId="80">'418'!$M$53</definedName>
    <definedName name="OSRRefE21_7x_5" localSheetId="87">'430'!$M$53</definedName>
    <definedName name="OSRRefE21_7x_5" localSheetId="88">'433'!$M$58</definedName>
    <definedName name="OSRRefE21_7x_5" localSheetId="90">'444'!$M$58</definedName>
    <definedName name="OSRRefE21_7x_5" localSheetId="91">'450'!$M$54</definedName>
    <definedName name="OSRRefE21_7x_5" localSheetId="72">'491'!$M$61</definedName>
    <definedName name="OSRRefE21_7x_5" localSheetId="86">'492'!$M$58</definedName>
    <definedName name="OSRRefE21_7x_5" localSheetId="93">'501'!$M$54</definedName>
    <definedName name="OSRRefE21_7x_5" localSheetId="39">'Div 2'!$M$53</definedName>
    <definedName name="OSRRefE21_7x_5" localSheetId="47">'Div 3'!$M$150</definedName>
    <definedName name="OSRRefE21_7x_5" localSheetId="70">'Div 4'!$M$64</definedName>
    <definedName name="OSRRefE21_7x_5" localSheetId="92">'Div 5'!$M$54</definedName>
    <definedName name="OSRRefE21_7x_5" localSheetId="61">'Div 6'!$M$81</definedName>
    <definedName name="OSRRefE21_7x_5" localSheetId="2">Summary!$M$178</definedName>
    <definedName name="OSRRefE21_7x_6" localSheetId="41">'201'!$N$51</definedName>
    <definedName name="OSRRefE21_7x_6" localSheetId="42">'202'!$N$51:$N$52</definedName>
    <definedName name="OSRRefE21_7x_6" localSheetId="43">'203'!$N$51</definedName>
    <definedName name="OSRRefE21_7x_6" localSheetId="44">'204'!$N$53:$N$54</definedName>
    <definedName name="OSRRefE21_7x_6" localSheetId="45">'205'!$N$52</definedName>
    <definedName name="OSRRefE21_7x_6" localSheetId="48">'300'!$N$146</definedName>
    <definedName name="OSRRefE21_7x_6" localSheetId="49">'300 &amp; 317'!$N$168</definedName>
    <definedName name="OSRRefE21_7x_6" localSheetId="50">'301'!$N$52</definedName>
    <definedName name="OSRRefE21_7x_6" localSheetId="52">'307'!$N$70</definedName>
    <definedName name="OSRRefE21_7x_6" localSheetId="53">'308'!$N$85:$N$86</definedName>
    <definedName name="OSRRefE21_7x_6" localSheetId="64">'309'!$N$53:$N$55</definedName>
    <definedName name="OSRRefE21_7x_6" localSheetId="63">'310'!$N$58</definedName>
    <definedName name="OSRRefE21_7x_6" localSheetId="71">'310 &amp; 491'!$N$64</definedName>
    <definedName name="OSRRefE21_7x_6" localSheetId="54">'311'!$N$84:$N$85</definedName>
    <definedName name="OSRRefE21_7x_6" localSheetId="65">'313'!$N$51</definedName>
    <definedName name="OSRRefE21_7x_6" localSheetId="57">'315'!$N$107:$N$108</definedName>
    <definedName name="OSRRefE21_7x_6" localSheetId="60">'316'!$N$61:$N$62</definedName>
    <definedName name="OSRRefE21_7x_6" localSheetId="62">'317'!$N$81</definedName>
    <definedName name="OSRRefE21_7x_6" localSheetId="66">'321'!$N$54</definedName>
    <definedName name="OSRRefE21_7x_6" localSheetId="67">'322'!$N$53:$N$54</definedName>
    <definedName name="OSRRefE21_7x_6" localSheetId="68">'325'!$N$52</definedName>
    <definedName name="OSRRefE21_7x_6" localSheetId="58">'326'!$N$74</definedName>
    <definedName name="OSRRefE21_7x_6" localSheetId="51">'330'!$N$70</definedName>
    <definedName name="OSRRefE21_7x_6" localSheetId="56">'331'!$N$107:$N$108</definedName>
    <definedName name="OSRRefE21_7x_6" localSheetId="59">'332'!$N$61:$N$62</definedName>
    <definedName name="OSRRefE21_7x_6" localSheetId="73">'405'!$N$53</definedName>
    <definedName name="OSRRefE21_7x_6" localSheetId="75">'411'!$N$51</definedName>
    <definedName name="OSRRefE21_7x_6" localSheetId="76">'412'!$N$52</definedName>
    <definedName name="OSRRefE21_7x_6" localSheetId="77">'413'!$N$53</definedName>
    <definedName name="OSRRefE21_7x_6" localSheetId="78">'414'!$N$54</definedName>
    <definedName name="OSRRefE21_7x_6" localSheetId="79">'415'!$N$58</definedName>
    <definedName name="OSRRefE21_7x_6" localSheetId="80">'418'!$N$53</definedName>
    <definedName name="OSRRefE21_7x_6" localSheetId="87">'430'!$N$53</definedName>
    <definedName name="OSRRefE21_7x_6" localSheetId="88">'433'!$N$58</definedName>
    <definedName name="OSRRefE21_7x_6" localSheetId="90">'444'!$N$58</definedName>
    <definedName name="OSRRefE21_7x_6" localSheetId="91">'450'!$N$54</definedName>
    <definedName name="OSRRefE21_7x_6" localSheetId="72">'491'!$N$61</definedName>
    <definedName name="OSRRefE21_7x_6" localSheetId="86">'492'!$N$58</definedName>
    <definedName name="OSRRefE21_7x_6" localSheetId="93">'501'!$N$54</definedName>
    <definedName name="OSRRefE21_7x_6" localSheetId="39">'Div 2'!$N$53</definedName>
    <definedName name="OSRRefE21_7x_6" localSheetId="47">'Div 3'!$N$150</definedName>
    <definedName name="OSRRefE21_7x_6" localSheetId="70">'Div 4'!$N$64</definedName>
    <definedName name="OSRRefE21_7x_6" localSheetId="92">'Div 5'!$N$54</definedName>
    <definedName name="OSRRefE21_7x_6" localSheetId="61">'Div 6'!$N$81</definedName>
    <definedName name="OSRRefE21_7x_6" localSheetId="2">Summary!$N$178</definedName>
    <definedName name="OSRRefE21_7x_7" localSheetId="41">'201'!$O$51</definedName>
    <definedName name="OSRRefE21_7x_7" localSheetId="42">'202'!$O$51:$O$52</definedName>
    <definedName name="OSRRefE21_7x_7" localSheetId="43">'203'!$O$51</definedName>
    <definedName name="OSRRefE21_7x_7" localSheetId="44">'204'!$O$53:$O$54</definedName>
    <definedName name="OSRRefE21_7x_7" localSheetId="45">'205'!$O$52</definedName>
    <definedName name="OSRRefE21_7x_7" localSheetId="48">'300'!$O$146</definedName>
    <definedName name="OSRRefE21_7x_7" localSheetId="49">'300 &amp; 317'!$O$168</definedName>
    <definedName name="OSRRefE21_7x_7" localSheetId="50">'301'!$O$52</definedName>
    <definedName name="OSRRefE21_7x_7" localSheetId="52">'307'!$O$70</definedName>
    <definedName name="OSRRefE21_7x_7" localSheetId="53">'308'!$O$85:$O$86</definedName>
    <definedName name="OSRRefE21_7x_7" localSheetId="64">'309'!$O$53:$O$55</definedName>
    <definedName name="OSRRefE21_7x_7" localSheetId="63">'310'!$O$58</definedName>
    <definedName name="OSRRefE21_7x_7" localSheetId="71">'310 &amp; 491'!$O$64</definedName>
    <definedName name="OSRRefE21_7x_7" localSheetId="54">'311'!$O$84:$O$85</definedName>
    <definedName name="OSRRefE21_7x_7" localSheetId="65">'313'!$O$51</definedName>
    <definedName name="OSRRefE21_7x_7" localSheetId="57">'315'!$O$107:$O$108</definedName>
    <definedName name="OSRRefE21_7x_7" localSheetId="60">'316'!$O$61:$O$62</definedName>
    <definedName name="OSRRefE21_7x_7" localSheetId="62">'317'!$O$81</definedName>
    <definedName name="OSRRefE21_7x_7" localSheetId="66">'321'!$O$54</definedName>
    <definedName name="OSRRefE21_7x_7" localSheetId="67">'322'!$O$53:$O$54</definedName>
    <definedName name="OSRRefE21_7x_7" localSheetId="68">'325'!$O$52</definedName>
    <definedName name="OSRRefE21_7x_7" localSheetId="58">'326'!$O$74</definedName>
    <definedName name="OSRRefE21_7x_7" localSheetId="51">'330'!$O$70</definedName>
    <definedName name="OSRRefE21_7x_7" localSheetId="56">'331'!$O$107:$O$108</definedName>
    <definedName name="OSRRefE21_7x_7" localSheetId="59">'332'!$O$61:$O$62</definedName>
    <definedName name="OSRRefE21_7x_7" localSheetId="73">'405'!$O$53</definedName>
    <definedName name="OSRRefE21_7x_7" localSheetId="75">'411'!$O$51</definedName>
    <definedName name="OSRRefE21_7x_7" localSheetId="76">'412'!$O$52</definedName>
    <definedName name="OSRRefE21_7x_7" localSheetId="77">'413'!$O$53</definedName>
    <definedName name="OSRRefE21_7x_7" localSheetId="78">'414'!$O$54</definedName>
    <definedName name="OSRRefE21_7x_7" localSheetId="79">'415'!$O$58</definedName>
    <definedName name="OSRRefE21_7x_7" localSheetId="80">'418'!$O$53</definedName>
    <definedName name="OSRRefE21_7x_7" localSheetId="87">'430'!$O$53</definedName>
    <definedName name="OSRRefE21_7x_7" localSheetId="88">'433'!$O$58</definedName>
    <definedName name="OSRRefE21_7x_7" localSheetId="90">'444'!$O$58</definedName>
    <definedName name="OSRRefE21_7x_7" localSheetId="91">'450'!$O$54</definedName>
    <definedName name="OSRRefE21_7x_7" localSheetId="72">'491'!$O$61</definedName>
    <definedName name="OSRRefE21_7x_7" localSheetId="86">'492'!$O$58</definedName>
    <definedName name="OSRRefE21_7x_7" localSheetId="93">'501'!$O$54</definedName>
    <definedName name="OSRRefE21_7x_7" localSheetId="39">'Div 2'!$O$53</definedName>
    <definedName name="OSRRefE21_7x_7" localSheetId="47">'Div 3'!$O$150</definedName>
    <definedName name="OSRRefE21_7x_7" localSheetId="70">'Div 4'!$O$64</definedName>
    <definedName name="OSRRefE21_7x_7" localSheetId="92">'Div 5'!$O$54</definedName>
    <definedName name="OSRRefE21_7x_7" localSheetId="61">'Div 6'!$O$81</definedName>
    <definedName name="OSRRefE21_7x_7" localSheetId="2">Summary!$O$178</definedName>
    <definedName name="OSRRefE21_8_0x" localSheetId="41">'201'!$H$53:$O$53</definedName>
    <definedName name="OSRRefE21_8_0x" localSheetId="42">'202'!$H$54:$O$54</definedName>
    <definedName name="OSRRefE21_8_0x" localSheetId="43">'203'!$H$53:$O$53</definedName>
    <definedName name="OSRRefE21_8_0x" localSheetId="44">'204'!$H$56:$O$56</definedName>
    <definedName name="OSRRefE21_8_0x" localSheetId="48">'300'!$H$148:$O$148</definedName>
    <definedName name="OSRRefE21_8_0x" localSheetId="49">'300 &amp; 317'!$H$170:$O$170</definedName>
    <definedName name="OSRRefE21_8_0x" localSheetId="50">'301'!$H$54:$O$54</definedName>
    <definedName name="OSRRefE21_8_0x" localSheetId="52">'307'!$H$72:$O$72</definedName>
    <definedName name="OSRRefE21_8_0x" localSheetId="53">'308'!$H$88:$O$88</definedName>
    <definedName name="OSRRefE21_8_0x" localSheetId="64">'309'!$H$57:$O$57</definedName>
    <definedName name="OSRRefE21_8_0x" localSheetId="63">'310'!$H$60:$O$60</definedName>
    <definedName name="OSRRefE21_8_0x" localSheetId="71">'310 &amp; 491'!$H$66:$O$66</definedName>
    <definedName name="OSRRefE21_8_0x" localSheetId="54">'311'!$H$87:$O$87</definedName>
    <definedName name="OSRRefE21_8_0x" localSheetId="57">'315'!$H$110:$O$110</definedName>
    <definedName name="OSRRefE21_8_0x" localSheetId="60">'316'!$H$64:$O$64</definedName>
    <definedName name="OSRRefE21_8_0x" localSheetId="62">'317'!$H$83:$O$83</definedName>
    <definedName name="OSRRefE21_8_0x" localSheetId="66">'321'!$H$56:$O$56</definedName>
    <definedName name="OSRRefE21_8_0x" localSheetId="67">'322'!$H$56:$O$56</definedName>
    <definedName name="OSRRefE21_8_0x" localSheetId="68">'325'!$H$54:$O$54</definedName>
    <definedName name="OSRRefE21_8_0x" localSheetId="58">'326'!$H$76:$O$76</definedName>
    <definedName name="OSRRefE21_8_0x" localSheetId="51">'330'!$H$72:$O$72</definedName>
    <definedName name="OSRRefE21_8_0x" localSheetId="56">'331'!$H$110:$O$110</definedName>
    <definedName name="OSRRefE21_8_0x" localSheetId="59">'332'!$H$64:$O$64</definedName>
    <definedName name="OSRRefE21_8_0x" localSheetId="73">'405'!$H$55:$O$55</definedName>
    <definedName name="OSRRefE21_8_0x" localSheetId="75">'411'!$H$53:$O$53</definedName>
    <definedName name="OSRRefE21_8_0x" localSheetId="76">'412'!$H$54:$O$54</definedName>
    <definedName name="OSRRefE21_8_0x" localSheetId="77">'413'!$H$55:$O$55</definedName>
    <definedName name="OSRRefE21_8_0x" localSheetId="78">'414'!$H$56:$O$56</definedName>
    <definedName name="OSRRefE21_8_0x" localSheetId="79">'415'!$H$60:$O$60</definedName>
    <definedName name="OSRRefE21_8_0x" localSheetId="80">'418'!$H$55:$O$55</definedName>
    <definedName name="OSRRefE21_8_0x" localSheetId="88">'433'!$H$60:$O$60</definedName>
    <definedName name="OSRRefE21_8_0x" localSheetId="90">'444'!$H$60:$O$60</definedName>
    <definedName name="OSRRefE21_8_0x" localSheetId="91">'450'!$H$56:$O$56</definedName>
    <definedName name="OSRRefE21_8_0x" localSheetId="72">'491'!$H$63:$O$63</definedName>
    <definedName name="OSRRefE21_8_0x" localSheetId="86">'492'!$H$60:$O$60</definedName>
    <definedName name="OSRRefE21_8_0x" localSheetId="93">'501'!$H$56:$O$56</definedName>
    <definedName name="OSRRefE21_8_0x" localSheetId="39">'Div 2'!$H$55:$O$55</definedName>
    <definedName name="OSRRefE21_8_0x" localSheetId="47">'Div 3'!$H$152:$O$152</definedName>
    <definedName name="OSRRefE21_8_0x" localSheetId="70">'Div 4'!$H$66:$O$66</definedName>
    <definedName name="OSRRefE21_8_0x" localSheetId="92">'Div 5'!$H$56:$O$56</definedName>
    <definedName name="OSRRefE21_8_0x" localSheetId="61">'Div 6'!$H$83:$O$83</definedName>
    <definedName name="OSRRefE21_8_0x" localSheetId="2">Summary!$H$180:$O$180</definedName>
    <definedName name="OSRRefE21_8_1x" localSheetId="43">'203'!$H$54:$O$54</definedName>
    <definedName name="OSRRefE21_8_1x" localSheetId="52">'307'!$H$73:$O$73</definedName>
    <definedName name="OSRRefE21_8_1x" localSheetId="71">'310 &amp; 491'!$H$67:$O$67</definedName>
    <definedName name="OSRRefE21_8_1x" localSheetId="66">'321'!$H$57:$O$57</definedName>
    <definedName name="OSRRefE21_8_1x" localSheetId="67">'322'!$H$57:$O$57</definedName>
    <definedName name="OSRRefE21_8_1x" localSheetId="51">'330'!$H$73:$O$73</definedName>
    <definedName name="OSRRefE21_8_1x" localSheetId="76">'412'!$H$55:$O$55</definedName>
    <definedName name="OSRRefE21_8_1x" localSheetId="77">'413'!$H$56:$O$56</definedName>
    <definedName name="OSRRefE21_8_1x" localSheetId="78">'414'!$H$57:$O$57</definedName>
    <definedName name="OSRRefE21_8_1x" localSheetId="80">'418'!$H$56:$O$56</definedName>
    <definedName name="OSRRefE21_8_2x" localSheetId="43">'203'!$H$55:$O$55</definedName>
    <definedName name="OSRRefE21_8_2x" localSheetId="67">'322'!$H$58:$O$58</definedName>
    <definedName name="OSRRefE21_8_2x" localSheetId="77">'413'!$H$57:$O$57</definedName>
    <definedName name="OSRRefE21_8_3x" localSheetId="67">'322'!$H$59:$O$59</definedName>
    <definedName name="OSRRefE21_8x_0" localSheetId="41">'201'!$H$53</definedName>
    <definedName name="OSRRefE21_8x_0" localSheetId="42">'202'!$H$54</definedName>
    <definedName name="OSRRefE21_8x_0" localSheetId="43">'203'!$H$53:$H$55</definedName>
    <definedName name="OSRRefE21_8x_0" localSheetId="44">'204'!$H$56</definedName>
    <definedName name="OSRRefE21_8x_0" localSheetId="48">'300'!$H$148</definedName>
    <definedName name="OSRRefE21_8x_0" localSheetId="49">'300 &amp; 317'!$H$170</definedName>
    <definedName name="OSRRefE21_8x_0" localSheetId="50">'301'!$H$54</definedName>
    <definedName name="OSRRefE21_8x_0" localSheetId="52">'307'!$H$72:$H$73</definedName>
    <definedName name="OSRRefE21_8x_0" localSheetId="53">'308'!$H$88</definedName>
    <definedName name="OSRRefE21_8x_0" localSheetId="64">'309'!$H$57</definedName>
    <definedName name="OSRRefE21_8x_0" localSheetId="63">'310'!$H$60</definedName>
    <definedName name="OSRRefE21_8x_0" localSheetId="71">'310 &amp; 491'!$H$66:$H$67</definedName>
    <definedName name="OSRRefE21_8x_0" localSheetId="54">'311'!$H$87</definedName>
    <definedName name="OSRRefE21_8x_0" localSheetId="57">'315'!$H$110</definedName>
    <definedName name="OSRRefE21_8x_0" localSheetId="60">'316'!$H$64</definedName>
    <definedName name="OSRRefE21_8x_0" localSheetId="62">'317'!$H$83</definedName>
    <definedName name="OSRRefE21_8x_0" localSheetId="66">'321'!$H$56:$H$57</definedName>
    <definedName name="OSRRefE21_8x_0" localSheetId="67">'322'!$H$56:$H$59</definedName>
    <definedName name="OSRRefE21_8x_0" localSheetId="68">'325'!$H$54</definedName>
    <definedName name="OSRRefE21_8x_0" localSheetId="58">'326'!$H$76</definedName>
    <definedName name="OSRRefE21_8x_0" localSheetId="51">'330'!$H$72:$H$73</definedName>
    <definedName name="OSRRefE21_8x_0" localSheetId="56">'331'!$H$110</definedName>
    <definedName name="OSRRefE21_8x_0" localSheetId="59">'332'!$H$64</definedName>
    <definedName name="OSRRefE21_8x_0" localSheetId="73">'405'!$H$55</definedName>
    <definedName name="OSRRefE21_8x_0" localSheetId="75">'411'!$H$53</definedName>
    <definedName name="OSRRefE21_8x_0" localSheetId="76">'412'!$H$54:$H$55</definedName>
    <definedName name="OSRRefE21_8x_0" localSheetId="77">'413'!$H$55:$H$57</definedName>
    <definedName name="OSRRefE21_8x_0" localSheetId="78">'414'!$H$56:$H$57</definedName>
    <definedName name="OSRRefE21_8x_0" localSheetId="79">'415'!$H$60</definedName>
    <definedName name="OSRRefE21_8x_0" localSheetId="80">'418'!$H$55:$H$56</definedName>
    <definedName name="OSRRefE21_8x_0" localSheetId="88">'433'!$H$60</definedName>
    <definedName name="OSRRefE21_8x_0" localSheetId="90">'444'!$H$60</definedName>
    <definedName name="OSRRefE21_8x_0" localSheetId="91">'450'!$H$56</definedName>
    <definedName name="OSRRefE21_8x_0" localSheetId="72">'491'!$H$63</definedName>
    <definedName name="OSRRefE21_8x_0" localSheetId="86">'492'!$H$60</definedName>
    <definedName name="OSRRefE21_8x_0" localSheetId="93">'501'!$H$56</definedName>
    <definedName name="OSRRefE21_8x_0" localSheetId="39">'Div 2'!$H$55</definedName>
    <definedName name="OSRRefE21_8x_0" localSheetId="47">'Div 3'!$H$152</definedName>
    <definedName name="OSRRefE21_8x_0" localSheetId="70">'Div 4'!$H$66</definedName>
    <definedName name="OSRRefE21_8x_0" localSheetId="92">'Div 5'!$H$56</definedName>
    <definedName name="OSRRefE21_8x_0" localSheetId="61">'Div 6'!$H$83</definedName>
    <definedName name="OSRRefE21_8x_0" localSheetId="2">Summary!$H$180</definedName>
    <definedName name="OSRRefE21_8x_1" localSheetId="41">'201'!$I$53</definedName>
    <definedName name="OSRRefE21_8x_1" localSheetId="42">'202'!$I$54</definedName>
    <definedName name="OSRRefE21_8x_1" localSheetId="43">'203'!$I$53:$I$55</definedName>
    <definedName name="OSRRefE21_8x_1" localSheetId="44">'204'!$I$56</definedName>
    <definedName name="OSRRefE21_8x_1" localSheetId="48">'300'!$I$148</definedName>
    <definedName name="OSRRefE21_8x_1" localSheetId="49">'300 &amp; 317'!$I$170</definedName>
    <definedName name="OSRRefE21_8x_1" localSheetId="50">'301'!$I$54</definedName>
    <definedName name="OSRRefE21_8x_1" localSheetId="52">'307'!$I$72:$I$73</definedName>
    <definedName name="OSRRefE21_8x_1" localSheetId="53">'308'!$I$88</definedName>
    <definedName name="OSRRefE21_8x_1" localSheetId="64">'309'!$I$57</definedName>
    <definedName name="OSRRefE21_8x_1" localSheetId="63">'310'!$I$60</definedName>
    <definedName name="OSRRefE21_8x_1" localSheetId="71">'310 &amp; 491'!$I$66:$I$67</definedName>
    <definedName name="OSRRefE21_8x_1" localSheetId="54">'311'!$I$87</definedName>
    <definedName name="OSRRefE21_8x_1" localSheetId="57">'315'!$I$110</definedName>
    <definedName name="OSRRefE21_8x_1" localSheetId="60">'316'!$I$64</definedName>
    <definedName name="OSRRefE21_8x_1" localSheetId="62">'317'!$I$83</definedName>
    <definedName name="OSRRefE21_8x_1" localSheetId="66">'321'!$I$56:$I$57</definedName>
    <definedName name="OSRRefE21_8x_1" localSheetId="67">'322'!$I$56:$I$59</definedName>
    <definedName name="OSRRefE21_8x_1" localSheetId="68">'325'!$I$54</definedName>
    <definedName name="OSRRefE21_8x_1" localSheetId="58">'326'!$I$76</definedName>
    <definedName name="OSRRefE21_8x_1" localSheetId="51">'330'!$I$72:$I$73</definedName>
    <definedName name="OSRRefE21_8x_1" localSheetId="56">'331'!$I$110</definedName>
    <definedName name="OSRRefE21_8x_1" localSheetId="59">'332'!$I$64</definedName>
    <definedName name="OSRRefE21_8x_1" localSheetId="73">'405'!$I$55</definedName>
    <definedName name="OSRRefE21_8x_1" localSheetId="75">'411'!$I$53</definedName>
    <definedName name="OSRRefE21_8x_1" localSheetId="76">'412'!$I$54:$I$55</definedName>
    <definedName name="OSRRefE21_8x_1" localSheetId="77">'413'!$I$55:$I$57</definedName>
    <definedName name="OSRRefE21_8x_1" localSheetId="78">'414'!$I$56:$I$57</definedName>
    <definedName name="OSRRefE21_8x_1" localSheetId="79">'415'!$I$60</definedName>
    <definedName name="OSRRefE21_8x_1" localSheetId="80">'418'!$I$55:$I$56</definedName>
    <definedName name="OSRRefE21_8x_1" localSheetId="88">'433'!$I$60</definedName>
    <definedName name="OSRRefE21_8x_1" localSheetId="90">'444'!$I$60</definedName>
    <definedName name="OSRRefE21_8x_1" localSheetId="91">'450'!$I$56</definedName>
    <definedName name="OSRRefE21_8x_1" localSheetId="72">'491'!$I$63</definedName>
    <definedName name="OSRRefE21_8x_1" localSheetId="86">'492'!$I$60</definedName>
    <definedName name="OSRRefE21_8x_1" localSheetId="93">'501'!$I$56</definedName>
    <definedName name="OSRRefE21_8x_1" localSheetId="39">'Div 2'!$I$55</definedName>
    <definedName name="OSRRefE21_8x_1" localSheetId="47">'Div 3'!$I$152</definedName>
    <definedName name="OSRRefE21_8x_1" localSheetId="70">'Div 4'!$I$66</definedName>
    <definedName name="OSRRefE21_8x_1" localSheetId="92">'Div 5'!$I$56</definedName>
    <definedName name="OSRRefE21_8x_1" localSheetId="61">'Div 6'!$I$83</definedName>
    <definedName name="OSRRefE21_8x_1" localSheetId="2">Summary!$I$180</definedName>
    <definedName name="OSRRefE21_8x_2" localSheetId="41">'201'!$J$53</definedName>
    <definedName name="OSRRefE21_8x_2" localSheetId="42">'202'!$J$54</definedName>
    <definedName name="OSRRefE21_8x_2" localSheetId="43">'203'!$J$53:$J$55</definedName>
    <definedName name="OSRRefE21_8x_2" localSheetId="44">'204'!$J$56</definedName>
    <definedName name="OSRRefE21_8x_2" localSheetId="48">'300'!$J$148</definedName>
    <definedName name="OSRRefE21_8x_2" localSheetId="49">'300 &amp; 317'!$J$170</definedName>
    <definedName name="OSRRefE21_8x_2" localSheetId="50">'301'!$J$54</definedName>
    <definedName name="OSRRefE21_8x_2" localSheetId="52">'307'!$J$72:$J$73</definedName>
    <definedName name="OSRRefE21_8x_2" localSheetId="53">'308'!$J$88</definedName>
    <definedName name="OSRRefE21_8x_2" localSheetId="64">'309'!$J$57</definedName>
    <definedName name="OSRRefE21_8x_2" localSheetId="63">'310'!$J$60</definedName>
    <definedName name="OSRRefE21_8x_2" localSheetId="71">'310 &amp; 491'!$J$66:$J$67</definedName>
    <definedName name="OSRRefE21_8x_2" localSheetId="54">'311'!$J$87</definedName>
    <definedName name="OSRRefE21_8x_2" localSheetId="57">'315'!$J$110</definedName>
    <definedName name="OSRRefE21_8x_2" localSheetId="60">'316'!$J$64</definedName>
    <definedName name="OSRRefE21_8x_2" localSheetId="62">'317'!$J$83</definedName>
    <definedName name="OSRRefE21_8x_2" localSheetId="66">'321'!$J$56:$J$57</definedName>
    <definedName name="OSRRefE21_8x_2" localSheetId="67">'322'!$J$56:$J$59</definedName>
    <definedName name="OSRRefE21_8x_2" localSheetId="68">'325'!$J$54</definedName>
    <definedName name="OSRRefE21_8x_2" localSheetId="58">'326'!$J$76</definedName>
    <definedName name="OSRRefE21_8x_2" localSheetId="51">'330'!$J$72:$J$73</definedName>
    <definedName name="OSRRefE21_8x_2" localSheetId="56">'331'!$J$110</definedName>
    <definedName name="OSRRefE21_8x_2" localSheetId="59">'332'!$J$64</definedName>
    <definedName name="OSRRefE21_8x_2" localSheetId="73">'405'!$J$55</definedName>
    <definedName name="OSRRefE21_8x_2" localSheetId="75">'411'!$J$53</definedName>
    <definedName name="OSRRefE21_8x_2" localSheetId="76">'412'!$J$54:$J$55</definedName>
    <definedName name="OSRRefE21_8x_2" localSheetId="77">'413'!$J$55:$J$57</definedName>
    <definedName name="OSRRefE21_8x_2" localSheetId="78">'414'!$J$56:$J$57</definedName>
    <definedName name="OSRRefE21_8x_2" localSheetId="79">'415'!$J$60</definedName>
    <definedName name="OSRRefE21_8x_2" localSheetId="80">'418'!$J$55:$J$56</definedName>
    <definedName name="OSRRefE21_8x_2" localSheetId="88">'433'!$J$60</definedName>
    <definedName name="OSRRefE21_8x_2" localSheetId="90">'444'!$J$60</definedName>
    <definedName name="OSRRefE21_8x_2" localSheetId="91">'450'!$J$56</definedName>
    <definedName name="OSRRefE21_8x_2" localSheetId="72">'491'!$J$63</definedName>
    <definedName name="OSRRefE21_8x_2" localSheetId="86">'492'!$J$60</definedName>
    <definedName name="OSRRefE21_8x_2" localSheetId="93">'501'!$J$56</definedName>
    <definedName name="OSRRefE21_8x_2" localSheetId="39">'Div 2'!$J$55</definedName>
    <definedName name="OSRRefE21_8x_2" localSheetId="47">'Div 3'!$J$152</definedName>
    <definedName name="OSRRefE21_8x_2" localSheetId="70">'Div 4'!$J$66</definedName>
    <definedName name="OSRRefE21_8x_2" localSheetId="92">'Div 5'!$J$56</definedName>
    <definedName name="OSRRefE21_8x_2" localSheetId="61">'Div 6'!$J$83</definedName>
    <definedName name="OSRRefE21_8x_2" localSheetId="2">Summary!$J$180</definedName>
    <definedName name="OSRRefE21_8x_3" localSheetId="41">'201'!$K$53</definedName>
    <definedName name="OSRRefE21_8x_3" localSheetId="42">'202'!$K$54</definedName>
    <definedName name="OSRRefE21_8x_3" localSheetId="43">'203'!$K$53:$K$55</definedName>
    <definedName name="OSRRefE21_8x_3" localSheetId="44">'204'!$K$56</definedName>
    <definedName name="OSRRefE21_8x_3" localSheetId="48">'300'!$K$148</definedName>
    <definedName name="OSRRefE21_8x_3" localSheetId="49">'300 &amp; 317'!$K$170</definedName>
    <definedName name="OSRRefE21_8x_3" localSheetId="50">'301'!$K$54</definedName>
    <definedName name="OSRRefE21_8x_3" localSheetId="52">'307'!$K$72:$K$73</definedName>
    <definedName name="OSRRefE21_8x_3" localSheetId="53">'308'!$K$88</definedName>
    <definedName name="OSRRefE21_8x_3" localSheetId="64">'309'!$K$57</definedName>
    <definedName name="OSRRefE21_8x_3" localSheetId="63">'310'!$K$60</definedName>
    <definedName name="OSRRefE21_8x_3" localSheetId="71">'310 &amp; 491'!$K$66:$K$67</definedName>
    <definedName name="OSRRefE21_8x_3" localSheetId="54">'311'!$K$87</definedName>
    <definedName name="OSRRefE21_8x_3" localSheetId="57">'315'!$K$110</definedName>
    <definedName name="OSRRefE21_8x_3" localSheetId="60">'316'!$K$64</definedName>
    <definedName name="OSRRefE21_8x_3" localSheetId="62">'317'!$K$83</definedName>
    <definedName name="OSRRefE21_8x_3" localSheetId="66">'321'!$K$56:$K$57</definedName>
    <definedName name="OSRRefE21_8x_3" localSheetId="67">'322'!$K$56:$K$59</definedName>
    <definedName name="OSRRefE21_8x_3" localSheetId="68">'325'!$K$54</definedName>
    <definedName name="OSRRefE21_8x_3" localSheetId="58">'326'!$K$76</definedName>
    <definedName name="OSRRefE21_8x_3" localSheetId="51">'330'!$K$72:$K$73</definedName>
    <definedName name="OSRRefE21_8x_3" localSheetId="56">'331'!$K$110</definedName>
    <definedName name="OSRRefE21_8x_3" localSheetId="59">'332'!$K$64</definedName>
    <definedName name="OSRRefE21_8x_3" localSheetId="73">'405'!$K$55</definedName>
    <definedName name="OSRRefE21_8x_3" localSheetId="75">'411'!$K$53</definedName>
    <definedName name="OSRRefE21_8x_3" localSheetId="76">'412'!$K$54:$K$55</definedName>
    <definedName name="OSRRefE21_8x_3" localSheetId="77">'413'!$K$55:$K$57</definedName>
    <definedName name="OSRRefE21_8x_3" localSheetId="78">'414'!$K$56:$K$57</definedName>
    <definedName name="OSRRefE21_8x_3" localSheetId="79">'415'!$K$60</definedName>
    <definedName name="OSRRefE21_8x_3" localSheetId="80">'418'!$K$55:$K$56</definedName>
    <definedName name="OSRRefE21_8x_3" localSheetId="88">'433'!$K$60</definedName>
    <definedName name="OSRRefE21_8x_3" localSheetId="90">'444'!$K$60</definedName>
    <definedName name="OSRRefE21_8x_3" localSheetId="91">'450'!$K$56</definedName>
    <definedName name="OSRRefE21_8x_3" localSheetId="72">'491'!$K$63</definedName>
    <definedName name="OSRRefE21_8x_3" localSheetId="86">'492'!$K$60</definedName>
    <definedName name="OSRRefE21_8x_3" localSheetId="93">'501'!$K$56</definedName>
    <definedName name="OSRRefE21_8x_3" localSheetId="39">'Div 2'!$K$55</definedName>
    <definedName name="OSRRefE21_8x_3" localSheetId="47">'Div 3'!$K$152</definedName>
    <definedName name="OSRRefE21_8x_3" localSheetId="70">'Div 4'!$K$66</definedName>
    <definedName name="OSRRefE21_8x_3" localSheetId="92">'Div 5'!$K$56</definedName>
    <definedName name="OSRRefE21_8x_3" localSheetId="61">'Div 6'!$K$83</definedName>
    <definedName name="OSRRefE21_8x_3" localSheetId="2">Summary!$K$180</definedName>
    <definedName name="OSRRefE21_8x_4" localSheetId="41">'201'!$L$53</definedName>
    <definedName name="OSRRefE21_8x_4" localSheetId="42">'202'!$L$54</definedName>
    <definedName name="OSRRefE21_8x_4" localSheetId="43">'203'!$L$53:$L$55</definedName>
    <definedName name="OSRRefE21_8x_4" localSheetId="44">'204'!$L$56</definedName>
    <definedName name="OSRRefE21_8x_4" localSheetId="48">'300'!$L$148</definedName>
    <definedName name="OSRRefE21_8x_4" localSheetId="49">'300 &amp; 317'!$L$170</definedName>
    <definedName name="OSRRefE21_8x_4" localSheetId="50">'301'!$L$54</definedName>
    <definedName name="OSRRefE21_8x_4" localSheetId="52">'307'!$L$72:$L$73</definedName>
    <definedName name="OSRRefE21_8x_4" localSheetId="53">'308'!$L$88</definedName>
    <definedName name="OSRRefE21_8x_4" localSheetId="64">'309'!$L$57</definedName>
    <definedName name="OSRRefE21_8x_4" localSheetId="63">'310'!$L$60</definedName>
    <definedName name="OSRRefE21_8x_4" localSheetId="71">'310 &amp; 491'!$L$66:$L$67</definedName>
    <definedName name="OSRRefE21_8x_4" localSheetId="54">'311'!$L$87</definedName>
    <definedName name="OSRRefE21_8x_4" localSheetId="57">'315'!$L$110</definedName>
    <definedName name="OSRRefE21_8x_4" localSheetId="60">'316'!$L$64</definedName>
    <definedName name="OSRRefE21_8x_4" localSheetId="62">'317'!$L$83</definedName>
    <definedName name="OSRRefE21_8x_4" localSheetId="66">'321'!$L$56:$L$57</definedName>
    <definedName name="OSRRefE21_8x_4" localSheetId="67">'322'!$L$56:$L$59</definedName>
    <definedName name="OSRRefE21_8x_4" localSheetId="68">'325'!$L$54</definedName>
    <definedName name="OSRRefE21_8x_4" localSheetId="58">'326'!$L$76</definedName>
    <definedName name="OSRRefE21_8x_4" localSheetId="51">'330'!$L$72:$L$73</definedName>
    <definedName name="OSRRefE21_8x_4" localSheetId="56">'331'!$L$110</definedName>
    <definedName name="OSRRefE21_8x_4" localSheetId="59">'332'!$L$64</definedName>
    <definedName name="OSRRefE21_8x_4" localSheetId="73">'405'!$L$55</definedName>
    <definedName name="OSRRefE21_8x_4" localSheetId="75">'411'!$L$53</definedName>
    <definedName name="OSRRefE21_8x_4" localSheetId="76">'412'!$L$54:$L$55</definedName>
    <definedName name="OSRRefE21_8x_4" localSheetId="77">'413'!$L$55:$L$57</definedName>
    <definedName name="OSRRefE21_8x_4" localSheetId="78">'414'!$L$56:$L$57</definedName>
    <definedName name="OSRRefE21_8x_4" localSheetId="79">'415'!$L$60</definedName>
    <definedName name="OSRRefE21_8x_4" localSheetId="80">'418'!$L$55:$L$56</definedName>
    <definedName name="OSRRefE21_8x_4" localSheetId="88">'433'!$L$60</definedName>
    <definedName name="OSRRefE21_8x_4" localSheetId="90">'444'!$L$60</definedName>
    <definedName name="OSRRefE21_8x_4" localSheetId="91">'450'!$L$56</definedName>
    <definedName name="OSRRefE21_8x_4" localSheetId="72">'491'!$L$63</definedName>
    <definedName name="OSRRefE21_8x_4" localSheetId="86">'492'!$L$60</definedName>
    <definedName name="OSRRefE21_8x_4" localSheetId="93">'501'!$L$56</definedName>
    <definedName name="OSRRefE21_8x_4" localSheetId="39">'Div 2'!$L$55</definedName>
    <definedName name="OSRRefE21_8x_4" localSheetId="47">'Div 3'!$L$152</definedName>
    <definedName name="OSRRefE21_8x_4" localSheetId="70">'Div 4'!$L$66</definedName>
    <definedName name="OSRRefE21_8x_4" localSheetId="92">'Div 5'!$L$56</definedName>
    <definedName name="OSRRefE21_8x_4" localSheetId="61">'Div 6'!$L$83</definedName>
    <definedName name="OSRRefE21_8x_4" localSheetId="2">Summary!$L$180</definedName>
    <definedName name="OSRRefE21_8x_5" localSheetId="41">'201'!$M$53</definedName>
    <definedName name="OSRRefE21_8x_5" localSheetId="42">'202'!$M$54</definedName>
    <definedName name="OSRRefE21_8x_5" localSheetId="43">'203'!$M$53:$M$55</definedName>
    <definedName name="OSRRefE21_8x_5" localSheetId="44">'204'!$M$56</definedName>
    <definedName name="OSRRefE21_8x_5" localSheetId="48">'300'!$M$148</definedName>
    <definedName name="OSRRefE21_8x_5" localSheetId="49">'300 &amp; 317'!$M$170</definedName>
    <definedName name="OSRRefE21_8x_5" localSheetId="50">'301'!$M$54</definedName>
    <definedName name="OSRRefE21_8x_5" localSheetId="52">'307'!$M$72:$M$73</definedName>
    <definedName name="OSRRefE21_8x_5" localSheetId="53">'308'!$M$88</definedName>
    <definedName name="OSRRefE21_8x_5" localSheetId="64">'309'!$M$57</definedName>
    <definedName name="OSRRefE21_8x_5" localSheetId="63">'310'!$M$60</definedName>
    <definedName name="OSRRefE21_8x_5" localSheetId="71">'310 &amp; 491'!$M$66:$M$67</definedName>
    <definedName name="OSRRefE21_8x_5" localSheetId="54">'311'!$M$87</definedName>
    <definedName name="OSRRefE21_8x_5" localSheetId="57">'315'!$M$110</definedName>
    <definedName name="OSRRefE21_8x_5" localSheetId="60">'316'!$M$64</definedName>
    <definedName name="OSRRefE21_8x_5" localSheetId="62">'317'!$M$83</definedName>
    <definedName name="OSRRefE21_8x_5" localSheetId="66">'321'!$M$56:$M$57</definedName>
    <definedName name="OSRRefE21_8x_5" localSheetId="67">'322'!$M$56:$M$59</definedName>
    <definedName name="OSRRefE21_8x_5" localSheetId="68">'325'!$M$54</definedName>
    <definedName name="OSRRefE21_8x_5" localSheetId="58">'326'!$M$76</definedName>
    <definedName name="OSRRefE21_8x_5" localSheetId="51">'330'!$M$72:$M$73</definedName>
    <definedName name="OSRRefE21_8x_5" localSheetId="56">'331'!$M$110</definedName>
    <definedName name="OSRRefE21_8x_5" localSheetId="59">'332'!$M$64</definedName>
    <definedName name="OSRRefE21_8x_5" localSheetId="73">'405'!$M$55</definedName>
    <definedName name="OSRRefE21_8x_5" localSheetId="75">'411'!$M$53</definedName>
    <definedName name="OSRRefE21_8x_5" localSheetId="76">'412'!$M$54:$M$55</definedName>
    <definedName name="OSRRefE21_8x_5" localSheetId="77">'413'!$M$55:$M$57</definedName>
    <definedName name="OSRRefE21_8x_5" localSheetId="78">'414'!$M$56:$M$57</definedName>
    <definedName name="OSRRefE21_8x_5" localSheetId="79">'415'!$M$60</definedName>
    <definedName name="OSRRefE21_8x_5" localSheetId="80">'418'!$M$55:$M$56</definedName>
    <definedName name="OSRRefE21_8x_5" localSheetId="88">'433'!$M$60</definedName>
    <definedName name="OSRRefE21_8x_5" localSheetId="90">'444'!$M$60</definedName>
    <definedName name="OSRRefE21_8x_5" localSheetId="91">'450'!$M$56</definedName>
    <definedName name="OSRRefE21_8x_5" localSheetId="72">'491'!$M$63</definedName>
    <definedName name="OSRRefE21_8x_5" localSheetId="86">'492'!$M$60</definedName>
    <definedName name="OSRRefE21_8x_5" localSheetId="93">'501'!$M$56</definedName>
    <definedName name="OSRRefE21_8x_5" localSheetId="39">'Div 2'!$M$55</definedName>
    <definedName name="OSRRefE21_8x_5" localSheetId="47">'Div 3'!$M$152</definedName>
    <definedName name="OSRRefE21_8x_5" localSheetId="70">'Div 4'!$M$66</definedName>
    <definedName name="OSRRefE21_8x_5" localSheetId="92">'Div 5'!$M$56</definedName>
    <definedName name="OSRRefE21_8x_5" localSheetId="61">'Div 6'!$M$83</definedName>
    <definedName name="OSRRefE21_8x_5" localSheetId="2">Summary!$M$180</definedName>
    <definedName name="OSRRefE21_8x_6" localSheetId="41">'201'!$N$53</definedName>
    <definedName name="OSRRefE21_8x_6" localSheetId="42">'202'!$N$54</definedName>
    <definedName name="OSRRefE21_8x_6" localSheetId="43">'203'!$N$53:$N$55</definedName>
    <definedName name="OSRRefE21_8x_6" localSheetId="44">'204'!$N$56</definedName>
    <definedName name="OSRRefE21_8x_6" localSheetId="48">'300'!$N$148</definedName>
    <definedName name="OSRRefE21_8x_6" localSheetId="49">'300 &amp; 317'!$N$170</definedName>
    <definedName name="OSRRefE21_8x_6" localSheetId="50">'301'!$N$54</definedName>
    <definedName name="OSRRefE21_8x_6" localSheetId="52">'307'!$N$72:$N$73</definedName>
    <definedName name="OSRRefE21_8x_6" localSheetId="53">'308'!$N$88</definedName>
    <definedName name="OSRRefE21_8x_6" localSheetId="64">'309'!$N$57</definedName>
    <definedName name="OSRRefE21_8x_6" localSheetId="63">'310'!$N$60</definedName>
    <definedName name="OSRRefE21_8x_6" localSheetId="71">'310 &amp; 491'!$N$66:$N$67</definedName>
    <definedName name="OSRRefE21_8x_6" localSheetId="54">'311'!$N$87</definedName>
    <definedName name="OSRRefE21_8x_6" localSheetId="57">'315'!$N$110</definedName>
    <definedName name="OSRRefE21_8x_6" localSheetId="60">'316'!$N$64</definedName>
    <definedName name="OSRRefE21_8x_6" localSheetId="62">'317'!$N$83</definedName>
    <definedName name="OSRRefE21_8x_6" localSheetId="66">'321'!$N$56:$N$57</definedName>
    <definedName name="OSRRefE21_8x_6" localSheetId="67">'322'!$N$56:$N$59</definedName>
    <definedName name="OSRRefE21_8x_6" localSheetId="68">'325'!$N$54</definedName>
    <definedName name="OSRRefE21_8x_6" localSheetId="58">'326'!$N$76</definedName>
    <definedName name="OSRRefE21_8x_6" localSheetId="51">'330'!$N$72:$N$73</definedName>
    <definedName name="OSRRefE21_8x_6" localSheetId="56">'331'!$N$110</definedName>
    <definedName name="OSRRefE21_8x_6" localSheetId="59">'332'!$N$64</definedName>
    <definedName name="OSRRefE21_8x_6" localSheetId="73">'405'!$N$55</definedName>
    <definedName name="OSRRefE21_8x_6" localSheetId="75">'411'!$N$53</definedName>
    <definedName name="OSRRefE21_8x_6" localSheetId="76">'412'!$N$54:$N$55</definedName>
    <definedName name="OSRRefE21_8x_6" localSheetId="77">'413'!$N$55:$N$57</definedName>
    <definedName name="OSRRefE21_8x_6" localSheetId="78">'414'!$N$56:$N$57</definedName>
    <definedName name="OSRRefE21_8x_6" localSheetId="79">'415'!$N$60</definedName>
    <definedName name="OSRRefE21_8x_6" localSheetId="80">'418'!$N$55:$N$56</definedName>
    <definedName name="OSRRefE21_8x_6" localSheetId="88">'433'!$N$60</definedName>
    <definedName name="OSRRefE21_8x_6" localSheetId="90">'444'!$N$60</definedName>
    <definedName name="OSRRefE21_8x_6" localSheetId="91">'450'!$N$56</definedName>
    <definedName name="OSRRefE21_8x_6" localSheetId="72">'491'!$N$63</definedName>
    <definedName name="OSRRefE21_8x_6" localSheetId="86">'492'!$N$60</definedName>
    <definedName name="OSRRefE21_8x_6" localSheetId="93">'501'!$N$56</definedName>
    <definedName name="OSRRefE21_8x_6" localSheetId="39">'Div 2'!$N$55</definedName>
    <definedName name="OSRRefE21_8x_6" localSheetId="47">'Div 3'!$N$152</definedName>
    <definedName name="OSRRefE21_8x_6" localSheetId="70">'Div 4'!$N$66</definedName>
    <definedName name="OSRRefE21_8x_6" localSheetId="92">'Div 5'!$N$56</definedName>
    <definedName name="OSRRefE21_8x_6" localSheetId="61">'Div 6'!$N$83</definedName>
    <definedName name="OSRRefE21_8x_6" localSheetId="2">Summary!$N$180</definedName>
    <definedName name="OSRRefE21_8x_7" localSheetId="41">'201'!$O$53</definedName>
    <definedName name="OSRRefE21_8x_7" localSheetId="42">'202'!$O$54</definedName>
    <definedName name="OSRRefE21_8x_7" localSheetId="43">'203'!$O$53:$O$55</definedName>
    <definedName name="OSRRefE21_8x_7" localSheetId="44">'204'!$O$56</definedName>
    <definedName name="OSRRefE21_8x_7" localSheetId="48">'300'!$O$148</definedName>
    <definedName name="OSRRefE21_8x_7" localSheetId="49">'300 &amp; 317'!$O$170</definedName>
    <definedName name="OSRRefE21_8x_7" localSheetId="50">'301'!$O$54</definedName>
    <definedName name="OSRRefE21_8x_7" localSheetId="52">'307'!$O$72:$O$73</definedName>
    <definedName name="OSRRefE21_8x_7" localSheetId="53">'308'!$O$88</definedName>
    <definedName name="OSRRefE21_8x_7" localSheetId="64">'309'!$O$57</definedName>
    <definedName name="OSRRefE21_8x_7" localSheetId="63">'310'!$O$60</definedName>
    <definedName name="OSRRefE21_8x_7" localSheetId="71">'310 &amp; 491'!$O$66:$O$67</definedName>
    <definedName name="OSRRefE21_8x_7" localSheetId="54">'311'!$O$87</definedName>
    <definedName name="OSRRefE21_8x_7" localSheetId="57">'315'!$O$110</definedName>
    <definedName name="OSRRefE21_8x_7" localSheetId="60">'316'!$O$64</definedName>
    <definedName name="OSRRefE21_8x_7" localSheetId="62">'317'!$O$83</definedName>
    <definedName name="OSRRefE21_8x_7" localSheetId="66">'321'!$O$56:$O$57</definedName>
    <definedName name="OSRRefE21_8x_7" localSheetId="67">'322'!$O$56:$O$59</definedName>
    <definedName name="OSRRefE21_8x_7" localSheetId="68">'325'!$O$54</definedName>
    <definedName name="OSRRefE21_8x_7" localSheetId="58">'326'!$O$76</definedName>
    <definedName name="OSRRefE21_8x_7" localSheetId="51">'330'!$O$72:$O$73</definedName>
    <definedName name="OSRRefE21_8x_7" localSheetId="56">'331'!$O$110</definedName>
    <definedName name="OSRRefE21_8x_7" localSheetId="59">'332'!$O$64</definedName>
    <definedName name="OSRRefE21_8x_7" localSheetId="73">'405'!$O$55</definedName>
    <definedName name="OSRRefE21_8x_7" localSheetId="75">'411'!$O$53</definedName>
    <definedName name="OSRRefE21_8x_7" localSheetId="76">'412'!$O$54:$O$55</definedName>
    <definedName name="OSRRefE21_8x_7" localSheetId="77">'413'!$O$55:$O$57</definedName>
    <definedName name="OSRRefE21_8x_7" localSheetId="78">'414'!$O$56:$O$57</definedName>
    <definedName name="OSRRefE21_8x_7" localSheetId="79">'415'!$O$60</definedName>
    <definedName name="OSRRefE21_8x_7" localSheetId="80">'418'!$O$55:$O$56</definedName>
    <definedName name="OSRRefE21_8x_7" localSheetId="88">'433'!$O$60</definedName>
    <definedName name="OSRRefE21_8x_7" localSheetId="90">'444'!$O$60</definedName>
    <definedName name="OSRRefE21_8x_7" localSheetId="91">'450'!$O$56</definedName>
    <definedName name="OSRRefE21_8x_7" localSheetId="72">'491'!$O$63</definedName>
    <definedName name="OSRRefE21_8x_7" localSheetId="86">'492'!$O$60</definedName>
    <definedName name="OSRRefE21_8x_7" localSheetId="93">'501'!$O$56</definedName>
    <definedName name="OSRRefE21_8x_7" localSheetId="39">'Div 2'!$O$55</definedName>
    <definedName name="OSRRefE21_8x_7" localSheetId="47">'Div 3'!$O$152</definedName>
    <definedName name="OSRRefE21_8x_7" localSheetId="70">'Div 4'!$O$66</definedName>
    <definedName name="OSRRefE21_8x_7" localSheetId="92">'Div 5'!$O$56</definedName>
    <definedName name="OSRRefE21_8x_7" localSheetId="61">'Div 6'!$O$83</definedName>
    <definedName name="OSRRefE21_8x_7" localSheetId="2">Summary!$O$180</definedName>
    <definedName name="OSRRefE21_9_0x" localSheetId="41">'201'!$H$55:$O$55</definedName>
    <definedName name="OSRRefE21_9_0x" localSheetId="42">'202'!$H$56:$O$56</definedName>
    <definedName name="OSRRefE21_9_0x" localSheetId="43">'203'!$H$57:$O$57</definedName>
    <definedName name="OSRRefE21_9_0x" localSheetId="48">'300'!$H$150:$O$150</definedName>
    <definedName name="OSRRefE21_9_0x" localSheetId="49">'300 &amp; 317'!$H$172:$O$172</definedName>
    <definedName name="OSRRefE21_9_0x" localSheetId="50">'301'!$H$56:$O$56</definedName>
    <definedName name="OSRRefE21_9_0x" localSheetId="52">'307'!$H$75:$O$75</definedName>
    <definedName name="OSRRefE21_9_0x" localSheetId="53">'308'!$H$90:$O$90</definedName>
    <definedName name="OSRRefE21_9_0x" localSheetId="63">'310'!$H$62:$O$62</definedName>
    <definedName name="OSRRefE21_9_0x" localSheetId="71">'310 &amp; 491'!$H$69:$O$69</definedName>
    <definedName name="OSRRefE21_9_0x" localSheetId="54">'311'!$H$89:$O$89</definedName>
    <definedName name="OSRRefE21_9_0x" localSheetId="57">'315'!$H$112:$O$112</definedName>
    <definedName name="OSRRefE21_9_0x" localSheetId="60">'316'!$H$66:$O$66</definedName>
    <definedName name="OSRRefE21_9_0x" localSheetId="62">'317'!$H$85:$O$85</definedName>
    <definedName name="OSRRefE21_9_0x" localSheetId="66">'321'!$H$59:$O$59</definedName>
    <definedName name="OSRRefE21_9_0x" localSheetId="67">'322'!$H$61:$O$61</definedName>
    <definedName name="OSRRefE21_9_0x" localSheetId="68">'325'!$H$56:$O$56</definedName>
    <definedName name="OSRRefE21_9_0x" localSheetId="58">'326'!$H$78:$O$78</definedName>
    <definedName name="OSRRefE21_9_0x" localSheetId="51">'330'!$H$75:$O$75</definedName>
    <definedName name="OSRRefE21_9_0x" localSheetId="56">'331'!$H$112:$O$112</definedName>
    <definedName name="OSRRefE21_9_0x" localSheetId="59">'332'!$H$66:$O$66</definedName>
    <definedName name="OSRRefE21_9_0x" localSheetId="73">'405'!$H$57:$O$57</definedName>
    <definedName name="OSRRefE21_9_0x" localSheetId="75">'411'!$H$55:$O$55</definedName>
    <definedName name="OSRRefE21_9_0x" localSheetId="76">'412'!$H$57:$O$57</definedName>
    <definedName name="OSRRefE21_9_0x" localSheetId="77">'413'!$H$59:$O$59</definedName>
    <definedName name="OSRRefE21_9_0x" localSheetId="78">'414'!$H$59:$O$59</definedName>
    <definedName name="OSRRefE21_9_0x" localSheetId="79">'415'!$H$62:$O$62</definedName>
    <definedName name="OSRRefE21_9_0x" localSheetId="80">'418'!$H$58:$O$58</definedName>
    <definedName name="OSRRefE21_9_0x" localSheetId="88">'433'!$H$62:$O$62</definedName>
    <definedName name="OSRRefE21_9_0x" localSheetId="90">'444'!$H$62:$O$62</definedName>
    <definedName name="OSRRefE21_9_0x" localSheetId="91">'450'!$H$58:$O$58</definedName>
    <definedName name="OSRRefE21_9_0x" localSheetId="72">'491'!$H$65:$O$65</definedName>
    <definedName name="OSRRefE21_9_0x" localSheetId="86">'492'!$H$62:$O$62</definedName>
    <definedName name="OSRRefE21_9_0x" localSheetId="93">'501'!$H$58:$O$58</definedName>
    <definedName name="OSRRefE21_9_0x" localSheetId="39">'Div 2'!$H$57:$O$57</definedName>
    <definedName name="OSRRefE21_9_0x" localSheetId="47">'Div 3'!$H$154:$O$154</definedName>
    <definedName name="OSRRefE21_9_0x" localSheetId="70">'Div 4'!$H$68:$O$68</definedName>
    <definedName name="OSRRefE21_9_0x" localSheetId="92">'Div 5'!$H$58:$O$58</definedName>
    <definedName name="OSRRefE21_9_0x" localSheetId="61">'Div 6'!$H$85:$O$85</definedName>
    <definedName name="OSRRefE21_9_0x" localSheetId="2">Summary!$H$182:$O$182</definedName>
    <definedName name="OSRRefE21_9_1x" localSheetId="42">'202'!$H$57:$O$57</definedName>
    <definedName name="OSRRefE21_9_1x" localSheetId="52">'307'!$H$76:$O$76</definedName>
    <definedName name="OSRRefE21_9_1x" localSheetId="53">'308'!$H$91:$O$91</definedName>
    <definedName name="OSRRefE21_9_1x" localSheetId="54">'311'!$H$90:$O$90</definedName>
    <definedName name="OSRRefE21_9_1x" localSheetId="60">'316'!$H$67:$O$67</definedName>
    <definedName name="OSRRefE21_9_1x" localSheetId="66">'321'!$H$60:$O$60</definedName>
    <definedName name="OSRRefE21_9_1x" localSheetId="51">'330'!$H$76:$O$76</definedName>
    <definedName name="OSRRefE21_9_1x" localSheetId="59">'332'!$H$67:$O$67</definedName>
    <definedName name="OSRRefE21_9_1x" localSheetId="73">'405'!$H$58:$O$58</definedName>
    <definedName name="OSRRefE21_9_1x" localSheetId="75">'411'!$H$56:$O$56</definedName>
    <definedName name="OSRRefE21_9_1x" localSheetId="77">'413'!$H$60:$O$60</definedName>
    <definedName name="OSRRefE21_9_1x" localSheetId="80">'418'!$H$59:$O$59</definedName>
    <definedName name="OSRRefE21_9_1x" localSheetId="93">'501'!$H$59:$O$59</definedName>
    <definedName name="OSRRefE21_9_1x" localSheetId="39">'Div 2'!$H$58:$O$58</definedName>
    <definedName name="OSRRefE21_9_1x" localSheetId="92">'Div 5'!$H$59:$O$59</definedName>
    <definedName name="OSRRefE21_9_2x" localSheetId="53">'308'!$H$92:$O$92</definedName>
    <definedName name="OSRRefE21_9_2x" localSheetId="54">'311'!$H$91:$O$91</definedName>
    <definedName name="OSRRefE21_9_2x" localSheetId="60">'316'!$H$68:$O$68</definedName>
    <definedName name="OSRRefE21_9_2x" localSheetId="59">'332'!$H$68:$O$68</definedName>
    <definedName name="OSRRefE21_9_2x" localSheetId="93">'501'!$H$60:$O$60</definedName>
    <definedName name="OSRRefE21_9_2x" localSheetId="92">'Div 5'!$H$60:$O$60</definedName>
    <definedName name="OSRRefE21_9_3x" localSheetId="60">'316'!$H$69:$O$69</definedName>
    <definedName name="OSRRefE21_9_3x" localSheetId="59">'332'!$H$69:$O$69</definedName>
    <definedName name="OSRRefE21_9_4x" localSheetId="60">'316'!$H$70:$O$70</definedName>
    <definedName name="OSRRefE21_9_4x" localSheetId="59">'332'!$H$70:$O$70</definedName>
    <definedName name="OSRRefE21_9x_0" localSheetId="41">'201'!$H$55</definedName>
    <definedName name="OSRRefE21_9x_0" localSheetId="42">'202'!$H$56:$H$57</definedName>
    <definedName name="OSRRefE21_9x_0" localSheetId="43">'203'!$H$57</definedName>
    <definedName name="OSRRefE21_9x_0" localSheetId="48">'300'!$H$150</definedName>
    <definedName name="OSRRefE21_9x_0" localSheetId="49">'300 &amp; 317'!$H$172</definedName>
    <definedName name="OSRRefE21_9x_0" localSheetId="50">'301'!$H$56</definedName>
    <definedName name="OSRRefE21_9x_0" localSheetId="52">'307'!$H$75:$H$76</definedName>
    <definedName name="OSRRefE21_9x_0" localSheetId="53">'308'!$H$90:$H$92</definedName>
    <definedName name="OSRRefE21_9x_0" localSheetId="63">'310'!$H$62</definedName>
    <definedName name="OSRRefE21_9x_0" localSheetId="71">'310 &amp; 491'!$H$69</definedName>
    <definedName name="OSRRefE21_9x_0" localSheetId="54">'311'!$H$89:$H$91</definedName>
    <definedName name="OSRRefE21_9x_0" localSheetId="57">'315'!$H$112</definedName>
    <definedName name="OSRRefE21_9x_0" localSheetId="60">'316'!$H$66:$H$70</definedName>
    <definedName name="OSRRefE21_9x_0" localSheetId="62">'317'!$H$85</definedName>
    <definedName name="OSRRefE21_9x_0" localSheetId="66">'321'!$H$59:$H$60</definedName>
    <definedName name="OSRRefE21_9x_0" localSheetId="67">'322'!$H$61</definedName>
    <definedName name="OSRRefE21_9x_0" localSheetId="68">'325'!$H$56</definedName>
    <definedName name="OSRRefE21_9x_0" localSheetId="58">'326'!$H$78</definedName>
    <definedName name="OSRRefE21_9x_0" localSheetId="51">'330'!$H$75:$H$76</definedName>
    <definedName name="OSRRefE21_9x_0" localSheetId="56">'331'!$H$112</definedName>
    <definedName name="OSRRefE21_9x_0" localSheetId="59">'332'!$H$66:$H$70</definedName>
    <definedName name="OSRRefE21_9x_0" localSheetId="73">'405'!$H$57:$H$58</definedName>
    <definedName name="OSRRefE21_9x_0" localSheetId="75">'411'!$H$55:$H$56</definedName>
    <definedName name="OSRRefE21_9x_0" localSheetId="76">'412'!$H$57</definedName>
    <definedName name="OSRRefE21_9x_0" localSheetId="77">'413'!$H$59:$H$60</definedName>
    <definedName name="OSRRefE21_9x_0" localSheetId="78">'414'!$H$59</definedName>
    <definedName name="OSRRefE21_9x_0" localSheetId="79">'415'!$H$62</definedName>
    <definedName name="OSRRefE21_9x_0" localSheetId="80">'418'!$H$58:$H$59</definedName>
    <definedName name="OSRRefE21_9x_0" localSheetId="88">'433'!$H$62</definedName>
    <definedName name="OSRRefE21_9x_0" localSheetId="90">'444'!$H$62</definedName>
    <definedName name="OSRRefE21_9x_0" localSheetId="91">'450'!$H$58</definedName>
    <definedName name="OSRRefE21_9x_0" localSheetId="72">'491'!$H$65</definedName>
    <definedName name="OSRRefE21_9x_0" localSheetId="86">'492'!$H$62</definedName>
    <definedName name="OSRRefE21_9x_0" localSheetId="93">'501'!$H$58:$H$60</definedName>
    <definedName name="OSRRefE21_9x_0" localSheetId="39">'Div 2'!$H$57:$H$58</definedName>
    <definedName name="OSRRefE21_9x_0" localSheetId="47">'Div 3'!$H$154</definedName>
    <definedName name="OSRRefE21_9x_0" localSheetId="70">'Div 4'!$H$68</definedName>
    <definedName name="OSRRefE21_9x_0" localSheetId="92">'Div 5'!$H$58:$H$60</definedName>
    <definedName name="OSRRefE21_9x_0" localSheetId="61">'Div 6'!$H$85</definedName>
    <definedName name="OSRRefE21_9x_0" localSheetId="2">Summary!$H$182</definedName>
    <definedName name="OSRRefE21_9x_1" localSheetId="41">'201'!$I$55</definedName>
    <definedName name="OSRRefE21_9x_1" localSheetId="42">'202'!$I$56:$I$57</definedName>
    <definedName name="OSRRefE21_9x_1" localSheetId="43">'203'!$I$57</definedName>
    <definedName name="OSRRefE21_9x_1" localSheetId="48">'300'!$I$150</definedName>
    <definedName name="OSRRefE21_9x_1" localSheetId="49">'300 &amp; 317'!$I$172</definedName>
    <definedName name="OSRRefE21_9x_1" localSheetId="50">'301'!$I$56</definedName>
    <definedName name="OSRRefE21_9x_1" localSheetId="52">'307'!$I$75:$I$76</definedName>
    <definedName name="OSRRefE21_9x_1" localSheetId="53">'308'!$I$90:$I$92</definedName>
    <definedName name="OSRRefE21_9x_1" localSheetId="63">'310'!$I$62</definedName>
    <definedName name="OSRRefE21_9x_1" localSheetId="71">'310 &amp; 491'!$I$69</definedName>
    <definedName name="OSRRefE21_9x_1" localSheetId="54">'311'!$I$89:$I$91</definedName>
    <definedName name="OSRRefE21_9x_1" localSheetId="57">'315'!$I$112</definedName>
    <definedName name="OSRRefE21_9x_1" localSheetId="60">'316'!$I$66:$I$70</definedName>
    <definedName name="OSRRefE21_9x_1" localSheetId="62">'317'!$I$85</definedName>
    <definedName name="OSRRefE21_9x_1" localSheetId="66">'321'!$I$59:$I$60</definedName>
    <definedName name="OSRRefE21_9x_1" localSheetId="67">'322'!$I$61</definedName>
    <definedName name="OSRRefE21_9x_1" localSheetId="68">'325'!$I$56</definedName>
    <definedName name="OSRRefE21_9x_1" localSheetId="58">'326'!$I$78</definedName>
    <definedName name="OSRRefE21_9x_1" localSheetId="51">'330'!$I$75:$I$76</definedName>
    <definedName name="OSRRefE21_9x_1" localSheetId="56">'331'!$I$112</definedName>
    <definedName name="OSRRefE21_9x_1" localSheetId="59">'332'!$I$66:$I$70</definedName>
    <definedName name="OSRRefE21_9x_1" localSheetId="73">'405'!$I$57:$I$58</definedName>
    <definedName name="OSRRefE21_9x_1" localSheetId="75">'411'!$I$55:$I$56</definedName>
    <definedName name="OSRRefE21_9x_1" localSheetId="76">'412'!$I$57</definedName>
    <definedName name="OSRRefE21_9x_1" localSheetId="77">'413'!$I$59:$I$60</definedName>
    <definedName name="OSRRefE21_9x_1" localSheetId="78">'414'!$I$59</definedName>
    <definedName name="OSRRefE21_9x_1" localSheetId="79">'415'!$I$62</definedName>
    <definedName name="OSRRefE21_9x_1" localSheetId="80">'418'!$I$58:$I$59</definedName>
    <definedName name="OSRRefE21_9x_1" localSheetId="88">'433'!$I$62</definedName>
    <definedName name="OSRRefE21_9x_1" localSheetId="90">'444'!$I$62</definedName>
    <definedName name="OSRRefE21_9x_1" localSheetId="91">'450'!$I$58</definedName>
    <definedName name="OSRRefE21_9x_1" localSheetId="72">'491'!$I$65</definedName>
    <definedName name="OSRRefE21_9x_1" localSheetId="86">'492'!$I$62</definedName>
    <definedName name="OSRRefE21_9x_1" localSheetId="93">'501'!$I$58:$I$60</definedName>
    <definedName name="OSRRefE21_9x_1" localSheetId="39">'Div 2'!$I$57:$I$58</definedName>
    <definedName name="OSRRefE21_9x_1" localSheetId="47">'Div 3'!$I$154</definedName>
    <definedName name="OSRRefE21_9x_1" localSheetId="70">'Div 4'!$I$68</definedName>
    <definedName name="OSRRefE21_9x_1" localSheetId="92">'Div 5'!$I$58:$I$60</definedName>
    <definedName name="OSRRefE21_9x_1" localSheetId="61">'Div 6'!$I$85</definedName>
    <definedName name="OSRRefE21_9x_1" localSheetId="2">Summary!$I$182</definedName>
    <definedName name="OSRRefE21_9x_2" localSheetId="41">'201'!$J$55</definedName>
    <definedName name="OSRRefE21_9x_2" localSheetId="42">'202'!$J$56:$J$57</definedName>
    <definedName name="OSRRefE21_9x_2" localSheetId="43">'203'!$J$57</definedName>
    <definedName name="OSRRefE21_9x_2" localSheetId="48">'300'!$J$150</definedName>
    <definedName name="OSRRefE21_9x_2" localSheetId="49">'300 &amp; 317'!$J$172</definedName>
    <definedName name="OSRRefE21_9x_2" localSheetId="50">'301'!$J$56</definedName>
    <definedName name="OSRRefE21_9x_2" localSheetId="52">'307'!$J$75:$J$76</definedName>
    <definedName name="OSRRefE21_9x_2" localSheetId="53">'308'!$J$90:$J$92</definedName>
    <definedName name="OSRRefE21_9x_2" localSheetId="63">'310'!$J$62</definedName>
    <definedName name="OSRRefE21_9x_2" localSheetId="71">'310 &amp; 491'!$J$69</definedName>
    <definedName name="OSRRefE21_9x_2" localSheetId="54">'311'!$J$89:$J$91</definedName>
    <definedName name="OSRRefE21_9x_2" localSheetId="57">'315'!$J$112</definedName>
    <definedName name="OSRRefE21_9x_2" localSheetId="60">'316'!$J$66:$J$70</definedName>
    <definedName name="OSRRefE21_9x_2" localSheetId="62">'317'!$J$85</definedName>
    <definedName name="OSRRefE21_9x_2" localSheetId="66">'321'!$J$59:$J$60</definedName>
    <definedName name="OSRRefE21_9x_2" localSheetId="67">'322'!$J$61</definedName>
    <definedName name="OSRRefE21_9x_2" localSheetId="68">'325'!$J$56</definedName>
    <definedName name="OSRRefE21_9x_2" localSheetId="58">'326'!$J$78</definedName>
    <definedName name="OSRRefE21_9x_2" localSheetId="51">'330'!$J$75:$J$76</definedName>
    <definedName name="OSRRefE21_9x_2" localSheetId="56">'331'!$J$112</definedName>
    <definedName name="OSRRefE21_9x_2" localSheetId="59">'332'!$J$66:$J$70</definedName>
    <definedName name="OSRRefE21_9x_2" localSheetId="73">'405'!$J$57:$J$58</definedName>
    <definedName name="OSRRefE21_9x_2" localSheetId="75">'411'!$J$55:$J$56</definedName>
    <definedName name="OSRRefE21_9x_2" localSheetId="76">'412'!$J$57</definedName>
    <definedName name="OSRRefE21_9x_2" localSheetId="77">'413'!$J$59:$J$60</definedName>
    <definedName name="OSRRefE21_9x_2" localSheetId="78">'414'!$J$59</definedName>
    <definedName name="OSRRefE21_9x_2" localSheetId="79">'415'!$J$62</definedName>
    <definedName name="OSRRefE21_9x_2" localSheetId="80">'418'!$J$58:$J$59</definedName>
    <definedName name="OSRRefE21_9x_2" localSheetId="88">'433'!$J$62</definedName>
    <definedName name="OSRRefE21_9x_2" localSheetId="90">'444'!$J$62</definedName>
    <definedName name="OSRRefE21_9x_2" localSheetId="91">'450'!$J$58</definedName>
    <definedName name="OSRRefE21_9x_2" localSheetId="72">'491'!$J$65</definedName>
    <definedName name="OSRRefE21_9x_2" localSheetId="86">'492'!$J$62</definedName>
    <definedName name="OSRRefE21_9x_2" localSheetId="93">'501'!$J$58:$J$60</definedName>
    <definedName name="OSRRefE21_9x_2" localSheetId="39">'Div 2'!$J$57:$J$58</definedName>
    <definedName name="OSRRefE21_9x_2" localSheetId="47">'Div 3'!$J$154</definedName>
    <definedName name="OSRRefE21_9x_2" localSheetId="70">'Div 4'!$J$68</definedName>
    <definedName name="OSRRefE21_9x_2" localSheetId="92">'Div 5'!$J$58:$J$60</definedName>
    <definedName name="OSRRefE21_9x_2" localSheetId="61">'Div 6'!$J$85</definedName>
    <definedName name="OSRRefE21_9x_2" localSheetId="2">Summary!$J$182</definedName>
    <definedName name="OSRRefE21_9x_3" localSheetId="41">'201'!$K$55</definedName>
    <definedName name="OSRRefE21_9x_3" localSheetId="42">'202'!$K$56:$K$57</definedName>
    <definedName name="OSRRefE21_9x_3" localSheetId="43">'203'!$K$57</definedName>
    <definedName name="OSRRefE21_9x_3" localSheetId="48">'300'!$K$150</definedName>
    <definedName name="OSRRefE21_9x_3" localSheetId="49">'300 &amp; 317'!$K$172</definedName>
    <definedName name="OSRRefE21_9x_3" localSheetId="50">'301'!$K$56</definedName>
    <definedName name="OSRRefE21_9x_3" localSheetId="52">'307'!$K$75:$K$76</definedName>
    <definedName name="OSRRefE21_9x_3" localSheetId="53">'308'!$K$90:$K$92</definedName>
    <definedName name="OSRRefE21_9x_3" localSheetId="63">'310'!$K$62</definedName>
    <definedName name="OSRRefE21_9x_3" localSheetId="71">'310 &amp; 491'!$K$69</definedName>
    <definedName name="OSRRefE21_9x_3" localSheetId="54">'311'!$K$89:$K$91</definedName>
    <definedName name="OSRRefE21_9x_3" localSheetId="57">'315'!$K$112</definedName>
    <definedName name="OSRRefE21_9x_3" localSheetId="60">'316'!$K$66:$K$70</definedName>
    <definedName name="OSRRefE21_9x_3" localSheetId="62">'317'!$K$85</definedName>
    <definedName name="OSRRefE21_9x_3" localSheetId="66">'321'!$K$59:$K$60</definedName>
    <definedName name="OSRRefE21_9x_3" localSheetId="67">'322'!$K$61</definedName>
    <definedName name="OSRRefE21_9x_3" localSheetId="68">'325'!$K$56</definedName>
    <definedName name="OSRRefE21_9x_3" localSheetId="58">'326'!$K$78</definedName>
    <definedName name="OSRRefE21_9x_3" localSheetId="51">'330'!$K$75:$K$76</definedName>
    <definedName name="OSRRefE21_9x_3" localSheetId="56">'331'!$K$112</definedName>
    <definedName name="OSRRefE21_9x_3" localSheetId="59">'332'!$K$66:$K$70</definedName>
    <definedName name="OSRRefE21_9x_3" localSheetId="73">'405'!$K$57:$K$58</definedName>
    <definedName name="OSRRefE21_9x_3" localSheetId="75">'411'!$K$55:$K$56</definedName>
    <definedName name="OSRRefE21_9x_3" localSheetId="76">'412'!$K$57</definedName>
    <definedName name="OSRRefE21_9x_3" localSheetId="77">'413'!$K$59:$K$60</definedName>
    <definedName name="OSRRefE21_9x_3" localSheetId="78">'414'!$K$59</definedName>
    <definedName name="OSRRefE21_9x_3" localSheetId="79">'415'!$K$62</definedName>
    <definedName name="OSRRefE21_9x_3" localSheetId="80">'418'!$K$58:$K$59</definedName>
    <definedName name="OSRRefE21_9x_3" localSheetId="88">'433'!$K$62</definedName>
    <definedName name="OSRRefE21_9x_3" localSheetId="90">'444'!$K$62</definedName>
    <definedName name="OSRRefE21_9x_3" localSheetId="91">'450'!$K$58</definedName>
    <definedName name="OSRRefE21_9x_3" localSheetId="72">'491'!$K$65</definedName>
    <definedName name="OSRRefE21_9x_3" localSheetId="86">'492'!$K$62</definedName>
    <definedName name="OSRRefE21_9x_3" localSheetId="93">'501'!$K$58:$K$60</definedName>
    <definedName name="OSRRefE21_9x_3" localSheetId="39">'Div 2'!$K$57:$K$58</definedName>
    <definedName name="OSRRefE21_9x_3" localSheetId="47">'Div 3'!$K$154</definedName>
    <definedName name="OSRRefE21_9x_3" localSheetId="70">'Div 4'!$K$68</definedName>
    <definedName name="OSRRefE21_9x_3" localSheetId="92">'Div 5'!$K$58:$K$60</definedName>
    <definedName name="OSRRefE21_9x_3" localSheetId="61">'Div 6'!$K$85</definedName>
    <definedName name="OSRRefE21_9x_3" localSheetId="2">Summary!$K$182</definedName>
    <definedName name="OSRRefE21_9x_4" localSheetId="41">'201'!$L$55</definedName>
    <definedName name="OSRRefE21_9x_4" localSheetId="42">'202'!$L$56:$L$57</definedName>
    <definedName name="OSRRefE21_9x_4" localSheetId="43">'203'!$L$57</definedName>
    <definedName name="OSRRefE21_9x_4" localSheetId="48">'300'!$L$150</definedName>
    <definedName name="OSRRefE21_9x_4" localSheetId="49">'300 &amp; 317'!$L$172</definedName>
    <definedName name="OSRRefE21_9x_4" localSheetId="50">'301'!$L$56</definedName>
    <definedName name="OSRRefE21_9x_4" localSheetId="52">'307'!$L$75:$L$76</definedName>
    <definedName name="OSRRefE21_9x_4" localSheetId="53">'308'!$L$90:$L$92</definedName>
    <definedName name="OSRRefE21_9x_4" localSheetId="63">'310'!$L$62</definedName>
    <definedName name="OSRRefE21_9x_4" localSheetId="71">'310 &amp; 491'!$L$69</definedName>
    <definedName name="OSRRefE21_9x_4" localSheetId="54">'311'!$L$89:$L$91</definedName>
    <definedName name="OSRRefE21_9x_4" localSheetId="57">'315'!$L$112</definedName>
    <definedName name="OSRRefE21_9x_4" localSheetId="60">'316'!$L$66:$L$70</definedName>
    <definedName name="OSRRefE21_9x_4" localSheetId="62">'317'!$L$85</definedName>
    <definedName name="OSRRefE21_9x_4" localSheetId="66">'321'!$L$59:$L$60</definedName>
    <definedName name="OSRRefE21_9x_4" localSheetId="67">'322'!$L$61</definedName>
    <definedName name="OSRRefE21_9x_4" localSheetId="68">'325'!$L$56</definedName>
    <definedName name="OSRRefE21_9x_4" localSheetId="58">'326'!$L$78</definedName>
    <definedName name="OSRRefE21_9x_4" localSheetId="51">'330'!$L$75:$L$76</definedName>
    <definedName name="OSRRefE21_9x_4" localSheetId="56">'331'!$L$112</definedName>
    <definedName name="OSRRefE21_9x_4" localSheetId="59">'332'!$L$66:$L$70</definedName>
    <definedName name="OSRRefE21_9x_4" localSheetId="73">'405'!$L$57:$L$58</definedName>
    <definedName name="OSRRefE21_9x_4" localSheetId="75">'411'!$L$55:$L$56</definedName>
    <definedName name="OSRRefE21_9x_4" localSheetId="76">'412'!$L$57</definedName>
    <definedName name="OSRRefE21_9x_4" localSheetId="77">'413'!$L$59:$L$60</definedName>
    <definedName name="OSRRefE21_9x_4" localSheetId="78">'414'!$L$59</definedName>
    <definedName name="OSRRefE21_9x_4" localSheetId="79">'415'!$L$62</definedName>
    <definedName name="OSRRefE21_9x_4" localSheetId="80">'418'!$L$58:$L$59</definedName>
    <definedName name="OSRRefE21_9x_4" localSheetId="88">'433'!$L$62</definedName>
    <definedName name="OSRRefE21_9x_4" localSheetId="90">'444'!$L$62</definedName>
    <definedName name="OSRRefE21_9x_4" localSheetId="91">'450'!$L$58</definedName>
    <definedName name="OSRRefE21_9x_4" localSheetId="72">'491'!$L$65</definedName>
    <definedName name="OSRRefE21_9x_4" localSheetId="86">'492'!$L$62</definedName>
    <definedName name="OSRRefE21_9x_4" localSheetId="93">'501'!$L$58:$L$60</definedName>
    <definedName name="OSRRefE21_9x_4" localSheetId="39">'Div 2'!$L$57:$L$58</definedName>
    <definedName name="OSRRefE21_9x_4" localSheetId="47">'Div 3'!$L$154</definedName>
    <definedName name="OSRRefE21_9x_4" localSheetId="70">'Div 4'!$L$68</definedName>
    <definedName name="OSRRefE21_9x_4" localSheetId="92">'Div 5'!$L$58:$L$60</definedName>
    <definedName name="OSRRefE21_9x_4" localSheetId="61">'Div 6'!$L$85</definedName>
    <definedName name="OSRRefE21_9x_4" localSheetId="2">Summary!$L$182</definedName>
    <definedName name="OSRRefE21_9x_5" localSheetId="41">'201'!$M$55</definedName>
    <definedName name="OSRRefE21_9x_5" localSheetId="42">'202'!$M$56:$M$57</definedName>
    <definedName name="OSRRefE21_9x_5" localSheetId="43">'203'!$M$57</definedName>
    <definedName name="OSRRefE21_9x_5" localSheetId="48">'300'!$M$150</definedName>
    <definedName name="OSRRefE21_9x_5" localSheetId="49">'300 &amp; 317'!$M$172</definedName>
    <definedName name="OSRRefE21_9x_5" localSheetId="50">'301'!$M$56</definedName>
    <definedName name="OSRRefE21_9x_5" localSheetId="52">'307'!$M$75:$M$76</definedName>
    <definedName name="OSRRefE21_9x_5" localSheetId="53">'308'!$M$90:$M$92</definedName>
    <definedName name="OSRRefE21_9x_5" localSheetId="63">'310'!$M$62</definedName>
    <definedName name="OSRRefE21_9x_5" localSheetId="71">'310 &amp; 491'!$M$69</definedName>
    <definedName name="OSRRefE21_9x_5" localSheetId="54">'311'!$M$89:$M$91</definedName>
    <definedName name="OSRRefE21_9x_5" localSheetId="57">'315'!$M$112</definedName>
    <definedName name="OSRRefE21_9x_5" localSheetId="60">'316'!$M$66:$M$70</definedName>
    <definedName name="OSRRefE21_9x_5" localSheetId="62">'317'!$M$85</definedName>
    <definedName name="OSRRefE21_9x_5" localSheetId="66">'321'!$M$59:$M$60</definedName>
    <definedName name="OSRRefE21_9x_5" localSheetId="67">'322'!$M$61</definedName>
    <definedName name="OSRRefE21_9x_5" localSheetId="68">'325'!$M$56</definedName>
    <definedName name="OSRRefE21_9x_5" localSheetId="58">'326'!$M$78</definedName>
    <definedName name="OSRRefE21_9x_5" localSheetId="51">'330'!$M$75:$M$76</definedName>
    <definedName name="OSRRefE21_9x_5" localSheetId="56">'331'!$M$112</definedName>
    <definedName name="OSRRefE21_9x_5" localSheetId="59">'332'!$M$66:$M$70</definedName>
    <definedName name="OSRRefE21_9x_5" localSheetId="73">'405'!$M$57:$M$58</definedName>
    <definedName name="OSRRefE21_9x_5" localSheetId="75">'411'!$M$55:$M$56</definedName>
    <definedName name="OSRRefE21_9x_5" localSheetId="76">'412'!$M$57</definedName>
    <definedName name="OSRRefE21_9x_5" localSheetId="77">'413'!$M$59:$M$60</definedName>
    <definedName name="OSRRefE21_9x_5" localSheetId="78">'414'!$M$59</definedName>
    <definedName name="OSRRefE21_9x_5" localSheetId="79">'415'!$M$62</definedName>
    <definedName name="OSRRefE21_9x_5" localSheetId="80">'418'!$M$58:$M$59</definedName>
    <definedName name="OSRRefE21_9x_5" localSheetId="88">'433'!$M$62</definedName>
    <definedName name="OSRRefE21_9x_5" localSheetId="90">'444'!$M$62</definedName>
    <definedName name="OSRRefE21_9x_5" localSheetId="91">'450'!$M$58</definedName>
    <definedName name="OSRRefE21_9x_5" localSheetId="72">'491'!$M$65</definedName>
    <definedName name="OSRRefE21_9x_5" localSheetId="86">'492'!$M$62</definedName>
    <definedName name="OSRRefE21_9x_5" localSheetId="93">'501'!$M$58:$M$60</definedName>
    <definedName name="OSRRefE21_9x_5" localSheetId="39">'Div 2'!$M$57:$M$58</definedName>
    <definedName name="OSRRefE21_9x_5" localSheetId="47">'Div 3'!$M$154</definedName>
    <definedName name="OSRRefE21_9x_5" localSheetId="70">'Div 4'!$M$68</definedName>
    <definedName name="OSRRefE21_9x_5" localSheetId="92">'Div 5'!$M$58:$M$60</definedName>
    <definedName name="OSRRefE21_9x_5" localSheetId="61">'Div 6'!$M$85</definedName>
    <definedName name="OSRRefE21_9x_5" localSheetId="2">Summary!$M$182</definedName>
    <definedName name="OSRRefE21_9x_6" localSheetId="41">'201'!$N$55</definedName>
    <definedName name="OSRRefE21_9x_6" localSheetId="42">'202'!$N$56:$N$57</definedName>
    <definedName name="OSRRefE21_9x_6" localSheetId="43">'203'!$N$57</definedName>
    <definedName name="OSRRefE21_9x_6" localSheetId="48">'300'!$N$150</definedName>
    <definedName name="OSRRefE21_9x_6" localSheetId="49">'300 &amp; 317'!$N$172</definedName>
    <definedName name="OSRRefE21_9x_6" localSheetId="50">'301'!$N$56</definedName>
    <definedName name="OSRRefE21_9x_6" localSheetId="52">'307'!$N$75:$N$76</definedName>
    <definedName name="OSRRefE21_9x_6" localSheetId="53">'308'!$N$90:$N$92</definedName>
    <definedName name="OSRRefE21_9x_6" localSheetId="63">'310'!$N$62</definedName>
    <definedName name="OSRRefE21_9x_6" localSheetId="71">'310 &amp; 491'!$N$69</definedName>
    <definedName name="OSRRefE21_9x_6" localSheetId="54">'311'!$N$89:$N$91</definedName>
    <definedName name="OSRRefE21_9x_6" localSheetId="57">'315'!$N$112</definedName>
    <definedName name="OSRRefE21_9x_6" localSheetId="60">'316'!$N$66:$N$70</definedName>
    <definedName name="OSRRefE21_9x_6" localSheetId="62">'317'!$N$85</definedName>
    <definedName name="OSRRefE21_9x_6" localSheetId="66">'321'!$N$59:$N$60</definedName>
    <definedName name="OSRRefE21_9x_6" localSheetId="67">'322'!$N$61</definedName>
    <definedName name="OSRRefE21_9x_6" localSheetId="68">'325'!$N$56</definedName>
    <definedName name="OSRRefE21_9x_6" localSheetId="58">'326'!$N$78</definedName>
    <definedName name="OSRRefE21_9x_6" localSheetId="51">'330'!$N$75:$N$76</definedName>
    <definedName name="OSRRefE21_9x_6" localSheetId="56">'331'!$N$112</definedName>
    <definedName name="OSRRefE21_9x_6" localSheetId="59">'332'!$N$66:$N$70</definedName>
    <definedName name="OSRRefE21_9x_6" localSheetId="73">'405'!$N$57:$N$58</definedName>
    <definedName name="OSRRefE21_9x_6" localSheetId="75">'411'!$N$55:$N$56</definedName>
    <definedName name="OSRRefE21_9x_6" localSheetId="76">'412'!$N$57</definedName>
    <definedName name="OSRRefE21_9x_6" localSheetId="77">'413'!$N$59:$N$60</definedName>
    <definedName name="OSRRefE21_9x_6" localSheetId="78">'414'!$N$59</definedName>
    <definedName name="OSRRefE21_9x_6" localSheetId="79">'415'!$N$62</definedName>
    <definedName name="OSRRefE21_9x_6" localSheetId="80">'418'!$N$58:$N$59</definedName>
    <definedName name="OSRRefE21_9x_6" localSheetId="88">'433'!$N$62</definedName>
    <definedName name="OSRRefE21_9x_6" localSheetId="90">'444'!$N$62</definedName>
    <definedName name="OSRRefE21_9x_6" localSheetId="91">'450'!$N$58</definedName>
    <definedName name="OSRRefE21_9x_6" localSheetId="72">'491'!$N$65</definedName>
    <definedName name="OSRRefE21_9x_6" localSheetId="86">'492'!$N$62</definedName>
    <definedName name="OSRRefE21_9x_6" localSheetId="93">'501'!$N$58:$N$60</definedName>
    <definedName name="OSRRefE21_9x_6" localSheetId="39">'Div 2'!$N$57:$N$58</definedName>
    <definedName name="OSRRefE21_9x_6" localSheetId="47">'Div 3'!$N$154</definedName>
    <definedName name="OSRRefE21_9x_6" localSheetId="70">'Div 4'!$N$68</definedName>
    <definedName name="OSRRefE21_9x_6" localSheetId="92">'Div 5'!$N$58:$N$60</definedName>
    <definedName name="OSRRefE21_9x_6" localSheetId="61">'Div 6'!$N$85</definedName>
    <definedName name="OSRRefE21_9x_6" localSheetId="2">Summary!$N$182</definedName>
    <definedName name="OSRRefE21_9x_7" localSheetId="41">'201'!$O$55</definedName>
    <definedName name="OSRRefE21_9x_7" localSheetId="42">'202'!$O$56:$O$57</definedName>
    <definedName name="OSRRefE21_9x_7" localSheetId="43">'203'!$O$57</definedName>
    <definedName name="OSRRefE21_9x_7" localSheetId="48">'300'!$O$150</definedName>
    <definedName name="OSRRefE21_9x_7" localSheetId="49">'300 &amp; 317'!$O$172</definedName>
    <definedName name="OSRRefE21_9x_7" localSheetId="50">'301'!$O$56</definedName>
    <definedName name="OSRRefE21_9x_7" localSheetId="52">'307'!$O$75:$O$76</definedName>
    <definedName name="OSRRefE21_9x_7" localSheetId="53">'308'!$O$90:$O$92</definedName>
    <definedName name="OSRRefE21_9x_7" localSheetId="63">'310'!$O$62</definedName>
    <definedName name="OSRRefE21_9x_7" localSheetId="71">'310 &amp; 491'!$O$69</definedName>
    <definedName name="OSRRefE21_9x_7" localSheetId="54">'311'!$O$89:$O$91</definedName>
    <definedName name="OSRRefE21_9x_7" localSheetId="57">'315'!$O$112</definedName>
    <definedName name="OSRRefE21_9x_7" localSheetId="60">'316'!$O$66:$O$70</definedName>
    <definedName name="OSRRefE21_9x_7" localSheetId="62">'317'!$O$85</definedName>
    <definedName name="OSRRefE21_9x_7" localSheetId="66">'321'!$O$59:$O$60</definedName>
    <definedName name="OSRRefE21_9x_7" localSheetId="67">'322'!$O$61</definedName>
    <definedName name="OSRRefE21_9x_7" localSheetId="68">'325'!$O$56</definedName>
    <definedName name="OSRRefE21_9x_7" localSheetId="58">'326'!$O$78</definedName>
    <definedName name="OSRRefE21_9x_7" localSheetId="51">'330'!$O$75:$O$76</definedName>
    <definedName name="OSRRefE21_9x_7" localSheetId="56">'331'!$O$112</definedName>
    <definedName name="OSRRefE21_9x_7" localSheetId="59">'332'!$O$66:$O$70</definedName>
    <definedName name="OSRRefE21_9x_7" localSheetId="73">'405'!$O$57:$O$58</definedName>
    <definedName name="OSRRefE21_9x_7" localSheetId="75">'411'!$O$55:$O$56</definedName>
    <definedName name="OSRRefE21_9x_7" localSheetId="76">'412'!$O$57</definedName>
    <definedName name="OSRRefE21_9x_7" localSheetId="77">'413'!$O$59:$O$60</definedName>
    <definedName name="OSRRefE21_9x_7" localSheetId="78">'414'!$O$59</definedName>
    <definedName name="OSRRefE21_9x_7" localSheetId="79">'415'!$O$62</definedName>
    <definedName name="OSRRefE21_9x_7" localSheetId="80">'418'!$O$58:$O$59</definedName>
    <definedName name="OSRRefE21_9x_7" localSheetId="88">'433'!$O$62</definedName>
    <definedName name="OSRRefE21_9x_7" localSheetId="90">'444'!$O$62</definedName>
    <definedName name="OSRRefE21_9x_7" localSheetId="91">'450'!$O$58</definedName>
    <definedName name="OSRRefE21_9x_7" localSheetId="72">'491'!$O$65</definedName>
    <definedName name="OSRRefE21_9x_7" localSheetId="86">'492'!$O$62</definedName>
    <definedName name="OSRRefE21_9x_7" localSheetId="93">'501'!$O$58:$O$60</definedName>
    <definedName name="OSRRefE21_9x_7" localSheetId="39">'Div 2'!$O$57:$O$58</definedName>
    <definedName name="OSRRefE21_9x_7" localSheetId="47">'Div 3'!$O$154</definedName>
    <definedName name="OSRRefE21_9x_7" localSheetId="70">'Div 4'!$O$68</definedName>
    <definedName name="OSRRefE21_9x_7" localSheetId="92">'Div 5'!$O$58:$O$60</definedName>
    <definedName name="OSRRefE21_9x_7" localSheetId="61">'Div 6'!$O$85</definedName>
    <definedName name="OSRRefE21_9x_7" localSheetId="2">Summary!$O$182</definedName>
    <definedName name="OSRRefE23_0x" localSheetId="38">'100'!$H$19:$O$19</definedName>
    <definedName name="OSRRefE23_0x" localSheetId="40">'200'!$H$30:$O$30</definedName>
    <definedName name="OSRRefE23_0x" localSheetId="41">'201'!$H$75:$O$75</definedName>
    <definedName name="OSRRefE23_0x" localSheetId="42">'202'!$H$65:$O$65</definedName>
    <definedName name="OSRRefE23_0x" localSheetId="43">'203'!$H$69:$O$69</definedName>
    <definedName name="OSRRefE23_0x" localSheetId="44">'204'!$H$58:$O$58</definedName>
    <definedName name="OSRRefE23_0x" localSheetId="45">'205'!$H$54:$O$54</definedName>
    <definedName name="OSRRefE23_0x" localSheetId="46">'206'!$H$50:$O$50</definedName>
    <definedName name="OSRRefE23_0x" localSheetId="48">'300'!$H$205:$O$205</definedName>
    <definedName name="OSRRefE23_0x" localSheetId="49">'300 &amp; 317'!$H$227:$O$227</definedName>
    <definedName name="OSRRefE23_0x" localSheetId="50">'301'!$H$91:$O$91</definedName>
    <definedName name="OSRRefE23_0x" localSheetId="52">'307'!$H$88:$O$88</definedName>
    <definedName name="OSRRefE23_0x" localSheetId="53">'308'!$H$108:$O$108</definedName>
    <definedName name="OSRRefE23_0x" localSheetId="64">'309'!$H$59:$O$59</definedName>
    <definedName name="OSRRefE23_0x" localSheetId="63">'310'!$H$93:$O$93</definedName>
    <definedName name="OSRRefE23_0x" localSheetId="71">'310 &amp; 491'!$H$116:$O$116</definedName>
    <definedName name="OSRRefE23_0x" localSheetId="54">'311'!$H$107:$O$107</definedName>
    <definedName name="OSRRefE23_0x" localSheetId="65">'313'!$H$53:$O$53</definedName>
    <definedName name="OSRRefE23_0x" localSheetId="57">'315'!$H$140:$O$140</definedName>
    <definedName name="OSRRefE23_0x" localSheetId="60">'316'!$H$76:$O$76</definedName>
    <definedName name="OSRRefE23_0x" localSheetId="62">'317'!$H$95:$O$95</definedName>
    <definedName name="OSRRefE23_0x" localSheetId="66">'321'!$H$69:$O$69</definedName>
    <definedName name="OSRRefE23_0x" localSheetId="67">'322'!$H$65:$O$65</definedName>
    <definedName name="OSRRefE23_0x" localSheetId="55">'324'!$H$46:$O$46</definedName>
    <definedName name="OSRRefE23_0x" localSheetId="68">'325'!$H$73:$O$73</definedName>
    <definedName name="OSRRefE23_0x" localSheetId="58">'326'!$H$111:$O$111</definedName>
    <definedName name="OSRRefE23_0x" localSheetId="69">'327'!$H$25:$O$25</definedName>
    <definedName name="OSRRefE23_0x" localSheetId="51">'330'!$H$88:$O$88</definedName>
    <definedName name="OSRRefE23_0x" localSheetId="56">'331'!$H$153:$O$153</definedName>
    <definedName name="OSRRefE23_0x" localSheetId="59">'332'!$H$76:$O$76</definedName>
    <definedName name="OSRRefE23_0x" localSheetId="73">'405'!$H$84:$O$84</definedName>
    <definedName name="OSRRefE23_0x" localSheetId="74">'406'!$H$29:$O$29</definedName>
    <definedName name="OSRRefE23_0x" localSheetId="75">'411'!$H$78:$O$78</definedName>
    <definedName name="OSRRefE23_0x" localSheetId="76">'412'!$H$75:$O$75</definedName>
    <definedName name="OSRRefE23_0x" localSheetId="77">'413'!$H$73:$O$73</definedName>
    <definedName name="OSRRefE23_0x" localSheetId="78">'414'!$H$73:$O$73</definedName>
    <definedName name="OSRRefE23_0x" localSheetId="79">'415'!$H$88:$O$88</definedName>
    <definedName name="OSRRefE23_0x" localSheetId="80">'418'!$H$79:$O$79</definedName>
    <definedName name="OSRRefE23_0x" localSheetId="81">'420'!$H$20:$O$20</definedName>
    <definedName name="OSRRefE23_0x" localSheetId="82">'423'!$H$50:$O$50</definedName>
    <definedName name="OSRRefE23_0x" localSheetId="83">'424'!$H$27:$O$27</definedName>
    <definedName name="OSRRefE23_0x" localSheetId="84">'425'!$H$33:$O$33</definedName>
    <definedName name="OSRRefE23_0x" localSheetId="87">'430'!$H$55:$O$55</definedName>
    <definedName name="OSRRefE23_0x" localSheetId="88">'433'!$H$88:$O$88</definedName>
    <definedName name="OSRRefE23_0x" localSheetId="89">'435'!$H$21:$O$21</definedName>
    <definedName name="OSRRefE23_0x" localSheetId="90">'444'!$H$88:$O$88</definedName>
    <definedName name="OSRRefE23_0x" localSheetId="91">'450'!$H$82:$O$82</definedName>
    <definedName name="OSRRefE23_0x" localSheetId="85">'455'!$H$19:$O$19</definedName>
    <definedName name="OSRRefE23_0x" localSheetId="72">'491'!$H$112:$O$112</definedName>
    <definedName name="OSRRefE23_0x" localSheetId="86">'492'!$H$95:$O$95</definedName>
    <definedName name="OSRRefE23_0x" localSheetId="93">'501'!$H$71:$O$71</definedName>
    <definedName name="OSRRefE23_0x" localSheetId="5">'Div 1'!$H$19:$O$19</definedName>
    <definedName name="OSRRefE23_0x" localSheetId="39">'Div 2'!$H$93:$O$93</definedName>
    <definedName name="OSRRefE23_0x" localSheetId="47">'Div 3'!$H$211:$O$211</definedName>
    <definedName name="OSRRefE23_0x" localSheetId="70">'Div 4'!$H$119:$O$119</definedName>
    <definedName name="OSRRefE23_0x" localSheetId="92">'Div 5'!$H$71:$O$71</definedName>
    <definedName name="OSRRefE23_0x" localSheetId="61">'Div 6'!$H$95:$O$95</definedName>
    <definedName name="OSRRefE23_0x" localSheetId="2">Summary!$H$244:$O$244</definedName>
    <definedName name="OSRRefE28_0x" localSheetId="38">'100'!$H$24:$O$24</definedName>
    <definedName name="OSRRefE28_0x" localSheetId="40">'200'!$H$35:$O$35</definedName>
    <definedName name="OSRRefE28_0x" localSheetId="41">'201'!$H$80:$O$80</definedName>
    <definedName name="OSRRefE28_0x" localSheetId="42">'202'!$H$70:$O$70</definedName>
    <definedName name="OSRRefE28_0x" localSheetId="43">'203'!$H$74:$O$74</definedName>
    <definedName name="OSRRefE28_0x" localSheetId="44">'204'!$H$63:$O$63</definedName>
    <definedName name="OSRRefE28_0x" localSheetId="45">'205'!$H$59:$O$59</definedName>
    <definedName name="OSRRefE28_0x" localSheetId="46">'206'!$H$55:$O$55</definedName>
    <definedName name="OSRRefE28_0x" localSheetId="48">'300'!$H$210:$O$210</definedName>
    <definedName name="OSRRefE28_0x" localSheetId="49">'300 &amp; 317'!$H$232:$O$232</definedName>
    <definedName name="OSRRefE28_0x" localSheetId="50">'301'!$H$96:$O$96</definedName>
    <definedName name="OSRRefE28_0x" localSheetId="52">'307'!$H$93:$O$93</definedName>
    <definedName name="OSRRefE28_0x" localSheetId="53">'308'!$H$113:$O$113</definedName>
    <definedName name="OSRRefE28_0x" localSheetId="64">'309'!$H$64:$O$64</definedName>
    <definedName name="OSRRefE28_0x" localSheetId="63">'310'!$H$98:$O$98</definedName>
    <definedName name="OSRRefE28_0x" localSheetId="71">'310 &amp; 491'!$H$121:$O$121</definedName>
    <definedName name="OSRRefE28_0x" localSheetId="54">'311'!$H$112:$O$112</definedName>
    <definedName name="OSRRefE28_0x" localSheetId="65">'313'!$H$58:$O$58</definedName>
    <definedName name="OSRRefE28_0x" localSheetId="57">'315'!$H$145:$O$145</definedName>
    <definedName name="OSRRefE28_0x" localSheetId="60">'316'!$H$81:$O$81</definedName>
    <definedName name="OSRRefE28_0x" localSheetId="62">'317'!$H$100:$O$100</definedName>
    <definedName name="OSRRefE28_0x" localSheetId="66">'321'!$H$74:$O$74</definedName>
    <definedName name="OSRRefE28_0x" localSheetId="67">'322'!$H$70:$O$70</definedName>
    <definedName name="OSRRefE28_0x" localSheetId="55">'324'!$H$51:$O$51</definedName>
    <definedName name="OSRRefE28_0x" localSheetId="68">'325'!$H$78:$O$78</definedName>
    <definedName name="OSRRefE28_0x" localSheetId="58">'326'!$H$116:$O$116</definedName>
    <definedName name="OSRRefE28_0x" localSheetId="69">'327'!$H$30:$O$30</definedName>
    <definedName name="OSRRefE28_0x" localSheetId="51">'330'!$H$93:$O$93</definedName>
    <definedName name="OSRRefE28_0x" localSheetId="56">'331'!$H$158:$O$158</definedName>
    <definedName name="OSRRefE28_0x" localSheetId="59">'332'!$H$81:$O$81</definedName>
    <definedName name="OSRRefE28_0x" localSheetId="73">'405'!$H$89:$O$89</definedName>
    <definedName name="OSRRefE28_0x" localSheetId="74">'406'!$H$34:$O$34</definedName>
    <definedName name="OSRRefE28_0x" localSheetId="75">'411'!$H$83:$O$83</definedName>
    <definedName name="OSRRefE28_0x" localSheetId="76">'412'!$H$80:$O$80</definedName>
    <definedName name="OSRRefE28_0x" localSheetId="77">'413'!$H$78:$O$78</definedName>
    <definedName name="OSRRefE28_0x" localSheetId="78">'414'!$H$78:$O$78</definedName>
    <definedName name="OSRRefE28_0x" localSheetId="79">'415'!$H$93:$O$93</definedName>
    <definedName name="OSRRefE28_0x" localSheetId="80">'418'!$H$84:$O$84</definedName>
    <definedName name="OSRRefE28_0x" localSheetId="81">'420'!$H$25:$O$25</definedName>
    <definedName name="OSRRefE28_0x" localSheetId="82">'423'!$H$55:$O$55</definedName>
    <definedName name="OSRRefE28_0x" localSheetId="83">'424'!$H$32:$O$32</definedName>
    <definedName name="OSRRefE28_0x" localSheetId="84">'425'!$H$38:$O$38</definedName>
    <definedName name="OSRRefE28_0x" localSheetId="87">'430'!$H$60:$O$60</definedName>
    <definedName name="OSRRefE28_0x" localSheetId="88">'433'!$H$93:$O$93</definedName>
    <definedName name="OSRRefE28_0x" localSheetId="89">'435'!$H$26:$O$26</definedName>
    <definedName name="OSRRefE28_0x" localSheetId="90">'444'!$H$93:$O$93</definedName>
    <definedName name="OSRRefE28_0x" localSheetId="91">'450'!$H$87:$O$87</definedName>
    <definedName name="OSRRefE28_0x" localSheetId="85">'455'!$H$24:$O$24</definedName>
    <definedName name="OSRRefE28_0x" localSheetId="72">'491'!$H$117:$O$117</definedName>
    <definedName name="OSRRefE28_0x" localSheetId="86">'492'!$H$100:$O$100</definedName>
    <definedName name="OSRRefE28_0x" localSheetId="93">'501'!$H$76:$O$76</definedName>
    <definedName name="OSRRefE28_0x" localSheetId="5">'Div 1'!$H$24:$O$24</definedName>
    <definedName name="OSRRefE28_0x" localSheetId="39">'Div 2'!$H$98:$O$98</definedName>
    <definedName name="OSRRefE28_0x" localSheetId="47">'Div 3'!$H$216:$O$216</definedName>
    <definedName name="OSRRefE28_0x" localSheetId="70">'Div 4'!$H$124:$O$124</definedName>
    <definedName name="OSRRefE28_0x" localSheetId="92">'Div 5'!$H$76:$O$76</definedName>
    <definedName name="OSRRefE28_0x" localSheetId="61">'Div 6'!$H$100:$O$100</definedName>
    <definedName name="OSRRefE28_0x" localSheetId="2">Summary!$H$249:$O$249</definedName>
    <definedName name="OSRRefE33_0x" localSheetId="38">'100'!$H$29:$O$29</definedName>
    <definedName name="OSRRefE33_0x" localSheetId="5">'Div 1'!$H$29:$O$29</definedName>
    <definedName name="OSRRefE33_0x" localSheetId="2">Summary!$H$254:$O$254</definedName>
    <definedName name="OSRRefE34_0x" localSheetId="38">'100'!$H$30:$O$30</definedName>
    <definedName name="OSRRefE34_0x" localSheetId="5">'Div 1'!$H$30:$O$30</definedName>
    <definedName name="OSRRefE34_0x" localSheetId="2">Summary!$H$255:$O$255</definedName>
    <definedName name="OSRRefG11x" localSheetId="48">'300'!$Q$11:$Q$71</definedName>
    <definedName name="OSRRefG11x" localSheetId="49">'300 &amp; 317'!$Q$11:$Q$85</definedName>
    <definedName name="OSRRefG11x" localSheetId="52">'307'!$Q$11:$Q$21</definedName>
    <definedName name="OSRRefG11x" localSheetId="53">'308'!$Q$11:$Q$31</definedName>
    <definedName name="OSRRefG11x" localSheetId="64">'309'!$Q$11</definedName>
    <definedName name="OSRRefG11x" localSheetId="63">'310'!$Q$11:$Q$14</definedName>
    <definedName name="OSRRefG11x" localSheetId="71">'310 &amp; 491'!$Q$11:$Q$19</definedName>
    <definedName name="OSRRefG11x" localSheetId="54">'311'!$Q$11:$Q$30</definedName>
    <definedName name="OSRRefG11x" localSheetId="57">'315'!$Q$11:$Q$46</definedName>
    <definedName name="OSRRefG11x" localSheetId="60">'316'!$Q$11:$Q$20</definedName>
    <definedName name="OSRRefG11x" localSheetId="62">'317'!$Q$11:$Q$28</definedName>
    <definedName name="OSRRefG11x" localSheetId="66">'321'!$Q$11:$Q$12</definedName>
    <definedName name="OSRRefG11x" localSheetId="67">'322'!$Q$11</definedName>
    <definedName name="OSRRefG11x" localSheetId="55">'324'!$Q$11:$Q$14</definedName>
    <definedName name="OSRRefG11x" localSheetId="58">'326'!$Q$11:$Q$29</definedName>
    <definedName name="OSRRefG11x" localSheetId="69">'327'!$Q$11:$Q$12</definedName>
    <definedName name="OSRRefG11x" localSheetId="51">'330'!$Q$11:$Q$21</definedName>
    <definedName name="OSRRefG11x" localSheetId="56">'331'!$Q$11:$Q$46</definedName>
    <definedName name="OSRRefG11x" localSheetId="59">'332'!$Q$11:$Q$20</definedName>
    <definedName name="OSRRefG11x" localSheetId="73">'405'!$Q$11:$Q$12</definedName>
    <definedName name="OSRRefG11x" localSheetId="76">'412'!$Q$11</definedName>
    <definedName name="OSRRefG11x" localSheetId="77">'413'!$Q$11:$Q$12</definedName>
    <definedName name="OSRRefG11x" localSheetId="78">'414'!$Q$11:$Q$13</definedName>
    <definedName name="OSRRefG11x" localSheetId="79">'415'!$Q$11:$Q$14</definedName>
    <definedName name="OSRRefG11x" localSheetId="80">'418'!$Q$11:$Q$12</definedName>
    <definedName name="OSRRefG11x" localSheetId="81">'420'!$Q$11</definedName>
    <definedName name="OSRRefG11x" localSheetId="88">'433'!$Q$11:$Q$14</definedName>
    <definedName name="OSRRefG11x" localSheetId="90">'444'!$Q$11:$Q$14</definedName>
    <definedName name="OSRRefG11x" localSheetId="91">'450'!$Q$11:$Q$12</definedName>
    <definedName name="OSRRefG11x" localSheetId="72">'491'!$Q$11:$Q$16</definedName>
    <definedName name="OSRRefG11x" localSheetId="86">'492'!$Q$11:$Q$14</definedName>
    <definedName name="OSRRefG11x" localSheetId="93">'501'!$Q$11:$Q$12</definedName>
    <definedName name="OSRRefG11x" localSheetId="47">'Div 3'!$Q$11:$Q$73</definedName>
    <definedName name="OSRRefG11x" localSheetId="70">'Div 4'!$Q$11:$Q$18</definedName>
    <definedName name="OSRRefG11x" localSheetId="92">'Div 5'!$Q$11:$Q$12</definedName>
    <definedName name="OSRRefG11x" localSheetId="61">'Div 6'!$Q$11:$Q$28</definedName>
    <definedName name="OSRRefG11x" localSheetId="2">Summary!$Q$11:$Q$92</definedName>
    <definedName name="OSRRefG14x" localSheetId="48">'300'!$Q$74:$Q$104</definedName>
    <definedName name="OSRRefG14x" localSheetId="49">'300 &amp; 317'!$Q$88:$Q$126</definedName>
    <definedName name="OSRRefG14x" localSheetId="52">'307'!$Q$24:$Q$31</definedName>
    <definedName name="OSRRefG14x" localSheetId="53">'308'!$Q$34:$Q$46</definedName>
    <definedName name="OSRRefG14x" localSheetId="64">'309'!$Q$14</definedName>
    <definedName name="OSRRefG14x" localSheetId="63">'310'!$Q$17:$Q$19</definedName>
    <definedName name="OSRRefG14x" localSheetId="71">'310 &amp; 491'!$Q$22:$Q$24</definedName>
    <definedName name="OSRRefG14x" localSheetId="54">'311'!$Q$33:$Q$45</definedName>
    <definedName name="OSRRefG14x" localSheetId="65">'313'!$Q$13</definedName>
    <definedName name="OSRRefG14x" localSheetId="57">'315'!$Q$49:$Q$69</definedName>
    <definedName name="OSRRefG14x" localSheetId="62">'317'!$Q$31:$Q$41</definedName>
    <definedName name="OSRRefG14x" localSheetId="66">'321'!$Q$15</definedName>
    <definedName name="OSRRefG14x" localSheetId="67">'322'!$Q$14:$Q$15</definedName>
    <definedName name="OSRRefG14x" localSheetId="55">'324'!$Q$17:$Q$19</definedName>
    <definedName name="OSRRefG14x" localSheetId="68">'325'!$Q$13:$Q$14</definedName>
    <definedName name="OSRRefG14x" localSheetId="58">'326'!$Q$32:$Q$36</definedName>
    <definedName name="OSRRefG14x" localSheetId="69">'327'!$Q$15:$Q$16</definedName>
    <definedName name="OSRRefG14x" localSheetId="51">'330'!$Q$24:$Q$31</definedName>
    <definedName name="OSRRefG14x" localSheetId="56">'331'!$Q$49:$Q$69</definedName>
    <definedName name="OSRRefG14x" localSheetId="73">'405'!$Q$15</definedName>
    <definedName name="OSRRefG14x" localSheetId="76">'412'!$Q$14</definedName>
    <definedName name="OSRRefG14x" localSheetId="77">'413'!$Q$15</definedName>
    <definedName name="OSRRefG14x" localSheetId="78">'414'!$Q$16</definedName>
    <definedName name="OSRRefG14x" localSheetId="79">'415'!$Q$17:$Q$19</definedName>
    <definedName name="OSRRefG14x" localSheetId="80">'418'!$Q$15</definedName>
    <definedName name="OSRRefG14x" localSheetId="88">'433'!$Q$17:$Q$19</definedName>
    <definedName name="OSRRefG14x" localSheetId="90">'444'!$Q$17:$Q$19</definedName>
    <definedName name="OSRRefG14x" localSheetId="91">'450'!$Q$15</definedName>
    <definedName name="OSRRefG14x" localSheetId="72">'491'!$Q$19:$Q$21</definedName>
    <definedName name="OSRRefG14x" localSheetId="86">'492'!$Q$17:$Q$19</definedName>
    <definedName name="OSRRefG14x" localSheetId="47">'Div 3'!$Q$76:$Q$108</definedName>
    <definedName name="OSRRefG14x" localSheetId="70">'Div 4'!$Q$21:$Q$23</definedName>
    <definedName name="OSRRefG14x" localSheetId="61">'Div 6'!$Q$31:$Q$41</definedName>
    <definedName name="OSRRefG14x" localSheetId="2">Summary!$Q$95:$Q$135</definedName>
    <definedName name="OSRRefG20x" localSheetId="40">'200'!$Q$18,'200'!$Q$20,'200'!$Q$22,'200'!$Q$24,'200'!$Q$26</definedName>
    <definedName name="OSRRefG20x" localSheetId="41">'201'!$Q$18,'201'!$Q$28,'201'!$Q$39,'201'!$Q$41,'201'!$Q$43,'201'!$Q$46,'201'!$Q$48,'201'!$Q$50,'201'!$Q$52,'201'!$Q$54,'201'!$Q$56,'201'!$Q$60,'201'!$Q$62,'201'!$Q$64,'201'!$Q$68,'201'!$Q$70,'201'!$Q$72</definedName>
    <definedName name="OSRRefG20x" localSheetId="42">'202'!$Q$18,'202'!$Q$28,'202'!$Q$39,'202'!$Q$41,'202'!$Q$43,'202'!$Q$46,'202'!$Q$48,'202'!$Q$50,'202'!$Q$53,'202'!$Q$55,'202'!$Q$58,'202'!$Q$60,'202'!$Q$62</definedName>
    <definedName name="OSRRefG20x" localSheetId="43">'203'!$Q$18,'203'!$Q$29,'203'!$Q$40,'203'!$Q$42,'203'!$Q$44,'203'!$Q$46,'203'!$Q$48,'203'!$Q$50,'203'!$Q$52,'203'!$Q$56,'203'!$Q$58,'203'!$Q$60,'203'!$Q$64,'203'!$Q$66</definedName>
    <definedName name="OSRRefG20x" localSheetId="44">'204'!$Q$18,'204'!$Q$29,'204'!$Q$40,'204'!$Q$42,'204'!$Q$44,'204'!$Q$48,'204'!$Q$50,'204'!$Q$52,'204'!$Q$55</definedName>
    <definedName name="OSRRefG20x" localSheetId="45">'205'!$Q$18,'205'!$Q$28,'205'!$Q$39,'205'!$Q$41,'205'!$Q$43,'205'!$Q$47,'205'!$Q$49,'205'!$Q$51</definedName>
    <definedName name="OSRRefG20x" localSheetId="46">'206'!$Q$18,'206'!$Q$28,'206'!$Q$39,'206'!$Q$41,'206'!$Q$43,'206'!$Q$45,'206'!$Q$47</definedName>
    <definedName name="OSRRefG20x" localSheetId="48">'300'!$Q$110,'300'!$Q$121,'300'!$Q$132,'300'!$Q$134,'300'!$Q$137,'300'!$Q$139,'300'!$Q$142,'300'!$Q$145,'300'!$Q$147,'300'!$Q$149,'300'!$Q$151,'300'!$Q$154,'300'!$Q$157,'300'!$Q$159,'300'!$Q$161,'300'!$Q$163,'300'!$Q$165,'300'!$Q$170,'300'!$Q$175,'300'!$Q$180,'300'!$Q$183,'300'!$Q$193,'300'!$Q$196,'300'!$Q$198,'300'!$Q$202</definedName>
    <definedName name="OSRRefG20x" localSheetId="49">'300 &amp; 317'!$Q$132,'300 &amp; 317'!$Q$143,'300 &amp; 317'!$Q$154,'300 &amp; 317'!$Q$156,'300 &amp; 317'!$Q$159,'300 &amp; 317'!$Q$161,'300 &amp; 317'!$Q$164,'300 &amp; 317'!$Q$167,'300 &amp; 317'!$Q$169,'300 &amp; 317'!$Q$171,'300 &amp; 317'!$Q$173,'300 &amp; 317'!$Q$176,'300 &amp; 317'!$Q$179,'300 &amp; 317'!$Q$181,'300 &amp; 317'!$Q$183,'300 &amp; 317'!$Q$185,'300 &amp; 317'!$Q$187,'300 &amp; 317'!$Q$192,'300 &amp; 317'!$Q$197,'300 &amp; 317'!$Q$202,'300 &amp; 317'!$Q$205,'300 &amp; 317'!$Q$215,'300 &amp; 317'!$Q$218,'300 &amp; 317'!$Q$220,'300 &amp; 317'!$Q$224</definedName>
    <definedName name="OSRRefG20x" localSheetId="50">'301'!$Q$18,'301'!$Q$28,'301'!$Q$39,'301'!$Q$42,'301'!$Q$44,'301'!$Q$47,'301'!$Q$49,'301'!$Q$51,'301'!$Q$53,'301'!$Q$55,'301'!$Q$57,'301'!$Q$59,'301'!$Q$61,'301'!$Q$63,'301'!$Q$68,'301'!$Q$72,'301'!$Q$74,'301'!$Q$82,'301'!$Q$84,'301'!$Q$86,'301'!$Q$88</definedName>
    <definedName name="OSRRefG20x" localSheetId="52">'307'!$Q$37,'307'!$Q$46,'307'!$Q$57,'307'!$Q$59,'307'!$Q$61,'307'!$Q$63,'307'!$Q$66,'307'!$Q$69,'307'!$Q$71,'307'!$Q$74,'307'!$Q$77,'307'!$Q$82,'307'!$Q$85</definedName>
    <definedName name="OSRRefG20x" localSheetId="53">'308'!$Q$52,'308'!$Q$63,'308'!$Q$74,'308'!$Q$76,'308'!$Q$78,'308'!$Q$80,'308'!$Q$82,'308'!$Q$84,'308'!$Q$87,'308'!$Q$89,'308'!$Q$93,'308'!$Q$96,'308'!$Q$100,'308'!$Q$103,'308'!$Q$105</definedName>
    <definedName name="OSRRefG20x" localSheetId="64">'309'!$Q$20,'309'!$Q$29,'309'!$Q$40,'309'!$Q$42,'309'!$Q$44,'309'!$Q$46,'309'!$Q$49,'309'!$Q$52,'309'!$Q$56</definedName>
    <definedName name="OSRRefG20x" localSheetId="63">'310'!$Q$25,'310'!$Q$35,'310'!$Q$46,'310'!$Q$48,'310'!$Q$50,'310'!$Q$52,'310'!$Q$55,'310'!$Q$57,'310'!$Q$59,'310'!$Q$61,'310'!$Q$63,'310'!$Q$65,'310'!$Q$67,'310'!$Q$69,'310'!$Q$72,'310'!$Q$74,'310'!$Q$77,'310'!$Q$85,'310'!$Q$88,'310'!$Q$90</definedName>
    <definedName name="OSRRefG20x" localSheetId="71">'310 &amp; 491'!$Q$30,'310 &amp; 491'!$Q$40,'310 &amp; 491'!$Q$51,'310 &amp; 491'!$Q$53,'310 &amp; 491'!$Q$55,'310 &amp; 491'!$Q$57,'310 &amp; 491'!$Q$61,'310 &amp; 491'!$Q$63,'310 &amp; 491'!$Q$65,'310 &amp; 491'!$Q$68,'310 &amp; 491'!$Q$70,'310 &amp; 491'!$Q$72,'310 &amp; 491'!$Q$74,'310 &amp; 491'!$Q$76,'310 &amp; 491'!$Q$78,'310 &amp; 491'!$Q$82,'310 &amp; 491'!$Q$85,'310 &amp; 491'!$Q$91,'310 &amp; 491'!$Q$94,'310 &amp; 491'!$Q$106,'310 &amp; 491'!$Q$109,'310 &amp; 491'!$Q$111,'310 &amp; 491'!$Q$113</definedName>
    <definedName name="OSRRefG20x" localSheetId="54">'311'!$Q$51,'311'!$Q$62,'311'!$Q$73,'311'!$Q$75,'311'!$Q$77,'311'!$Q$79,'311'!$Q$81,'311'!$Q$83,'311'!$Q$86,'311'!$Q$88,'311'!$Q$92,'311'!$Q$95,'311'!$Q$99,'311'!$Q$102,'311'!$Q$104</definedName>
    <definedName name="OSRRefG20x" localSheetId="65">'313'!$Q$19,'313'!$Q$29,'313'!$Q$40,'313'!$Q$42,'313'!$Q$44,'313'!$Q$46,'313'!$Q$48,'313'!$Q$50</definedName>
    <definedName name="OSRRefG20x" localSheetId="57">'315'!$Q$75,'315'!$Q$85,'315'!$Q$96,'315'!$Q$98,'315'!$Q$100,'315'!$Q$102,'315'!$Q$104,'315'!$Q$106,'315'!$Q$109,'315'!$Q$111,'315'!$Q$113,'315'!$Q$115,'315'!$Q$117,'315'!$Q$121,'315'!$Q$124,'315'!$Q$132,'315'!$Q$134,'315'!$Q$136</definedName>
    <definedName name="OSRRefG20x" localSheetId="60">'316'!$Q$28,'316'!$Q$38,'316'!$Q$49,'316'!$Q$51,'316'!$Q$53,'316'!$Q$55,'316'!$Q$57,'316'!$Q$60,'316'!$Q$63,'316'!$Q$65,'316'!$Q$71,'316'!$Q$73</definedName>
    <definedName name="OSRRefG20x" localSheetId="62">'317'!$Q$47,'317'!$Q$58,'317'!$Q$69,'317'!$Q$71,'317'!$Q$73,'317'!$Q$75,'317'!$Q$77,'317'!$Q$80,'317'!$Q$82,'317'!$Q$84,'317'!$Q$86,'317'!$Q$90,'317'!$Q$92</definedName>
    <definedName name="OSRRefG20x" localSheetId="66">'321'!$Q$21,'321'!$Q$31,'321'!$Q$42,'321'!$Q$44,'321'!$Q$46,'321'!$Q$48,'321'!$Q$50,'321'!$Q$53,'321'!$Q$55,'321'!$Q$58,'321'!$Q$61,'321'!$Q$64,'321'!$Q$66</definedName>
    <definedName name="OSRRefG20x" localSheetId="67">'322'!$Q$21,'322'!$Q$30,'322'!$Q$41,'322'!$Q$43,'322'!$Q$45,'322'!$Q$47,'322'!$Q$49,'322'!$Q$52,'322'!$Q$55,'322'!$Q$60,'322'!$Q$62</definedName>
    <definedName name="OSRRefG20x" localSheetId="55">'324'!$Q$25,'324'!$Q$34</definedName>
    <definedName name="OSRRefG20x" localSheetId="68">'325'!$Q$20,'325'!$Q$29,'325'!$Q$40,'325'!$Q$42,'325'!$Q$44,'325'!$Q$46,'325'!$Q$49,'325'!$Q$51,'325'!$Q$53,'325'!$Q$55,'325'!$Q$57,'325'!$Q$59,'325'!$Q$61,'325'!$Q$67,'325'!$Q$70</definedName>
    <definedName name="OSRRefG20x" localSheetId="58">'326'!$Q$42,'326'!$Q$52,'326'!$Q$63,'326'!$Q$65,'326'!$Q$67,'326'!$Q$69,'326'!$Q$71,'326'!$Q$73,'326'!$Q$75,'326'!$Q$77,'326'!$Q$79,'326'!$Q$81,'326'!$Q$83,'326'!$Q$86,'326'!$Q$90,'326'!$Q$93,'326'!$Q$100,'326'!$Q$103,'326'!$Q$105,'326'!$Q$108</definedName>
    <definedName name="OSRRefG20x" localSheetId="69">'327'!$Q$22</definedName>
    <definedName name="OSRRefG20x" localSheetId="51">'330'!$Q$37,'330'!$Q$46,'330'!$Q$57,'330'!$Q$59,'330'!$Q$61,'330'!$Q$63,'330'!$Q$66,'330'!$Q$69,'330'!$Q$71,'330'!$Q$74,'330'!$Q$77,'330'!$Q$82,'330'!$Q$85</definedName>
    <definedName name="OSRRefG20x" localSheetId="56">'331'!$Q$75,'331'!$Q$85,'331'!$Q$96,'331'!$Q$98,'331'!$Q$100,'331'!$Q$102,'331'!$Q$104,'331'!$Q$106,'331'!$Q$109,'331'!$Q$111,'331'!$Q$113,'331'!$Q$115,'331'!$Q$117,'331'!$Q$119,'331'!$Q$122,'331'!$Q$126,'331'!$Q$130,'331'!$Q$133,'331'!$Q$142,'331'!$Q$145,'331'!$Q$147,'331'!$Q$150</definedName>
    <definedName name="OSRRefG20x" localSheetId="59">'332'!$Q$28,'332'!$Q$38,'332'!$Q$49,'332'!$Q$51,'332'!$Q$53,'332'!$Q$55,'332'!$Q$57,'332'!$Q$60,'332'!$Q$63,'332'!$Q$65,'332'!$Q$71,'332'!$Q$73</definedName>
    <definedName name="OSRRefG20x" localSheetId="73">'405'!$Q$21,'405'!$Q$30,'405'!$Q$41,'405'!$Q$43,'405'!$Q$45,'405'!$Q$48,'405'!$Q$50,'405'!$Q$52,'405'!$Q$54,'405'!$Q$56,'405'!$Q$59,'405'!$Q$61,'405'!$Q$66,'405'!$Q$68,'405'!$Q$77,'405'!$Q$79,'405'!$Q$81</definedName>
    <definedName name="OSRRefG20x" localSheetId="74">'406'!$Q$18,'406'!$Q$20,'406'!$Q$22,'406'!$Q$24,'406'!$Q$26</definedName>
    <definedName name="OSRRefG20x" localSheetId="75">'411'!$Q$18,'411'!$Q$28,'411'!$Q$39,'411'!$Q$41,'411'!$Q$43,'411'!$Q$46,'411'!$Q$48,'411'!$Q$50,'411'!$Q$52,'411'!$Q$54,'411'!$Q$57,'411'!$Q$62,'411'!$Q$64,'411'!$Q$71,'411'!$Q$73,'411'!$Q$75</definedName>
    <definedName name="OSRRefG20x" localSheetId="76">'412'!$Q$20,'412'!$Q$29,'412'!$Q$40,'412'!$Q$42,'412'!$Q$44,'412'!$Q$47,'412'!$Q$49,'412'!$Q$51,'412'!$Q$53,'412'!$Q$56,'412'!$Q$58,'412'!$Q$63,'412'!$Q$69,'412'!$Q$72</definedName>
    <definedName name="OSRRefG20x" localSheetId="77">'413'!$Q$21,'413'!$Q$31,'413'!$Q$42,'413'!$Q$44,'413'!$Q$46,'413'!$Q$48,'413'!$Q$50,'413'!$Q$52,'413'!$Q$54,'413'!$Q$58,'413'!$Q$61,'413'!$Q$69</definedName>
    <definedName name="OSRRefG20x" localSheetId="78">'414'!$Q$22,'414'!$Q$32,'414'!$Q$43,'414'!$Q$45,'414'!$Q$47,'414'!$Q$49,'414'!$Q$51,'414'!$Q$53,'414'!$Q$55,'414'!$Q$58,'414'!$Q$60,'414'!$Q$62,'414'!$Q$64,'414'!$Q$68,'414'!$Q$70</definedName>
    <definedName name="OSRRefG20x" localSheetId="79">'415'!$Q$25,'415'!$Q$35,'415'!$Q$46,'415'!$Q$48,'415'!$Q$50,'415'!$Q$52,'415'!$Q$55,'415'!$Q$57,'415'!$Q$59,'415'!$Q$61,'415'!$Q$63,'415'!$Q$65,'415'!$Q$68,'415'!$Q$73,'415'!$Q$75,'415'!$Q$82,'415'!$Q$85</definedName>
    <definedName name="OSRRefG20x" localSheetId="80">'418'!$Q$21,'418'!$Q$30,'418'!$Q$41,'418'!$Q$43,'418'!$Q$45,'418'!$Q$48,'418'!$Q$50,'418'!$Q$52,'418'!$Q$54,'418'!$Q$57,'418'!$Q$60,'418'!$Q$63,'418'!$Q$73,'418'!$Q$76</definedName>
    <definedName name="OSRRefG20x" localSheetId="82">'423'!$Q$18,'423'!$Q$27,'423'!$Q$38,'423'!$Q$40,'423'!$Q$43,'423'!$Q$45,'423'!$Q$47</definedName>
    <definedName name="OSRRefG20x" localSheetId="83">'424'!$Q$18,'424'!$Q$20,'424'!$Q$22,'424'!$Q$24</definedName>
    <definedName name="OSRRefG20x" localSheetId="84">'425'!$Q$18,'425'!$Q$24,'425'!$Q$26,'425'!$Q$28,'425'!$Q$30</definedName>
    <definedName name="OSRRefG20x" localSheetId="87">'430'!$Q$18,'430'!$Q$28,'430'!$Q$39,'430'!$Q$41,'430'!$Q$43,'430'!$Q$47,'430'!$Q$50,'430'!$Q$52</definedName>
    <definedName name="OSRRefG20x" localSheetId="88">'433'!$Q$25,'433'!$Q$36,'433'!$Q$47,'433'!$Q$49,'433'!$Q$51,'433'!$Q$53,'433'!$Q$55,'433'!$Q$57,'433'!$Q$59,'433'!$Q$61,'433'!$Q$63,'433'!$Q$65,'433'!$Q$69,'433'!$Q$74,'433'!$Q$83,'433'!$Q$85</definedName>
    <definedName name="OSRRefG20x" localSheetId="89">'435'!$Q$18</definedName>
    <definedName name="OSRRefG20x" localSheetId="90">'444'!$Q$25,'444'!$Q$36,'444'!$Q$47,'444'!$Q$49,'444'!$Q$51,'444'!$Q$53,'444'!$Q$55,'444'!$Q$57,'444'!$Q$59,'444'!$Q$61,'444'!$Q$63,'444'!$Q$65,'444'!$Q$69,'444'!$Q$73,'444'!$Q$82,'444'!$Q$85</definedName>
    <definedName name="OSRRefG20x" localSheetId="91">'450'!$Q$21,'450'!$Q$32,'450'!$Q$43,'450'!$Q$45,'450'!$Q$47,'450'!$Q$49,'450'!$Q$51,'450'!$Q$53,'450'!$Q$55,'450'!$Q$57,'450'!$Q$59,'450'!$Q$61,'450'!$Q$63,'450'!$Q$65,'450'!$Q$69,'450'!$Q$76,'450'!$Q$79</definedName>
    <definedName name="OSRRefG20x" localSheetId="72">'491'!$Q$27,'491'!$Q$37,'491'!$Q$48,'491'!$Q$50,'491'!$Q$52,'491'!$Q$54,'491'!$Q$58,'491'!$Q$60,'491'!$Q$62,'491'!$Q$64,'491'!$Q$66,'491'!$Q$68,'491'!$Q$70,'491'!$Q$72,'491'!$Q$74,'491'!$Q$78,'491'!$Q$81,'491'!$Q$87,'491'!$Q$90,'491'!$Q$102,'491'!$Q$105,'491'!$Q$107,'491'!$Q$109</definedName>
    <definedName name="OSRRefG20x" localSheetId="86">'492'!$Q$25,'492'!$Q$36,'492'!$Q$47,'492'!$Q$49,'492'!$Q$51,'492'!$Q$53,'492'!$Q$55,'492'!$Q$57,'492'!$Q$59,'492'!$Q$61,'492'!$Q$63,'492'!$Q$65,'492'!$Q$67,'492'!$Q$71,'492'!$Q$76,'492'!$Q$87,'492'!$Q$90,'492'!$Q$92</definedName>
    <definedName name="OSRRefG20x" localSheetId="93">'501'!$Q$20,'501'!$Q$31,'501'!$Q$42,'501'!$Q$44,'501'!$Q$46,'501'!$Q$48,'501'!$Q$51,'501'!$Q$53,'501'!$Q$55,'501'!$Q$57,'501'!$Q$61,'501'!$Q$63,'501'!$Q$66,'501'!$Q$68</definedName>
    <definedName name="OSRRefG20x" localSheetId="39">'Div 2'!$Q$18,'Div 2'!$Q$30,'Div 2'!$Q$41,'Div 2'!$Q$43,'Div 2'!$Q$45,'Div 2'!$Q$47,'Div 2'!$Q$49,'Div 2'!$Q$52,'Div 2'!$Q$54,'Div 2'!$Q$56,'Div 2'!$Q$59,'Div 2'!$Q$61,'Div 2'!$Q$63,'Div 2'!$Q$68,'Div 2'!$Q$73,'Div 2'!$Q$76,'Div 2'!$Q$79,'Div 2'!$Q$84,'Div 2'!$Q$87,'Div 2'!$Q$89</definedName>
    <definedName name="OSRRefG20x" localSheetId="47">'Div 3'!$Q$114,'Div 3'!$Q$125,'Div 3'!$Q$136,'Div 3'!$Q$138,'Div 3'!$Q$141,'Div 3'!$Q$143,'Div 3'!$Q$146,'Div 3'!$Q$149,'Div 3'!$Q$151,'Div 3'!$Q$153,'Div 3'!$Q$155,'Div 3'!$Q$158,'Div 3'!$Q$161,'Div 3'!$Q$163,'Div 3'!$Q$165,'Div 3'!$Q$167,'Div 3'!$Q$169,'Div 3'!$Q$171,'Div 3'!$Q$176,'Div 3'!$Q$181,'Div 3'!$Q$186,'Div 3'!$Q$189,'Div 3'!$Q$199,'Div 3'!$Q$202,'Div 3'!$Q$204,'Div 3'!$Q$208</definedName>
    <definedName name="OSRRefG20x" localSheetId="70">'Div 4'!$Q$29,'Div 4'!$Q$40,'Div 4'!$Q$51,'Div 4'!$Q$53,'Div 4'!$Q$55,'Div 4'!$Q$57,'Div 4'!$Q$61,'Div 4'!$Q$63,'Div 4'!$Q$65,'Div 4'!$Q$67,'Div 4'!$Q$69,'Div 4'!$Q$71,'Div 4'!$Q$73,'Div 4'!$Q$75,'Div 4'!$Q$77,'Div 4'!$Q$79,'Div 4'!$Q$84,'Div 4'!$Q$87,'Div 4'!$Q$93,'Div 4'!$Q$96,'Div 4'!$Q$108,'Div 4'!$Q$111,'Div 4'!$Q$113,'Div 4'!$Q$116</definedName>
    <definedName name="OSRRefG20x" localSheetId="92">'Div 5'!$Q$20,'Div 5'!$Q$31,'Div 5'!$Q$42,'Div 5'!$Q$44,'Div 5'!$Q$46,'Div 5'!$Q$48,'Div 5'!$Q$51,'Div 5'!$Q$53,'Div 5'!$Q$55,'Div 5'!$Q$57,'Div 5'!$Q$61,'Div 5'!$Q$63,'Div 5'!$Q$66,'Div 5'!$Q$68</definedName>
    <definedName name="OSRRefG20x" localSheetId="61">'Div 6'!$Q$47,'Div 6'!$Q$58,'Div 6'!$Q$69,'Div 6'!$Q$71,'Div 6'!$Q$73,'Div 6'!$Q$75,'Div 6'!$Q$77,'Div 6'!$Q$80,'Div 6'!$Q$82,'Div 6'!$Q$84,'Div 6'!$Q$86,'Div 6'!$Q$90,'Div 6'!$Q$92</definedName>
    <definedName name="OSRRefG20x" localSheetId="2">Summary!$Q$141,Summary!$Q$152,Summary!$Q$163,Summary!$Q$165,Summary!$Q$168,Summary!$Q$170,Summary!$Q$174,Summary!$Q$177,Summary!$Q$179,Summary!$Q$181,Summary!$Q$183,Summary!$Q$186,Summary!$Q$189,Summary!$Q$191,Summary!$Q$193,Summary!$Q$195,Summary!$Q$197,Summary!$Q$199,Summary!$Q$201,Summary!$Q$206,Summary!$Q$211,Summary!$Q$217,Summary!$Q$220,Summary!$Q$232,Summary!$Q$235,Summary!$Q$237,Summary!$Q$241</definedName>
    <definedName name="_xlnm.Print_Area" localSheetId="38">'100'!$A$1:$Q$35</definedName>
    <definedName name="_xlnm.Print_Area" localSheetId="40">'200'!$A$1:$Q$44</definedName>
    <definedName name="_xlnm.Print_Area" localSheetId="41">'201'!$A$1:$Q$89</definedName>
    <definedName name="_xlnm.Print_Area" localSheetId="42">'202'!$A$1:$Q$79</definedName>
    <definedName name="_xlnm.Print_Area" localSheetId="43">'203'!$A$1:$Q$83</definedName>
    <definedName name="_xlnm.Print_Area" localSheetId="44">'204'!$A$1:$Q$72</definedName>
    <definedName name="_xlnm.Print_Area" localSheetId="45">'205'!$A$1:$Q$68</definedName>
    <definedName name="_xlnm.Print_Area" localSheetId="46">'206'!$A$1:$Q$64</definedName>
    <definedName name="_xlnm.Print_Area" localSheetId="48">'300'!$A$1:$Q$219</definedName>
    <definedName name="_xlnm.Print_Area" localSheetId="49">'300 &amp; 317'!$A$1:$Q$241</definedName>
    <definedName name="_xlnm.Print_Area" localSheetId="50">'301'!$A$1:$Q$105</definedName>
    <definedName name="_xlnm.Print_Area" localSheetId="52">'307'!$A$1:$Q$102</definedName>
    <definedName name="_xlnm.Print_Area" localSheetId="53">'308'!$A$1:$Q$122</definedName>
    <definedName name="_xlnm.Print_Area" localSheetId="64">'309'!$A$1:$Q$73</definedName>
    <definedName name="_xlnm.Print_Area" localSheetId="63">'310'!$A$1:$Q$107</definedName>
    <definedName name="_xlnm.Print_Area" localSheetId="71">'310 &amp; 491'!$A$1:$Q$130</definedName>
    <definedName name="_xlnm.Print_Area" localSheetId="54">'311'!$A$1:$Q$121</definedName>
    <definedName name="_xlnm.Print_Area" localSheetId="65">'313'!$A$1:$Q$67</definedName>
    <definedName name="_xlnm.Print_Area" localSheetId="57">'315'!$A$1:$Q$154</definedName>
    <definedName name="_xlnm.Print_Area" localSheetId="60">'316'!$A$1:$Q$90</definedName>
    <definedName name="_xlnm.Print_Area" localSheetId="62">'317'!$A$1:$Q$109</definedName>
    <definedName name="_xlnm.Print_Area" localSheetId="66">'321'!$A$1:$Q$83</definedName>
    <definedName name="_xlnm.Print_Area" localSheetId="67">'322'!$A$1:$Q$79</definedName>
    <definedName name="_xlnm.Print_Area" localSheetId="55">'324'!$A$1:$Q$60</definedName>
    <definedName name="_xlnm.Print_Area" localSheetId="68">'325'!$A$1:$Q$87</definedName>
    <definedName name="_xlnm.Print_Area" localSheetId="58">'326'!$A$1:$Q$125</definedName>
    <definedName name="_xlnm.Print_Area" localSheetId="69">'327'!$A$1:$Q$39</definedName>
    <definedName name="_xlnm.Print_Area" localSheetId="51">'330'!$A$1:$Q$102</definedName>
    <definedName name="_xlnm.Print_Area" localSheetId="56">'331'!$A$1:$Q$167</definedName>
    <definedName name="_xlnm.Print_Area" localSheetId="59">'332'!$A$1:$Q$90</definedName>
    <definedName name="_xlnm.Print_Area" localSheetId="73">'405'!$A$1:$Q$98</definedName>
    <definedName name="_xlnm.Print_Area" localSheetId="74">'406'!$A$1:$Q$43</definedName>
    <definedName name="_xlnm.Print_Area" localSheetId="75">'411'!$A$1:$Q$92</definedName>
    <definedName name="_xlnm.Print_Area" localSheetId="76">'412'!$A$1:$Q$89</definedName>
    <definedName name="_xlnm.Print_Area" localSheetId="77">'413'!$A$1:$Q$87</definedName>
    <definedName name="_xlnm.Print_Area" localSheetId="78">'414'!$A$1:$Q$87</definedName>
    <definedName name="_xlnm.Print_Area" localSheetId="79">'415'!$A$1:$Q$102</definedName>
    <definedName name="_xlnm.Print_Area" localSheetId="80">'418'!$A$1:$Q$93</definedName>
    <definedName name="_xlnm.Print_Area" localSheetId="81">'420'!$A$1:$Q$34</definedName>
    <definedName name="_xlnm.Print_Area" localSheetId="82">'423'!$A$1:$Q$64</definedName>
    <definedName name="_xlnm.Print_Area" localSheetId="83">'424'!$A$1:$Q$41</definedName>
    <definedName name="_xlnm.Print_Area" localSheetId="84">'425'!$A$1:$Q$47</definedName>
    <definedName name="_xlnm.Print_Area" localSheetId="87">'430'!$A$1:$Q$69</definedName>
    <definedName name="_xlnm.Print_Area" localSheetId="88">'433'!$A$1:$Q$102</definedName>
    <definedName name="_xlnm.Print_Area" localSheetId="89">'435'!$A$1:$Q$35</definedName>
    <definedName name="_xlnm.Print_Area" localSheetId="90">'444'!$A$1:$Q$102</definedName>
    <definedName name="_xlnm.Print_Area" localSheetId="91">'450'!$A$1:$Q$96</definedName>
    <definedName name="_xlnm.Print_Area" localSheetId="85">'455'!$A$1:$Q$33</definedName>
    <definedName name="_xlnm.Print_Area" localSheetId="72">'491'!$A$1:$Q$126</definedName>
    <definedName name="_xlnm.Print_Area" localSheetId="86">'492'!$A$1:$Q$109</definedName>
    <definedName name="_xlnm.Print_Area" localSheetId="93">'501'!$A$1:$Q$85</definedName>
    <definedName name="_xlnm.Print_Area" localSheetId="94">Dept!$A$1:$G$39</definedName>
    <definedName name="_xlnm.Print_Area" localSheetId="5">'Div 1'!$A$1:$Q$35</definedName>
    <definedName name="_xlnm.Print_Area" localSheetId="39">'Div 2'!$A$1:$Q$107</definedName>
    <definedName name="_xlnm.Print_Area" localSheetId="47">'Div 3'!$A$1:$Q$225</definedName>
    <definedName name="_xlnm.Print_Area" localSheetId="70">'Div 4'!$A$1:$Q$133</definedName>
    <definedName name="_xlnm.Print_Area" localSheetId="92">'Div 5'!$A$1:$Q$85</definedName>
    <definedName name="_xlnm.Print_Area" localSheetId="61">'Div 6'!$A$1:$Q$109</definedName>
    <definedName name="_xlnm.Print_Area" localSheetId="14">'OSR_300 &amp; 317_1C00ID4'!$A$1:$G$39</definedName>
    <definedName name="_xlnm.Print_Area" localSheetId="12">OSR_300_IYZXI6!$A$1:$G$39</definedName>
    <definedName name="_xlnm.Print_Area" localSheetId="20">OSR_308_UAWDAG!$A$1:$G$39</definedName>
    <definedName name="_xlnm.Print_Area" localSheetId="35">'OSR_310 &amp; 49...7615ada9_1PJ8EDG'!$A$1:$G$39</definedName>
    <definedName name="_xlnm.Print_Area" localSheetId="33">'OSR_310 &amp; 49...76bf5af7_1A2901X'!$A$1:$G$39</definedName>
    <definedName name="_xlnm.Print_Area" localSheetId="31">'OSR_310 &amp; 491...c23f2d59_X1JXXU'!$A$1:$G$39</definedName>
    <definedName name="_xlnm.Print_Area" localSheetId="28">'OSR_310 &amp; 491_1NGRCS9'!$A$1:$G$39</definedName>
    <definedName name="_xlnm.Print_Area" localSheetId="16">OSR_310_1CMTOSB!$A$1:$G$39</definedName>
    <definedName name="_xlnm.Print_Area" localSheetId="18">OSR_330_10VFP5Y!$A$1:$G$39</definedName>
    <definedName name="_xlnm.Print_Area" localSheetId="22">OSR_331_10VKQAJ!$A$1:$G$39</definedName>
    <definedName name="_xlnm.Print_Area" localSheetId="24">OSR_332_6NDVBW!$A$1:$G$39</definedName>
    <definedName name="_xlnm.Print_Area" localSheetId="30">OSR_491_9Z9JH5!$A$1:$G$39</definedName>
    <definedName name="_xlnm.Print_Area" localSheetId="32">OSR_492_943FP1!$A$1:$G$39</definedName>
    <definedName name="_xlnm.Print_Area" localSheetId="4">'OSR_Current ...69b7dd8c_1IEQKFK'!$A$1:$G$39</definedName>
    <definedName name="_xlnm.Print_Area" localSheetId="7">'OSR_Dept (2)_...dd5b15a0_2T6PUA'!$A$1:$G$39</definedName>
    <definedName name="_xlnm.Print_Area" localSheetId="95">OSR_Dept_Y0WUKY!$A$1:$G$39</definedName>
    <definedName name="_xlnm.Print_Area" localSheetId="27">'OSR_Div 1 (1...42fef80a_1JUNUIZ'!$A$1:$G$39</definedName>
    <definedName name="_xlnm.Print_Area" localSheetId="25">'OSR_Div 1 (10...e834aaf2_4B2R3Z'!$A$1:$G$39</definedName>
    <definedName name="_xlnm.Print_Area" localSheetId="9">'OSR_Div 1 (2...9b2bdc94_1Y8VZ4A'!$A$1:$G$39</definedName>
    <definedName name="_xlnm.Print_Area" localSheetId="11">'OSR_Div 1 (3...74ea2e91_1YANJVT'!$A$1:$G$39</definedName>
    <definedName name="_xlnm.Print_Area" localSheetId="13">'OSR_Div 1 (4)...cdd6f638_NQSRHK'!$A$1:$G$39</definedName>
    <definedName name="_xlnm.Print_Area" localSheetId="15">'OSR_Div 1 (5)...14c61d9ac_RUIH7'!$A$1:$G$39</definedName>
    <definedName name="_xlnm.Print_Area" localSheetId="17">'OSR_Div 1 (6)...754b1b2a_ZV1FUK'!$A$1:$G$39</definedName>
    <definedName name="_xlnm.Print_Area" localSheetId="19">'OSR_Div 1 (7)...77c4adfc_YECVQC'!$A$1:$G$39</definedName>
    <definedName name="_xlnm.Print_Area" localSheetId="21">'OSR_Div 1 (8...54681dd8_1N56J6G'!$A$1:$G$39</definedName>
    <definedName name="_xlnm.Print_Area" localSheetId="23">'OSR_Div 1 (9)...81df0cf4_TBZUNU'!$A$1:$G$39</definedName>
    <definedName name="_xlnm.Print_Area" localSheetId="6">'OSR_Div 1_7H47HR'!$A$1:$G$39</definedName>
    <definedName name="_xlnm.Print_Area" localSheetId="8">'OSR_Div 2_1PQ800A'!$A$1:$G$39</definedName>
    <definedName name="_xlnm.Print_Area" localSheetId="10">'OSR_Div 3_18723PH'!$A$1:$G$39</definedName>
    <definedName name="_xlnm.Print_Area" localSheetId="29">'OSR_Div 4 (2)...a8a8204b_XPPX5M'!$A$1:$G$39</definedName>
    <definedName name="_xlnm.Print_Area" localSheetId="26">'OSR_Div 4_1740TMT'!$A$1:$G$39</definedName>
    <definedName name="_xlnm.Print_Area" localSheetId="37">'OSR_Div 5 (2...bac05800_1LZIM8H'!$A$1:$G$39</definedName>
    <definedName name="_xlnm.Print_Area" localSheetId="34">'OSR_Div 5_16NAZO2'!$A$1:$G$39</definedName>
    <definedName name="_xlnm.Print_Area" localSheetId="36">'OSR_Div 6_P37YY7'!$A$1:$G$39</definedName>
    <definedName name="_xlnm.Print_Area" localSheetId="96">'OSR_Summary (...56e5d78f_5JEYZH'!$A$1:$G$39</definedName>
    <definedName name="_xlnm.Print_Area" localSheetId="3">OSR_Summary_18VAVWG!$A$1:$G$39</definedName>
    <definedName name="_xlnm.Print_Area" localSheetId="2">Summary!$A$1:$Q$260</definedName>
    <definedName name="_xlnm.Print_Titles" localSheetId="38">'100'!$A:$C,'100'!$1:$8</definedName>
    <definedName name="_xlnm.Print_Titles" localSheetId="40">'200'!$A:$C,'200'!$1:$8</definedName>
    <definedName name="_xlnm.Print_Titles" localSheetId="41">'201'!$A:$C,'201'!$1:$8</definedName>
    <definedName name="_xlnm.Print_Titles" localSheetId="42">'202'!$A:$C,'202'!$1:$8</definedName>
    <definedName name="_xlnm.Print_Titles" localSheetId="43">'203'!$A:$C,'203'!$1:$8</definedName>
    <definedName name="_xlnm.Print_Titles" localSheetId="44">'204'!$A:$C,'204'!$1:$8</definedName>
    <definedName name="_xlnm.Print_Titles" localSheetId="45">'205'!$A:$C,'205'!$1:$8</definedName>
    <definedName name="_xlnm.Print_Titles" localSheetId="46">'206'!$A:$C,'206'!$1:$8</definedName>
    <definedName name="_xlnm.Print_Titles" localSheetId="48">'300'!$A:$C,'300'!$1:$8</definedName>
    <definedName name="_xlnm.Print_Titles" localSheetId="49">'300 &amp; 317'!$A:$C,'300 &amp; 317'!$1:$8</definedName>
    <definedName name="_xlnm.Print_Titles" localSheetId="50">'301'!$A:$C,'301'!$1:$8</definedName>
    <definedName name="_xlnm.Print_Titles" localSheetId="52">'307'!$A:$C,'307'!$1:$8</definedName>
    <definedName name="_xlnm.Print_Titles" localSheetId="53">'308'!$A:$C,'308'!$1:$8</definedName>
    <definedName name="_xlnm.Print_Titles" localSheetId="64">'309'!$A:$C,'309'!$1:$8</definedName>
    <definedName name="_xlnm.Print_Titles" localSheetId="63">'310'!$A:$C,'310'!$1:$8</definedName>
    <definedName name="_xlnm.Print_Titles" localSheetId="71">'310 &amp; 491'!$A:$C,'310 &amp; 491'!$1:$8</definedName>
    <definedName name="_xlnm.Print_Titles" localSheetId="54">'311'!$A:$C,'311'!$1:$8</definedName>
    <definedName name="_xlnm.Print_Titles" localSheetId="65">'313'!$A:$C,'313'!$1:$8</definedName>
    <definedName name="_xlnm.Print_Titles" localSheetId="57">'315'!$A:$C,'315'!$1:$8</definedName>
    <definedName name="_xlnm.Print_Titles" localSheetId="60">'316'!$A:$C,'316'!$1:$8</definedName>
    <definedName name="_xlnm.Print_Titles" localSheetId="62">'317'!$A:$C,'317'!$1:$8</definedName>
    <definedName name="_xlnm.Print_Titles" localSheetId="66">'321'!$A:$C,'321'!$1:$8</definedName>
    <definedName name="_xlnm.Print_Titles" localSheetId="67">'322'!$A:$C,'322'!$1:$8</definedName>
    <definedName name="_xlnm.Print_Titles" localSheetId="55">'324'!$A:$C,'324'!$1:$8</definedName>
    <definedName name="_xlnm.Print_Titles" localSheetId="68">'325'!$A:$C,'325'!$1:$8</definedName>
    <definedName name="_xlnm.Print_Titles" localSheetId="58">'326'!$A:$C,'326'!$1:$8</definedName>
    <definedName name="_xlnm.Print_Titles" localSheetId="69">'327'!$A:$C,'327'!$1:$8</definedName>
    <definedName name="_xlnm.Print_Titles" localSheetId="51">'330'!$A:$C,'330'!$1:$8</definedName>
    <definedName name="_xlnm.Print_Titles" localSheetId="56">'331'!$A:$C,'331'!$1:$8</definedName>
    <definedName name="_xlnm.Print_Titles" localSheetId="59">'332'!$A:$C,'332'!$1:$8</definedName>
    <definedName name="_xlnm.Print_Titles" localSheetId="73">'405'!$A:$C,'405'!$1:$8</definedName>
    <definedName name="_xlnm.Print_Titles" localSheetId="74">'406'!$A:$C,'406'!$1:$8</definedName>
    <definedName name="_xlnm.Print_Titles" localSheetId="75">'411'!$A:$C,'411'!$1:$8</definedName>
    <definedName name="_xlnm.Print_Titles" localSheetId="76">'412'!$A:$C,'412'!$1:$8</definedName>
    <definedName name="_xlnm.Print_Titles" localSheetId="77">'413'!$A:$C,'413'!$1:$8</definedName>
    <definedName name="_xlnm.Print_Titles" localSheetId="78">'414'!$A:$C,'414'!$1:$8</definedName>
    <definedName name="_xlnm.Print_Titles" localSheetId="79">'415'!$A:$C,'415'!$1:$8</definedName>
    <definedName name="_xlnm.Print_Titles" localSheetId="80">'418'!$A:$C,'418'!$1:$8</definedName>
    <definedName name="_xlnm.Print_Titles" localSheetId="81">'420'!$A:$C,'420'!$1:$8</definedName>
    <definedName name="_xlnm.Print_Titles" localSheetId="82">'423'!$A:$C,'423'!$1:$8</definedName>
    <definedName name="_xlnm.Print_Titles" localSheetId="83">'424'!$A:$C,'424'!$1:$8</definedName>
    <definedName name="_xlnm.Print_Titles" localSheetId="84">'425'!$A:$C,'425'!$1:$8</definedName>
    <definedName name="_xlnm.Print_Titles" localSheetId="87">'430'!$A:$C,'430'!$1:$8</definedName>
    <definedName name="_xlnm.Print_Titles" localSheetId="88">'433'!$A:$C,'433'!$1:$8</definedName>
    <definedName name="_xlnm.Print_Titles" localSheetId="89">'435'!$A:$C,'435'!$1:$8</definedName>
    <definedName name="_xlnm.Print_Titles" localSheetId="90">'444'!$A:$C,'444'!$1:$8</definedName>
    <definedName name="_xlnm.Print_Titles" localSheetId="91">'450'!$A:$C,'450'!$1:$8</definedName>
    <definedName name="_xlnm.Print_Titles" localSheetId="85">'455'!$A:$C,'455'!$1:$8</definedName>
    <definedName name="_xlnm.Print_Titles" localSheetId="72">'491'!$A:$C,'491'!$1:$8</definedName>
    <definedName name="_xlnm.Print_Titles" localSheetId="86">'492'!$A:$C,'492'!$1:$8</definedName>
    <definedName name="_xlnm.Print_Titles" localSheetId="93">'501'!$A:$C,'501'!$1:$8</definedName>
    <definedName name="_xlnm.Print_Titles" localSheetId="94">Dept!$A:$C,Dept!$1:$8</definedName>
    <definedName name="_xlnm.Print_Titles" localSheetId="5">'Div 1'!$A:$C,'Div 1'!$1:$8</definedName>
    <definedName name="_xlnm.Print_Titles" localSheetId="39">'Div 2'!$A:$C,'Div 2'!$1:$8</definedName>
    <definedName name="_xlnm.Print_Titles" localSheetId="47">'Div 3'!$A:$C,'Div 3'!$1:$8</definedName>
    <definedName name="_xlnm.Print_Titles" localSheetId="70">'Div 4'!$A:$C,'Div 4'!$1:$8</definedName>
    <definedName name="_xlnm.Print_Titles" localSheetId="92">'Div 5'!$A:$C,'Div 5'!$1:$8</definedName>
    <definedName name="_xlnm.Print_Titles" localSheetId="61">'Div 6'!$A:$C,'Div 6'!$1:$8</definedName>
    <definedName name="_xlnm.Print_Titles" localSheetId="14">'OSR_300 &amp; 317_1C00ID4'!$A:$C,'OSR_300 &amp; 317_1C00ID4'!$1:$8</definedName>
    <definedName name="_xlnm.Print_Titles" localSheetId="12">OSR_300_IYZXI6!$A:$C,OSR_300_IYZXI6!$1:$8</definedName>
    <definedName name="_xlnm.Print_Titles" localSheetId="20">OSR_308_UAWDAG!$A:$C,OSR_308_UAWDAG!$1:$8</definedName>
    <definedName name="_xlnm.Print_Titles" localSheetId="35">'OSR_310 &amp; 49...7615ada9_1PJ8EDG'!$A:$C,'OSR_310 &amp; 49...7615ada9_1PJ8EDG'!$1:$8</definedName>
    <definedName name="_xlnm.Print_Titles" localSheetId="33">'OSR_310 &amp; 49...76bf5af7_1A2901X'!$A:$C,'OSR_310 &amp; 49...76bf5af7_1A2901X'!$1:$8</definedName>
    <definedName name="_xlnm.Print_Titles" localSheetId="31">'OSR_310 &amp; 491...c23f2d59_X1JXXU'!$A:$C,'OSR_310 &amp; 491...c23f2d59_X1JXXU'!$1:$8</definedName>
    <definedName name="_xlnm.Print_Titles" localSheetId="28">'OSR_310 &amp; 491_1NGRCS9'!$A:$C,'OSR_310 &amp; 491_1NGRCS9'!$1:$8</definedName>
    <definedName name="_xlnm.Print_Titles" localSheetId="16">OSR_310_1CMTOSB!$A:$C,OSR_310_1CMTOSB!$1:$8</definedName>
    <definedName name="_xlnm.Print_Titles" localSheetId="18">OSR_330_10VFP5Y!$A:$C,OSR_330_10VFP5Y!$1:$8</definedName>
    <definedName name="_xlnm.Print_Titles" localSheetId="22">OSR_331_10VKQAJ!$A:$C,OSR_331_10VKQAJ!$1:$8</definedName>
    <definedName name="_xlnm.Print_Titles" localSheetId="24">OSR_332_6NDVBW!$A:$C,OSR_332_6NDVBW!$1:$8</definedName>
    <definedName name="_xlnm.Print_Titles" localSheetId="30">OSR_491_9Z9JH5!$A:$C,OSR_491_9Z9JH5!$1:$8</definedName>
    <definedName name="_xlnm.Print_Titles" localSheetId="32">OSR_492_943FP1!$A:$C,OSR_492_943FP1!$1:$8</definedName>
    <definedName name="_xlnm.Print_Titles" localSheetId="4">'OSR_Current ...69b7dd8c_1IEQKFK'!$A:$C,'OSR_Current ...69b7dd8c_1IEQKFK'!$1:$8</definedName>
    <definedName name="_xlnm.Print_Titles" localSheetId="7">'OSR_Dept (2)_...dd5b15a0_2T6PUA'!$A:$C,'OSR_Dept (2)_...dd5b15a0_2T6PUA'!$1:$8</definedName>
    <definedName name="_xlnm.Print_Titles" localSheetId="95">OSR_Dept_Y0WUKY!$A:$C,OSR_Dept_Y0WUKY!$1:$8</definedName>
    <definedName name="_xlnm.Print_Titles" localSheetId="27">'OSR_Div 1 (1...42fef80a_1JUNUIZ'!$A:$C,'OSR_Div 1 (1...42fef80a_1JUNUIZ'!$1:$8</definedName>
    <definedName name="_xlnm.Print_Titles" localSheetId="25">'OSR_Div 1 (10...e834aaf2_4B2R3Z'!$A:$C,'OSR_Div 1 (10...e834aaf2_4B2R3Z'!$1:$8</definedName>
    <definedName name="_xlnm.Print_Titles" localSheetId="9">'OSR_Div 1 (2...9b2bdc94_1Y8VZ4A'!$A:$C,'OSR_Div 1 (2...9b2bdc94_1Y8VZ4A'!$1:$8</definedName>
    <definedName name="_xlnm.Print_Titles" localSheetId="11">'OSR_Div 1 (3...74ea2e91_1YANJVT'!$A:$C,'OSR_Div 1 (3...74ea2e91_1YANJVT'!$1:$8</definedName>
    <definedName name="_xlnm.Print_Titles" localSheetId="13">'OSR_Div 1 (4)...cdd6f638_NQSRHK'!$A:$C,'OSR_Div 1 (4)...cdd6f638_NQSRHK'!$1:$8</definedName>
    <definedName name="_xlnm.Print_Titles" localSheetId="15">'OSR_Div 1 (5)...14c61d9ac_RUIH7'!$A:$C,'OSR_Div 1 (5)...14c61d9ac_RUIH7'!$1:$8</definedName>
    <definedName name="_xlnm.Print_Titles" localSheetId="17">'OSR_Div 1 (6)...754b1b2a_ZV1FUK'!$A:$C,'OSR_Div 1 (6)...754b1b2a_ZV1FUK'!$1:$8</definedName>
    <definedName name="_xlnm.Print_Titles" localSheetId="19">'OSR_Div 1 (7)...77c4adfc_YECVQC'!$A:$C,'OSR_Div 1 (7)...77c4adfc_YECVQC'!$1:$8</definedName>
    <definedName name="_xlnm.Print_Titles" localSheetId="21">'OSR_Div 1 (8...54681dd8_1N56J6G'!$A:$C,'OSR_Div 1 (8...54681dd8_1N56J6G'!$1:$8</definedName>
    <definedName name="_xlnm.Print_Titles" localSheetId="23">'OSR_Div 1 (9)...81df0cf4_TBZUNU'!$A:$C,'OSR_Div 1 (9)...81df0cf4_TBZUNU'!$1:$8</definedName>
    <definedName name="_xlnm.Print_Titles" localSheetId="6">'OSR_Div 1_7H47HR'!$A:$C,'OSR_Div 1_7H47HR'!$1:$8</definedName>
    <definedName name="_xlnm.Print_Titles" localSheetId="8">'OSR_Div 2_1PQ800A'!$A:$C,'OSR_Div 2_1PQ800A'!$1:$8</definedName>
    <definedName name="_xlnm.Print_Titles" localSheetId="10">'OSR_Div 3_18723PH'!$A:$C,'OSR_Div 3_18723PH'!$1:$8</definedName>
    <definedName name="_xlnm.Print_Titles" localSheetId="29">'OSR_Div 4 (2)...a8a8204b_XPPX5M'!$A:$C,'OSR_Div 4 (2)...a8a8204b_XPPX5M'!$1:$8</definedName>
    <definedName name="_xlnm.Print_Titles" localSheetId="26">'OSR_Div 4_1740TMT'!$A:$C,'OSR_Div 4_1740TMT'!$1:$8</definedName>
    <definedName name="_xlnm.Print_Titles" localSheetId="37">'OSR_Div 5 (2...bac05800_1LZIM8H'!$A:$C,'OSR_Div 5 (2...bac05800_1LZIM8H'!$1:$8</definedName>
    <definedName name="_xlnm.Print_Titles" localSheetId="34">'OSR_Div 5_16NAZO2'!$A:$C,'OSR_Div 5_16NAZO2'!$1:$8</definedName>
    <definedName name="_xlnm.Print_Titles" localSheetId="36">'OSR_Div 6_P37YY7'!$A:$C,'OSR_Div 6_P37YY7'!$1:$8</definedName>
    <definedName name="_xlnm.Print_Titles" localSheetId="96">'OSR_Summary (...56e5d78f_5JEYZH'!$A:$C,'OSR_Summary (...56e5d78f_5JEYZH'!$1:$8</definedName>
    <definedName name="_xlnm.Print_Titles" localSheetId="3">OSR_Summary_18VAVWG!$A:$C,OSR_Summary_18VAVWG!$1:$8</definedName>
    <definedName name="_xlnm.Print_Titles" localSheetId="2">Summary!$A:$C,Summary!$1:$8</definedName>
  </definedNames>
  <calcPr calcId="162913"/>
</workbook>
</file>

<file path=xl/calcChain.xml><?xml version="1.0" encoding="utf-8"?>
<calcChain xmlns="http://schemas.openxmlformats.org/spreadsheetml/2006/main">
  <c r="Q76" i="109" l="1"/>
  <c r="G71" i="109"/>
  <c r="F71" i="109"/>
  <c r="Q71" i="109" s="1"/>
  <c r="E71" i="109"/>
  <c r="D71" i="109"/>
  <c r="Q69" i="109"/>
  <c r="B69" i="109"/>
  <c r="O68" i="109"/>
  <c r="N68" i="109"/>
  <c r="M68" i="109"/>
  <c r="L68" i="109"/>
  <c r="K68" i="109"/>
  <c r="J68" i="109"/>
  <c r="I68" i="109"/>
  <c r="H68" i="109"/>
  <c r="G68" i="109"/>
  <c r="F68" i="109"/>
  <c r="E68" i="109"/>
  <c r="D68" i="109"/>
  <c r="Q68" i="109" s="1"/>
  <c r="B68" i="109"/>
  <c r="Q67" i="109"/>
  <c r="B67" i="109"/>
  <c r="O66" i="109"/>
  <c r="N66" i="109"/>
  <c r="M66" i="109"/>
  <c r="L66" i="109"/>
  <c r="K66" i="109"/>
  <c r="J66" i="109"/>
  <c r="I66" i="109"/>
  <c r="H66" i="109"/>
  <c r="G66" i="109"/>
  <c r="F66" i="109"/>
  <c r="E66" i="109"/>
  <c r="D66" i="109"/>
  <c r="Q66" i="109" s="1"/>
  <c r="B66" i="109"/>
  <c r="Q65" i="109"/>
  <c r="B65" i="109"/>
  <c r="Q64" i="109"/>
  <c r="B64" i="109"/>
  <c r="O63" i="109"/>
  <c r="N63" i="109"/>
  <c r="M63" i="109"/>
  <c r="L63" i="109"/>
  <c r="K63" i="109"/>
  <c r="J63" i="109"/>
  <c r="I63" i="109"/>
  <c r="H63" i="109"/>
  <c r="G63" i="109"/>
  <c r="F63" i="109"/>
  <c r="E63" i="109"/>
  <c r="D63" i="109"/>
  <c r="Q63" i="109" s="1"/>
  <c r="B63" i="109"/>
  <c r="Q62" i="109"/>
  <c r="B62" i="109"/>
  <c r="O61" i="109"/>
  <c r="N61" i="109"/>
  <c r="M61" i="109"/>
  <c r="L61" i="109"/>
  <c r="K61" i="109"/>
  <c r="J61" i="109"/>
  <c r="I61" i="109"/>
  <c r="H61" i="109"/>
  <c r="G61" i="109"/>
  <c r="F61" i="109"/>
  <c r="E61" i="109"/>
  <c r="D61" i="109"/>
  <c r="Q61" i="109" s="1"/>
  <c r="B61" i="109"/>
  <c r="Q60" i="109"/>
  <c r="B60" i="109"/>
  <c r="Q59" i="109"/>
  <c r="B59" i="109"/>
  <c r="Q58" i="109"/>
  <c r="B58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Q57" i="109" s="1"/>
  <c r="B57" i="109"/>
  <c r="Q56" i="109"/>
  <c r="B56" i="109"/>
  <c r="O55" i="109"/>
  <c r="N55" i="109"/>
  <c r="M55" i="109"/>
  <c r="L55" i="109"/>
  <c r="K55" i="109"/>
  <c r="J55" i="109"/>
  <c r="I55" i="109"/>
  <c r="H55" i="109"/>
  <c r="G55" i="109"/>
  <c r="F55" i="109"/>
  <c r="E55" i="109"/>
  <c r="D55" i="109"/>
  <c r="Q55" i="109" s="1"/>
  <c r="B55" i="109"/>
  <c r="Q54" i="109"/>
  <c r="B54" i="109"/>
  <c r="O53" i="109"/>
  <c r="N53" i="109"/>
  <c r="M53" i="109"/>
  <c r="L53" i="109"/>
  <c r="K53" i="109"/>
  <c r="J53" i="109"/>
  <c r="I53" i="109"/>
  <c r="H53" i="109"/>
  <c r="H19" i="109" s="1"/>
  <c r="G53" i="109"/>
  <c r="G19" i="109" s="1"/>
  <c r="F53" i="109"/>
  <c r="E53" i="109"/>
  <c r="D53" i="109"/>
  <c r="B53" i="109"/>
  <c r="Q52" i="109"/>
  <c r="B52" i="109"/>
  <c r="O51" i="109"/>
  <c r="N51" i="109"/>
  <c r="M51" i="109"/>
  <c r="L51" i="109"/>
  <c r="L19" i="109" s="1"/>
  <c r="K51" i="109"/>
  <c r="K19" i="109" s="1"/>
  <c r="J51" i="109"/>
  <c r="I51" i="109"/>
  <c r="H51" i="109"/>
  <c r="G51" i="109"/>
  <c r="F51" i="109"/>
  <c r="E51" i="109"/>
  <c r="D51" i="109"/>
  <c r="Q51" i="109" s="1"/>
  <c r="B51" i="109"/>
  <c r="Q50" i="109"/>
  <c r="B50" i="109"/>
  <c r="Q49" i="109"/>
  <c r="B49" i="109"/>
  <c r="O48" i="109"/>
  <c r="N48" i="109"/>
  <c r="M48" i="109"/>
  <c r="L48" i="109"/>
  <c r="K48" i="109"/>
  <c r="J48" i="109"/>
  <c r="I48" i="109"/>
  <c r="H48" i="109"/>
  <c r="G48" i="109"/>
  <c r="F48" i="109"/>
  <c r="E48" i="109"/>
  <c r="D48" i="109"/>
  <c r="B48" i="109"/>
  <c r="Q47" i="109"/>
  <c r="B47" i="109"/>
  <c r="O46" i="109"/>
  <c r="N46" i="109"/>
  <c r="M46" i="109"/>
  <c r="L46" i="109"/>
  <c r="K46" i="109"/>
  <c r="J46" i="109"/>
  <c r="J19" i="109" s="1"/>
  <c r="I46" i="109"/>
  <c r="H46" i="109"/>
  <c r="G46" i="109"/>
  <c r="F46" i="109"/>
  <c r="E46" i="109"/>
  <c r="D46" i="109"/>
  <c r="B46" i="109"/>
  <c r="Q45" i="109"/>
  <c r="B45" i="109"/>
  <c r="O44" i="109"/>
  <c r="N44" i="109"/>
  <c r="M44" i="109"/>
  <c r="L44" i="109"/>
  <c r="K44" i="109"/>
  <c r="J44" i="109"/>
  <c r="I44" i="109"/>
  <c r="H44" i="109"/>
  <c r="G44" i="109"/>
  <c r="F44" i="109"/>
  <c r="E44" i="109"/>
  <c r="D44" i="109"/>
  <c r="B44" i="109"/>
  <c r="Q43" i="109"/>
  <c r="B43" i="109"/>
  <c r="O42" i="109"/>
  <c r="N42" i="109"/>
  <c r="M42" i="109"/>
  <c r="L42" i="109"/>
  <c r="K42" i="109"/>
  <c r="J42" i="109"/>
  <c r="I42" i="109"/>
  <c r="H42" i="109"/>
  <c r="G42" i="109"/>
  <c r="F42" i="109"/>
  <c r="F19" i="109" s="1"/>
  <c r="E42" i="109"/>
  <c r="D42" i="109"/>
  <c r="B42" i="109"/>
  <c r="Q41" i="109"/>
  <c r="B41" i="109"/>
  <c r="Q40" i="109"/>
  <c r="B40" i="109"/>
  <c r="Q39" i="109"/>
  <c r="B39" i="109"/>
  <c r="Q38" i="109"/>
  <c r="B38" i="109"/>
  <c r="Q37" i="109"/>
  <c r="B37" i="109"/>
  <c r="Q36" i="109"/>
  <c r="B36" i="109"/>
  <c r="Q35" i="109"/>
  <c r="B35" i="109"/>
  <c r="Q34" i="109"/>
  <c r="B34" i="109"/>
  <c r="Q33" i="109"/>
  <c r="B33" i="109"/>
  <c r="Q32" i="109"/>
  <c r="B32" i="109"/>
  <c r="O31" i="109"/>
  <c r="O19" i="109" s="1"/>
  <c r="N31" i="109"/>
  <c r="M31" i="109"/>
  <c r="L31" i="109"/>
  <c r="K31" i="109"/>
  <c r="J31" i="109"/>
  <c r="I31" i="109"/>
  <c r="H31" i="109"/>
  <c r="G31" i="109"/>
  <c r="F31" i="109"/>
  <c r="E31" i="109"/>
  <c r="D31" i="109"/>
  <c r="B31" i="109"/>
  <c r="Q30" i="109"/>
  <c r="B30" i="109"/>
  <c r="Q29" i="109"/>
  <c r="B29" i="109"/>
  <c r="Q28" i="109"/>
  <c r="B28" i="109"/>
  <c r="Q27" i="109"/>
  <c r="B27" i="109"/>
  <c r="Q26" i="109"/>
  <c r="B26" i="109"/>
  <c r="Q25" i="109"/>
  <c r="B25" i="109"/>
  <c r="Q24" i="109"/>
  <c r="B24" i="109"/>
  <c r="Q23" i="109"/>
  <c r="B23" i="109"/>
  <c r="Q22" i="109"/>
  <c r="B22" i="109"/>
  <c r="Q21" i="109"/>
  <c r="B21" i="109"/>
  <c r="O20" i="109"/>
  <c r="N20" i="109"/>
  <c r="N19" i="109" s="1"/>
  <c r="M20" i="109"/>
  <c r="L20" i="109"/>
  <c r="K20" i="109"/>
  <c r="J20" i="109"/>
  <c r="I20" i="109"/>
  <c r="I19" i="109" s="1"/>
  <c r="H20" i="109"/>
  <c r="G20" i="109"/>
  <c r="F20" i="109"/>
  <c r="E20" i="109"/>
  <c r="D20" i="109"/>
  <c r="B20" i="109"/>
  <c r="D19" i="109"/>
  <c r="D17" i="109"/>
  <c r="M16" i="109"/>
  <c r="M17" i="109" s="1"/>
  <c r="I16" i="109"/>
  <c r="I17" i="109" s="1"/>
  <c r="Q14" i="109"/>
  <c r="O14" i="109"/>
  <c r="N14" i="109"/>
  <c r="M14" i="109"/>
  <c r="L14" i="109"/>
  <c r="K14" i="109"/>
  <c r="J14" i="109"/>
  <c r="I14" i="109"/>
  <c r="H14" i="109"/>
  <c r="G14" i="109"/>
  <c r="F14" i="109"/>
  <c r="E14" i="109"/>
  <c r="D14" i="109"/>
  <c r="G12" i="109"/>
  <c r="F12" i="109"/>
  <c r="E12" i="109"/>
  <c r="Q12" i="109" s="1"/>
  <c r="D12" i="109"/>
  <c r="B12" i="109"/>
  <c r="G11" i="109"/>
  <c r="F11" i="109"/>
  <c r="F10" i="109" s="1"/>
  <c r="F16" i="109" s="1"/>
  <c r="E11" i="109"/>
  <c r="E10" i="109" s="1"/>
  <c r="E16" i="109" s="1"/>
  <c r="D11" i="109"/>
  <c r="D10" i="109" s="1"/>
  <c r="D16" i="109" s="1"/>
  <c r="D73" i="109" s="1"/>
  <c r="B11" i="109"/>
  <c r="O10" i="109"/>
  <c r="O16" i="109" s="1"/>
  <c r="N10" i="109"/>
  <c r="N16" i="109" s="1"/>
  <c r="M10" i="109"/>
  <c r="L10" i="109"/>
  <c r="L16" i="109" s="1"/>
  <c r="K10" i="109"/>
  <c r="K16" i="109" s="1"/>
  <c r="J10" i="109"/>
  <c r="J16" i="109" s="1"/>
  <c r="I10" i="109"/>
  <c r="H10" i="109"/>
  <c r="H16" i="109" s="1"/>
  <c r="G10" i="109"/>
  <c r="G16" i="109" s="1"/>
  <c r="O8" i="109"/>
  <c r="N8" i="109"/>
  <c r="M8" i="109"/>
  <c r="L8" i="109"/>
  <c r="K8" i="109"/>
  <c r="J8" i="109"/>
  <c r="I8" i="109"/>
  <c r="H8" i="109"/>
  <c r="G8" i="109"/>
  <c r="F8" i="109"/>
  <c r="E8" i="109"/>
  <c r="D8" i="109"/>
  <c r="B5" i="109"/>
  <c r="M30" i="108"/>
  <c r="M31" i="108" s="1"/>
  <c r="O26" i="108"/>
  <c r="Q24" i="108"/>
  <c r="O21" i="108"/>
  <c r="O22" i="108" s="1"/>
  <c r="N21" i="108"/>
  <c r="G19" i="108"/>
  <c r="F19" i="108"/>
  <c r="E19" i="108"/>
  <c r="Q19" i="108" s="1"/>
  <c r="D19" i="108"/>
  <c r="Q17" i="108"/>
  <c r="O17" i="108"/>
  <c r="N17" i="108"/>
  <c r="M17" i="108"/>
  <c r="L17" i="108"/>
  <c r="L21" i="108" s="1"/>
  <c r="K17" i="108"/>
  <c r="J17" i="108"/>
  <c r="I17" i="108"/>
  <c r="H17" i="108"/>
  <c r="G17" i="108"/>
  <c r="F17" i="108"/>
  <c r="F21" i="108" s="1"/>
  <c r="E17" i="108"/>
  <c r="D17" i="108"/>
  <c r="M15" i="108"/>
  <c r="G15" i="108"/>
  <c r="N14" i="108"/>
  <c r="N15" i="108" s="1"/>
  <c r="K14" i="108"/>
  <c r="H14" i="108"/>
  <c r="F14" i="108"/>
  <c r="F15" i="108" s="1"/>
  <c r="Q12" i="108"/>
  <c r="O12" i="108"/>
  <c r="O14" i="108" s="1"/>
  <c r="O15" i="108" s="1"/>
  <c r="N12" i="108"/>
  <c r="M12" i="108"/>
  <c r="L12" i="108"/>
  <c r="K12" i="108"/>
  <c r="J12" i="108"/>
  <c r="I12" i="108"/>
  <c r="H12" i="108"/>
  <c r="G12" i="108"/>
  <c r="G14" i="108" s="1"/>
  <c r="F12" i="108"/>
  <c r="E12" i="108"/>
  <c r="D12" i="108"/>
  <c r="Q10" i="108"/>
  <c r="Q14" i="108" s="1"/>
  <c r="O10" i="108"/>
  <c r="N10" i="108"/>
  <c r="M10" i="108"/>
  <c r="M14" i="108" s="1"/>
  <c r="M21" i="108" s="1"/>
  <c r="M26" i="108" s="1"/>
  <c r="M27" i="108" s="1"/>
  <c r="L10" i="108"/>
  <c r="L14" i="108" s="1"/>
  <c r="L15" i="108" s="1"/>
  <c r="K10" i="108"/>
  <c r="J10" i="108"/>
  <c r="J14" i="108" s="1"/>
  <c r="I10" i="108"/>
  <c r="H10" i="108"/>
  <c r="G10" i="108"/>
  <c r="F10" i="108"/>
  <c r="E10" i="108"/>
  <c r="E14" i="108" s="1"/>
  <c r="D10" i="108"/>
  <c r="D14" i="108" s="1"/>
  <c r="O8" i="108"/>
  <c r="N8" i="108"/>
  <c r="M8" i="108"/>
  <c r="L8" i="108"/>
  <c r="K8" i="108"/>
  <c r="J8" i="108"/>
  <c r="I8" i="108"/>
  <c r="H8" i="108"/>
  <c r="G8" i="108"/>
  <c r="F8" i="108"/>
  <c r="E8" i="108"/>
  <c r="D8" i="108"/>
  <c r="B5" i="108"/>
  <c r="Q87" i="107"/>
  <c r="G82" i="107"/>
  <c r="F82" i="107"/>
  <c r="E82" i="107"/>
  <c r="D82" i="107"/>
  <c r="Q82" i="107" s="1"/>
  <c r="Q80" i="107"/>
  <c r="B80" i="107"/>
  <c r="O79" i="107"/>
  <c r="N79" i="107"/>
  <c r="M79" i="107"/>
  <c r="L79" i="107"/>
  <c r="K79" i="107"/>
  <c r="J79" i="107"/>
  <c r="I79" i="107"/>
  <c r="H79" i="107"/>
  <c r="G79" i="107"/>
  <c r="F79" i="107"/>
  <c r="E79" i="107"/>
  <c r="D79" i="107"/>
  <c r="Q79" i="107" s="1"/>
  <c r="B79" i="107"/>
  <c r="Q78" i="107"/>
  <c r="B78" i="107"/>
  <c r="Q77" i="107"/>
  <c r="B77" i="107"/>
  <c r="O76" i="107"/>
  <c r="N76" i="107"/>
  <c r="M76" i="107"/>
  <c r="L76" i="107"/>
  <c r="K76" i="107"/>
  <c r="K20" i="107" s="1"/>
  <c r="J76" i="107"/>
  <c r="I76" i="107"/>
  <c r="H76" i="107"/>
  <c r="G76" i="107"/>
  <c r="F76" i="107"/>
  <c r="E76" i="107"/>
  <c r="D76" i="107"/>
  <c r="B76" i="107"/>
  <c r="Q75" i="107"/>
  <c r="B75" i="107"/>
  <c r="Q74" i="107"/>
  <c r="B74" i="107"/>
  <c r="Q73" i="107"/>
  <c r="B73" i="107"/>
  <c r="Q72" i="107"/>
  <c r="B72" i="107"/>
  <c r="Q71" i="107"/>
  <c r="B71" i="107"/>
  <c r="Q70" i="107"/>
  <c r="B70" i="107"/>
  <c r="O69" i="107"/>
  <c r="N69" i="107"/>
  <c r="M69" i="107"/>
  <c r="L69" i="107"/>
  <c r="K69" i="107"/>
  <c r="J69" i="107"/>
  <c r="I69" i="107"/>
  <c r="H69" i="107"/>
  <c r="G69" i="107"/>
  <c r="F69" i="107"/>
  <c r="E69" i="107"/>
  <c r="D69" i="107"/>
  <c r="Q69" i="107" s="1"/>
  <c r="B69" i="107"/>
  <c r="Q68" i="107"/>
  <c r="B68" i="107"/>
  <c r="Q67" i="107"/>
  <c r="B67" i="107"/>
  <c r="Q66" i="107"/>
  <c r="B66" i="107"/>
  <c r="O65" i="107"/>
  <c r="N65" i="107"/>
  <c r="M65" i="107"/>
  <c r="L65" i="107"/>
  <c r="K65" i="107"/>
  <c r="J65" i="107"/>
  <c r="I65" i="107"/>
  <c r="H65" i="107"/>
  <c r="G65" i="107"/>
  <c r="F65" i="107"/>
  <c r="E65" i="107"/>
  <c r="D65" i="107"/>
  <c r="B65" i="107"/>
  <c r="Q64" i="107"/>
  <c r="B64" i="107"/>
  <c r="O63" i="107"/>
  <c r="N63" i="107"/>
  <c r="M63" i="107"/>
  <c r="L63" i="107"/>
  <c r="K63" i="107"/>
  <c r="J63" i="107"/>
  <c r="I63" i="107"/>
  <c r="H63" i="107"/>
  <c r="G63" i="107"/>
  <c r="F63" i="107"/>
  <c r="E63" i="107"/>
  <c r="D63" i="107"/>
  <c r="Q63" i="107" s="1"/>
  <c r="B63" i="107"/>
  <c r="Q62" i="107"/>
  <c r="B62" i="107"/>
  <c r="O61" i="107"/>
  <c r="N61" i="107"/>
  <c r="M61" i="107"/>
  <c r="L61" i="107"/>
  <c r="K61" i="107"/>
  <c r="J61" i="107"/>
  <c r="I61" i="107"/>
  <c r="H61" i="107"/>
  <c r="G61" i="107"/>
  <c r="F61" i="107"/>
  <c r="E61" i="107"/>
  <c r="D61" i="107"/>
  <c r="B61" i="107"/>
  <c r="Q60" i="107"/>
  <c r="B60" i="107"/>
  <c r="O59" i="107"/>
  <c r="N59" i="107"/>
  <c r="M59" i="107"/>
  <c r="L59" i="107"/>
  <c r="K59" i="107"/>
  <c r="J59" i="107"/>
  <c r="I59" i="107"/>
  <c r="H59" i="107"/>
  <c r="G59" i="107"/>
  <c r="F59" i="107"/>
  <c r="E59" i="107"/>
  <c r="D59" i="107"/>
  <c r="B59" i="107"/>
  <c r="Q58" i="107"/>
  <c r="B58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Q57" i="107" s="1"/>
  <c r="B57" i="107"/>
  <c r="Q56" i="107"/>
  <c r="B56" i="107"/>
  <c r="O55" i="107"/>
  <c r="N55" i="107"/>
  <c r="M55" i="107"/>
  <c r="L55" i="107"/>
  <c r="K55" i="107"/>
  <c r="J55" i="107"/>
  <c r="I55" i="107"/>
  <c r="H55" i="107"/>
  <c r="G55" i="107"/>
  <c r="F55" i="107"/>
  <c r="E55" i="107"/>
  <c r="D55" i="107"/>
  <c r="Q55" i="107" s="1"/>
  <c r="B55" i="107"/>
  <c r="Q54" i="107"/>
  <c r="B54" i="107"/>
  <c r="O53" i="107"/>
  <c r="N53" i="107"/>
  <c r="M53" i="107"/>
  <c r="L53" i="107"/>
  <c r="K53" i="107"/>
  <c r="J53" i="107"/>
  <c r="I53" i="107"/>
  <c r="H53" i="107"/>
  <c r="G53" i="107"/>
  <c r="F53" i="107"/>
  <c r="F20" i="107" s="1"/>
  <c r="E53" i="107"/>
  <c r="D53" i="107"/>
  <c r="B53" i="107"/>
  <c r="Q52" i="107"/>
  <c r="B52" i="107"/>
  <c r="O51" i="107"/>
  <c r="N51" i="107"/>
  <c r="M51" i="107"/>
  <c r="L51" i="107"/>
  <c r="K51" i="107"/>
  <c r="J51" i="107"/>
  <c r="I51" i="107"/>
  <c r="H51" i="107"/>
  <c r="G51" i="107"/>
  <c r="F51" i="107"/>
  <c r="E51" i="107"/>
  <c r="D51" i="107"/>
  <c r="B51" i="107"/>
  <c r="Q50" i="107"/>
  <c r="B50" i="107"/>
  <c r="O49" i="107"/>
  <c r="N49" i="107"/>
  <c r="M49" i="107"/>
  <c r="L49" i="107"/>
  <c r="K49" i="107"/>
  <c r="J49" i="107"/>
  <c r="I49" i="107"/>
  <c r="H49" i="107"/>
  <c r="G49" i="107"/>
  <c r="F49" i="107"/>
  <c r="E49" i="107"/>
  <c r="D49" i="107"/>
  <c r="B49" i="107"/>
  <c r="Q48" i="107"/>
  <c r="B48" i="107"/>
  <c r="O47" i="107"/>
  <c r="N47" i="107"/>
  <c r="M47" i="107"/>
  <c r="L47" i="107"/>
  <c r="K47" i="107"/>
  <c r="J47" i="107"/>
  <c r="I47" i="107"/>
  <c r="H47" i="107"/>
  <c r="G47" i="107"/>
  <c r="F47" i="107"/>
  <c r="E47" i="107"/>
  <c r="D47" i="107"/>
  <c r="B47" i="107"/>
  <c r="Q46" i="107"/>
  <c r="B46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B45" i="107"/>
  <c r="Q44" i="107"/>
  <c r="B44" i="107"/>
  <c r="O43" i="107"/>
  <c r="N43" i="107"/>
  <c r="M43" i="107"/>
  <c r="L43" i="107"/>
  <c r="K43" i="107"/>
  <c r="J43" i="107"/>
  <c r="I43" i="107"/>
  <c r="H43" i="107"/>
  <c r="G43" i="107"/>
  <c r="F43" i="107"/>
  <c r="E43" i="107"/>
  <c r="D43" i="107"/>
  <c r="Q43" i="107" s="1"/>
  <c r="B43" i="107"/>
  <c r="Q42" i="107"/>
  <c r="B42" i="107"/>
  <c r="Q41" i="107"/>
  <c r="B41" i="107"/>
  <c r="Q40" i="107"/>
  <c r="B40" i="107"/>
  <c r="Q39" i="107"/>
  <c r="B39" i="107"/>
  <c r="Q38" i="107"/>
  <c r="B38" i="107"/>
  <c r="Q37" i="107"/>
  <c r="B37" i="107"/>
  <c r="Q36" i="107"/>
  <c r="B36" i="107"/>
  <c r="Q35" i="107"/>
  <c r="B35" i="107"/>
  <c r="Q34" i="107"/>
  <c r="B34" i="107"/>
  <c r="Q33" i="107"/>
  <c r="B33" i="107"/>
  <c r="O32" i="107"/>
  <c r="N32" i="107"/>
  <c r="N20" i="107" s="1"/>
  <c r="M32" i="107"/>
  <c r="L32" i="107"/>
  <c r="K32" i="107"/>
  <c r="J32" i="107"/>
  <c r="I32" i="107"/>
  <c r="H32" i="107"/>
  <c r="G32" i="107"/>
  <c r="F32" i="107"/>
  <c r="E32" i="107"/>
  <c r="D32" i="107"/>
  <c r="B32" i="107"/>
  <c r="Q31" i="107"/>
  <c r="B31" i="107"/>
  <c r="Q30" i="107"/>
  <c r="B30" i="107"/>
  <c r="Q29" i="107"/>
  <c r="B29" i="107"/>
  <c r="Q28" i="107"/>
  <c r="B28" i="107"/>
  <c r="Q27" i="107"/>
  <c r="B27" i="107"/>
  <c r="Q26" i="107"/>
  <c r="B26" i="107"/>
  <c r="Q25" i="107"/>
  <c r="B25" i="107"/>
  <c r="Q24" i="107"/>
  <c r="B24" i="107"/>
  <c r="Q23" i="107"/>
  <c r="B23" i="107"/>
  <c r="Q22" i="107"/>
  <c r="B22" i="107"/>
  <c r="O21" i="107"/>
  <c r="N21" i="107"/>
  <c r="M21" i="107"/>
  <c r="L21" i="107"/>
  <c r="K21" i="107"/>
  <c r="J21" i="107"/>
  <c r="I21" i="107"/>
  <c r="H21" i="107"/>
  <c r="G21" i="107"/>
  <c r="F21" i="107"/>
  <c r="E21" i="107"/>
  <c r="D21" i="107"/>
  <c r="B21" i="107"/>
  <c r="O20" i="107"/>
  <c r="L20" i="107"/>
  <c r="J20" i="107"/>
  <c r="G20" i="107"/>
  <c r="O18" i="107"/>
  <c r="M18" i="107"/>
  <c r="N17" i="107"/>
  <c r="L17" i="107"/>
  <c r="H17" i="107"/>
  <c r="E17" i="107"/>
  <c r="Q15" i="107"/>
  <c r="B15" i="107"/>
  <c r="Q14" i="107"/>
  <c r="O14" i="107"/>
  <c r="N14" i="107"/>
  <c r="M14" i="107"/>
  <c r="L14" i="107"/>
  <c r="K14" i="107"/>
  <c r="J14" i="107"/>
  <c r="I14" i="107"/>
  <c r="H14" i="107"/>
  <c r="G14" i="107"/>
  <c r="F14" i="107"/>
  <c r="E14" i="107"/>
  <c r="D14" i="107"/>
  <c r="G12" i="107"/>
  <c r="F12" i="107"/>
  <c r="E12" i="107"/>
  <c r="D12" i="107"/>
  <c r="Q12" i="107" s="1"/>
  <c r="B12" i="107"/>
  <c r="G11" i="107"/>
  <c r="G10" i="107" s="1"/>
  <c r="G17" i="107" s="1"/>
  <c r="F11" i="107"/>
  <c r="E11" i="107"/>
  <c r="D11" i="107"/>
  <c r="D10" i="107" s="1"/>
  <c r="D17" i="107" s="1"/>
  <c r="B11" i="107"/>
  <c r="O10" i="107"/>
  <c r="O17" i="107" s="1"/>
  <c r="N10" i="107"/>
  <c r="M10" i="107"/>
  <c r="M17" i="107" s="1"/>
  <c r="L10" i="107"/>
  <c r="K10" i="107"/>
  <c r="K17" i="107" s="1"/>
  <c r="K84" i="107" s="1"/>
  <c r="K89" i="107" s="1"/>
  <c r="J10" i="107"/>
  <c r="J17" i="107" s="1"/>
  <c r="I10" i="107"/>
  <c r="I17" i="107" s="1"/>
  <c r="H10" i="107"/>
  <c r="F10" i="107"/>
  <c r="F17" i="107" s="1"/>
  <c r="F18" i="107" s="1"/>
  <c r="E10" i="107"/>
  <c r="O8" i="107"/>
  <c r="N8" i="107"/>
  <c r="M8" i="107"/>
  <c r="L8" i="107"/>
  <c r="K8" i="107"/>
  <c r="J8" i="107"/>
  <c r="I8" i="107"/>
  <c r="H8" i="107"/>
  <c r="G8" i="107"/>
  <c r="F8" i="107"/>
  <c r="E8" i="107"/>
  <c r="D8" i="107"/>
  <c r="B5" i="107"/>
  <c r="Q93" i="105"/>
  <c r="G88" i="105"/>
  <c r="F88" i="105"/>
  <c r="E88" i="105"/>
  <c r="D88" i="105"/>
  <c r="Q88" i="105" s="1"/>
  <c r="Q86" i="105"/>
  <c r="B86" i="105"/>
  <c r="O85" i="105"/>
  <c r="N85" i="105"/>
  <c r="M85" i="105"/>
  <c r="L85" i="105"/>
  <c r="K85" i="105"/>
  <c r="J85" i="105"/>
  <c r="I85" i="105"/>
  <c r="H85" i="105"/>
  <c r="G85" i="105"/>
  <c r="F85" i="105"/>
  <c r="E85" i="105"/>
  <c r="D85" i="105"/>
  <c r="B85" i="105"/>
  <c r="Q84" i="105"/>
  <c r="B84" i="105"/>
  <c r="Q83" i="105"/>
  <c r="B83" i="105"/>
  <c r="O82" i="105"/>
  <c r="N82" i="105"/>
  <c r="M82" i="105"/>
  <c r="L82" i="105"/>
  <c r="K82" i="105"/>
  <c r="J82" i="105"/>
  <c r="I82" i="105"/>
  <c r="H82" i="105"/>
  <c r="G82" i="105"/>
  <c r="F82" i="105"/>
  <c r="E82" i="105"/>
  <c r="D82" i="105"/>
  <c r="Q82" i="105" s="1"/>
  <c r="B82" i="105"/>
  <c r="Q81" i="105"/>
  <c r="B81" i="105"/>
  <c r="Q80" i="105"/>
  <c r="B80" i="105"/>
  <c r="Q79" i="105"/>
  <c r="B79" i="105"/>
  <c r="Q78" i="105"/>
  <c r="B78" i="105"/>
  <c r="Q77" i="105"/>
  <c r="B77" i="105"/>
  <c r="Q76" i="105"/>
  <c r="B76" i="105"/>
  <c r="Q75" i="105"/>
  <c r="B75" i="105"/>
  <c r="Q74" i="105"/>
  <c r="B74" i="105"/>
  <c r="O73" i="105"/>
  <c r="N73" i="105"/>
  <c r="M73" i="105"/>
  <c r="L73" i="105"/>
  <c r="K73" i="105"/>
  <c r="J73" i="105"/>
  <c r="I73" i="105"/>
  <c r="H73" i="105"/>
  <c r="G73" i="105"/>
  <c r="F73" i="105"/>
  <c r="E73" i="105"/>
  <c r="D73" i="105"/>
  <c r="Q73" i="105" s="1"/>
  <c r="B73" i="105"/>
  <c r="Q72" i="105"/>
  <c r="B72" i="105"/>
  <c r="Q71" i="105"/>
  <c r="B71" i="105"/>
  <c r="Q70" i="105"/>
  <c r="B70" i="105"/>
  <c r="O69" i="105"/>
  <c r="N69" i="105"/>
  <c r="M69" i="105"/>
  <c r="L69" i="105"/>
  <c r="K69" i="105"/>
  <c r="J69" i="105"/>
  <c r="I69" i="105"/>
  <c r="H69" i="105"/>
  <c r="G69" i="105"/>
  <c r="F69" i="105"/>
  <c r="E69" i="105"/>
  <c r="D69" i="105"/>
  <c r="B69" i="105"/>
  <c r="Q68" i="105"/>
  <c r="B68" i="105"/>
  <c r="Q67" i="105"/>
  <c r="B67" i="105"/>
  <c r="Q66" i="105"/>
  <c r="B66" i="105"/>
  <c r="O65" i="105"/>
  <c r="N65" i="105"/>
  <c r="M65" i="105"/>
  <c r="L65" i="105"/>
  <c r="K65" i="105"/>
  <c r="J65" i="105"/>
  <c r="I65" i="105"/>
  <c r="H65" i="105"/>
  <c r="H24" i="105" s="1"/>
  <c r="G65" i="105"/>
  <c r="F65" i="105"/>
  <c r="E65" i="105"/>
  <c r="D65" i="105"/>
  <c r="B65" i="105"/>
  <c r="Q64" i="105"/>
  <c r="B64" i="105"/>
  <c r="O63" i="105"/>
  <c r="N63" i="105"/>
  <c r="M63" i="105"/>
  <c r="L63" i="105"/>
  <c r="K63" i="105"/>
  <c r="J63" i="105"/>
  <c r="I63" i="105"/>
  <c r="H63" i="105"/>
  <c r="G63" i="105"/>
  <c r="F63" i="105"/>
  <c r="E63" i="105"/>
  <c r="D63" i="105"/>
  <c r="B63" i="105"/>
  <c r="Q62" i="105"/>
  <c r="B62" i="105"/>
  <c r="O61" i="105"/>
  <c r="N61" i="105"/>
  <c r="M61" i="105"/>
  <c r="L61" i="105"/>
  <c r="K61" i="105"/>
  <c r="J61" i="105"/>
  <c r="I61" i="105"/>
  <c r="H61" i="105"/>
  <c r="G61" i="105"/>
  <c r="F61" i="105"/>
  <c r="E61" i="105"/>
  <c r="D61" i="105"/>
  <c r="Q61" i="105" s="1"/>
  <c r="B61" i="105"/>
  <c r="Q60" i="105"/>
  <c r="B60" i="105"/>
  <c r="O59" i="105"/>
  <c r="N59" i="105"/>
  <c r="M59" i="105"/>
  <c r="L59" i="105"/>
  <c r="K59" i="105"/>
  <c r="J59" i="105"/>
  <c r="I59" i="105"/>
  <c r="H59" i="105"/>
  <c r="G59" i="105"/>
  <c r="F59" i="105"/>
  <c r="E59" i="105"/>
  <c r="D59" i="105"/>
  <c r="B59" i="105"/>
  <c r="Q58" i="105"/>
  <c r="B58" i="105"/>
  <c r="O57" i="105"/>
  <c r="N57" i="105"/>
  <c r="M57" i="105"/>
  <c r="L57" i="105"/>
  <c r="K57" i="105"/>
  <c r="J57" i="105"/>
  <c r="I57" i="105"/>
  <c r="H57" i="105"/>
  <c r="G57" i="105"/>
  <c r="F57" i="105"/>
  <c r="E57" i="105"/>
  <c r="D57" i="105"/>
  <c r="B57" i="105"/>
  <c r="Q56" i="105"/>
  <c r="B56" i="105"/>
  <c r="O55" i="105"/>
  <c r="N55" i="105"/>
  <c r="M55" i="105"/>
  <c r="L55" i="105"/>
  <c r="K55" i="105"/>
  <c r="J55" i="105"/>
  <c r="I55" i="105"/>
  <c r="H55" i="105"/>
  <c r="G55" i="105"/>
  <c r="F55" i="105"/>
  <c r="E55" i="105"/>
  <c r="D55" i="105"/>
  <c r="B55" i="105"/>
  <c r="Q54" i="105"/>
  <c r="B54" i="105"/>
  <c r="O53" i="105"/>
  <c r="N53" i="105"/>
  <c r="M53" i="105"/>
  <c r="L53" i="105"/>
  <c r="K53" i="105"/>
  <c r="J53" i="105"/>
  <c r="I53" i="105"/>
  <c r="H53" i="105"/>
  <c r="G53" i="105"/>
  <c r="F53" i="105"/>
  <c r="E53" i="105"/>
  <c r="D53" i="105"/>
  <c r="B53" i="105"/>
  <c r="Q52" i="105"/>
  <c r="B52" i="105"/>
  <c r="O51" i="105"/>
  <c r="N51" i="105"/>
  <c r="M51" i="105"/>
  <c r="L51" i="105"/>
  <c r="K51" i="105"/>
  <c r="J51" i="105"/>
  <c r="I51" i="105"/>
  <c r="H51" i="105"/>
  <c r="G51" i="105"/>
  <c r="F51" i="105"/>
  <c r="E51" i="105"/>
  <c r="D51" i="105"/>
  <c r="Q51" i="105" s="1"/>
  <c r="B51" i="105"/>
  <c r="Q50" i="105"/>
  <c r="B50" i="105"/>
  <c r="O49" i="105"/>
  <c r="N49" i="105"/>
  <c r="M49" i="105"/>
  <c r="L49" i="105"/>
  <c r="K49" i="105"/>
  <c r="J49" i="105"/>
  <c r="I49" i="105"/>
  <c r="H49" i="105"/>
  <c r="G49" i="105"/>
  <c r="F49" i="105"/>
  <c r="E49" i="105"/>
  <c r="D49" i="105"/>
  <c r="B49" i="105"/>
  <c r="Q48" i="105"/>
  <c r="B48" i="105"/>
  <c r="O47" i="105"/>
  <c r="N47" i="105"/>
  <c r="M47" i="105"/>
  <c r="L47" i="105"/>
  <c r="K47" i="105"/>
  <c r="J47" i="105"/>
  <c r="I47" i="105"/>
  <c r="H47" i="105"/>
  <c r="G47" i="105"/>
  <c r="F47" i="105"/>
  <c r="E47" i="105"/>
  <c r="D47" i="105"/>
  <c r="Q47" i="105" s="1"/>
  <c r="B47" i="105"/>
  <c r="Q46" i="105"/>
  <c r="B46" i="105"/>
  <c r="Q45" i="105"/>
  <c r="B45" i="105"/>
  <c r="Q44" i="105"/>
  <c r="B44" i="105"/>
  <c r="Q43" i="105"/>
  <c r="B43" i="105"/>
  <c r="Q42" i="105"/>
  <c r="B42" i="105"/>
  <c r="Q41" i="105"/>
  <c r="B41" i="105"/>
  <c r="Q40" i="105"/>
  <c r="B40" i="105"/>
  <c r="Q39" i="105"/>
  <c r="B39" i="105"/>
  <c r="Q38" i="105"/>
  <c r="B38" i="105"/>
  <c r="Q37" i="105"/>
  <c r="B37" i="105"/>
  <c r="O36" i="105"/>
  <c r="N36" i="105"/>
  <c r="M36" i="105"/>
  <c r="L36" i="105"/>
  <c r="K36" i="105"/>
  <c r="J36" i="105"/>
  <c r="I36" i="105"/>
  <c r="H36" i="105"/>
  <c r="G36" i="105"/>
  <c r="F36" i="105"/>
  <c r="E36" i="105"/>
  <c r="D36" i="105"/>
  <c r="Q36" i="105" s="1"/>
  <c r="B36" i="105"/>
  <c r="Q35" i="105"/>
  <c r="B35" i="105"/>
  <c r="Q34" i="105"/>
  <c r="B34" i="105"/>
  <c r="Q33" i="105"/>
  <c r="B33" i="105"/>
  <c r="Q32" i="105"/>
  <c r="B32" i="105"/>
  <c r="Q31" i="105"/>
  <c r="B31" i="105"/>
  <c r="Q30" i="105"/>
  <c r="B30" i="105"/>
  <c r="Q29" i="105"/>
  <c r="B29" i="105"/>
  <c r="Q28" i="105"/>
  <c r="B28" i="105"/>
  <c r="Q27" i="105"/>
  <c r="B27" i="105"/>
  <c r="Q26" i="105"/>
  <c r="B26" i="105"/>
  <c r="O25" i="105"/>
  <c r="N25" i="105"/>
  <c r="M25" i="105"/>
  <c r="L25" i="105"/>
  <c r="K25" i="105"/>
  <c r="K24" i="105" s="1"/>
  <c r="J25" i="105"/>
  <c r="I25" i="105"/>
  <c r="H25" i="105"/>
  <c r="G25" i="105"/>
  <c r="F25" i="105"/>
  <c r="E25" i="105"/>
  <c r="D25" i="105"/>
  <c r="D24" i="105" s="1"/>
  <c r="B25" i="105"/>
  <c r="M24" i="105"/>
  <c r="L24" i="105"/>
  <c r="I24" i="105"/>
  <c r="E24" i="105"/>
  <c r="G22" i="105"/>
  <c r="O21" i="105"/>
  <c r="N21" i="105"/>
  <c r="N22" i="105" s="1"/>
  <c r="L21" i="105"/>
  <c r="Q19" i="105"/>
  <c r="B19" i="105"/>
  <c r="Q18" i="105"/>
  <c r="B18" i="105"/>
  <c r="Q17" i="105"/>
  <c r="B17" i="105"/>
  <c r="O16" i="105"/>
  <c r="N16" i="105"/>
  <c r="M16" i="105"/>
  <c r="L16" i="105"/>
  <c r="K16" i="105"/>
  <c r="J16" i="105"/>
  <c r="I16" i="105"/>
  <c r="I21" i="105" s="1"/>
  <c r="I90" i="105" s="1"/>
  <c r="I95" i="105" s="1"/>
  <c r="H16" i="105"/>
  <c r="G16" i="105"/>
  <c r="F16" i="105"/>
  <c r="E16" i="105"/>
  <c r="D16" i="105"/>
  <c r="Q14" i="105"/>
  <c r="G14" i="105"/>
  <c r="F14" i="105"/>
  <c r="E14" i="105"/>
  <c r="D14" i="105"/>
  <c r="B14" i="105"/>
  <c r="Q13" i="105"/>
  <c r="G13" i="105"/>
  <c r="F13" i="105"/>
  <c r="E13" i="105"/>
  <c r="D13" i="105"/>
  <c r="B13" i="105"/>
  <c r="Q12" i="105"/>
  <c r="G12" i="105"/>
  <c r="F12" i="105"/>
  <c r="E12" i="105"/>
  <c r="D12" i="105"/>
  <c r="B12" i="105"/>
  <c r="Q11" i="105"/>
  <c r="Q10" i="105" s="1"/>
  <c r="G11" i="105"/>
  <c r="F11" i="105"/>
  <c r="E11" i="105"/>
  <c r="E10" i="105" s="1"/>
  <c r="D11" i="105"/>
  <c r="D10" i="105" s="1"/>
  <c r="D21" i="105" s="1"/>
  <c r="B11" i="105"/>
  <c r="O10" i="105"/>
  <c r="N10" i="105"/>
  <c r="M10" i="105"/>
  <c r="M21" i="105" s="1"/>
  <c r="L10" i="105"/>
  <c r="K10" i="105"/>
  <c r="K21" i="105" s="1"/>
  <c r="J10" i="105"/>
  <c r="J21" i="105" s="1"/>
  <c r="I10" i="105"/>
  <c r="H10" i="105"/>
  <c r="H21" i="105" s="1"/>
  <c r="G10" i="105"/>
  <c r="G21" i="105" s="1"/>
  <c r="F10" i="105"/>
  <c r="F21" i="105" s="1"/>
  <c r="O8" i="105"/>
  <c r="N8" i="105"/>
  <c r="M8" i="105"/>
  <c r="L8" i="105"/>
  <c r="K8" i="105"/>
  <c r="J8" i="105"/>
  <c r="I8" i="105"/>
  <c r="H8" i="105"/>
  <c r="G8" i="105"/>
  <c r="F8" i="105"/>
  <c r="E8" i="105"/>
  <c r="D8" i="105"/>
  <c r="B5" i="105"/>
  <c r="Q26" i="104"/>
  <c r="Q21" i="104"/>
  <c r="G21" i="104"/>
  <c r="F21" i="104"/>
  <c r="E21" i="104"/>
  <c r="D21" i="104"/>
  <c r="Q19" i="104"/>
  <c r="B19" i="104"/>
  <c r="O18" i="104"/>
  <c r="O17" i="104" s="1"/>
  <c r="N18" i="104"/>
  <c r="M18" i="104"/>
  <c r="L18" i="104"/>
  <c r="K18" i="104"/>
  <c r="K17" i="104" s="1"/>
  <c r="J18" i="104"/>
  <c r="I18" i="104"/>
  <c r="H18" i="104"/>
  <c r="G18" i="104"/>
  <c r="F18" i="104"/>
  <c r="F17" i="104" s="1"/>
  <c r="E18" i="104"/>
  <c r="E17" i="104" s="1"/>
  <c r="D18" i="104"/>
  <c r="B18" i="104"/>
  <c r="N17" i="104"/>
  <c r="M17" i="104"/>
  <c r="L17" i="104"/>
  <c r="J17" i="104"/>
  <c r="I17" i="104"/>
  <c r="H17" i="104"/>
  <c r="G17" i="104"/>
  <c r="D17" i="104"/>
  <c r="N15" i="104"/>
  <c r="M15" i="104"/>
  <c r="K15" i="104"/>
  <c r="N14" i="104"/>
  <c r="J14" i="104"/>
  <c r="D14" i="104"/>
  <c r="D15" i="104" s="1"/>
  <c r="Q12" i="104"/>
  <c r="O12" i="104"/>
  <c r="O14" i="104" s="1"/>
  <c r="N12" i="104"/>
  <c r="M12" i="104"/>
  <c r="L12" i="104"/>
  <c r="K12" i="104"/>
  <c r="J12" i="104"/>
  <c r="I12" i="104"/>
  <c r="H12" i="104"/>
  <c r="G12" i="104"/>
  <c r="G14" i="104" s="1"/>
  <c r="F12" i="104"/>
  <c r="E12" i="104"/>
  <c r="D12" i="104"/>
  <c r="Q10" i="104"/>
  <c r="Q14" i="104" s="1"/>
  <c r="O10" i="104"/>
  <c r="N10" i="104"/>
  <c r="M10" i="104"/>
  <c r="M14" i="104" s="1"/>
  <c r="L10" i="104"/>
  <c r="L14" i="104" s="1"/>
  <c r="K10" i="104"/>
  <c r="K14" i="104" s="1"/>
  <c r="K23" i="104" s="1"/>
  <c r="K28" i="104" s="1"/>
  <c r="J10" i="104"/>
  <c r="I10" i="104"/>
  <c r="I14" i="104" s="1"/>
  <c r="H10" i="104"/>
  <c r="G10" i="104"/>
  <c r="F10" i="104"/>
  <c r="F14" i="104" s="1"/>
  <c r="E10" i="104"/>
  <c r="D10" i="104"/>
  <c r="O8" i="104"/>
  <c r="N8" i="104"/>
  <c r="M8" i="104"/>
  <c r="L8" i="104"/>
  <c r="K8" i="104"/>
  <c r="J8" i="104"/>
  <c r="I8" i="104"/>
  <c r="H8" i="104"/>
  <c r="G8" i="104"/>
  <c r="F8" i="104"/>
  <c r="E8" i="104"/>
  <c r="D8" i="104"/>
  <c r="B5" i="104"/>
  <c r="Q93" i="103"/>
  <c r="G88" i="103"/>
  <c r="F88" i="103"/>
  <c r="E88" i="103"/>
  <c r="D88" i="103"/>
  <c r="Q86" i="103"/>
  <c r="B86" i="103"/>
  <c r="O85" i="103"/>
  <c r="N85" i="103"/>
  <c r="M85" i="103"/>
  <c r="L85" i="103"/>
  <c r="K85" i="103"/>
  <c r="J85" i="103"/>
  <c r="I85" i="103"/>
  <c r="H85" i="103"/>
  <c r="G85" i="103"/>
  <c r="F85" i="103"/>
  <c r="E85" i="103"/>
  <c r="D85" i="103"/>
  <c r="Q85" i="103" s="1"/>
  <c r="B85" i="103"/>
  <c r="Q84" i="103"/>
  <c r="B84" i="103"/>
  <c r="O83" i="103"/>
  <c r="N83" i="103"/>
  <c r="M83" i="103"/>
  <c r="L83" i="103"/>
  <c r="K83" i="103"/>
  <c r="J83" i="103"/>
  <c r="I83" i="103"/>
  <c r="H83" i="103"/>
  <c r="G83" i="103"/>
  <c r="F83" i="103"/>
  <c r="E83" i="103"/>
  <c r="D83" i="103"/>
  <c r="B83" i="103"/>
  <c r="Q82" i="103"/>
  <c r="B82" i="103"/>
  <c r="Q81" i="103"/>
  <c r="B81" i="103"/>
  <c r="Q80" i="103"/>
  <c r="B80" i="103"/>
  <c r="Q79" i="103"/>
  <c r="B79" i="103"/>
  <c r="Q78" i="103"/>
  <c r="B78" i="103"/>
  <c r="Q77" i="103"/>
  <c r="B77" i="103"/>
  <c r="Q76" i="103"/>
  <c r="B76" i="103"/>
  <c r="Q75" i="103"/>
  <c r="B75" i="103"/>
  <c r="O74" i="103"/>
  <c r="N74" i="103"/>
  <c r="M74" i="103"/>
  <c r="L74" i="103"/>
  <c r="L24" i="103" s="1"/>
  <c r="K74" i="103"/>
  <c r="J74" i="103"/>
  <c r="I74" i="103"/>
  <c r="H74" i="103"/>
  <c r="G74" i="103"/>
  <c r="F74" i="103"/>
  <c r="E74" i="103"/>
  <c r="D74" i="103"/>
  <c r="B74" i="103"/>
  <c r="Q73" i="103"/>
  <c r="B73" i="103"/>
  <c r="Q72" i="103"/>
  <c r="B72" i="103"/>
  <c r="Q71" i="103"/>
  <c r="B71" i="103"/>
  <c r="Q70" i="103"/>
  <c r="B70" i="103"/>
  <c r="O69" i="103"/>
  <c r="N69" i="103"/>
  <c r="M69" i="103"/>
  <c r="L69" i="103"/>
  <c r="K69" i="103"/>
  <c r="J69" i="103"/>
  <c r="I69" i="103"/>
  <c r="H69" i="103"/>
  <c r="G69" i="103"/>
  <c r="F69" i="103"/>
  <c r="E69" i="103"/>
  <c r="D69" i="103"/>
  <c r="B69" i="103"/>
  <c r="Q68" i="103"/>
  <c r="B68" i="103"/>
  <c r="Q67" i="103"/>
  <c r="B67" i="103"/>
  <c r="Q66" i="103"/>
  <c r="B66" i="103"/>
  <c r="O65" i="103"/>
  <c r="N65" i="103"/>
  <c r="M65" i="103"/>
  <c r="L65" i="103"/>
  <c r="K65" i="103"/>
  <c r="J65" i="103"/>
  <c r="I65" i="103"/>
  <c r="H65" i="103"/>
  <c r="G65" i="103"/>
  <c r="F65" i="103"/>
  <c r="E65" i="103"/>
  <c r="D65" i="103"/>
  <c r="Q65" i="103" s="1"/>
  <c r="B65" i="103"/>
  <c r="Q64" i="103"/>
  <c r="B64" i="103"/>
  <c r="O63" i="103"/>
  <c r="N63" i="103"/>
  <c r="M63" i="103"/>
  <c r="L63" i="103"/>
  <c r="K63" i="103"/>
  <c r="J63" i="103"/>
  <c r="I63" i="103"/>
  <c r="H63" i="103"/>
  <c r="G63" i="103"/>
  <c r="F63" i="103"/>
  <c r="E63" i="103"/>
  <c r="D63" i="103"/>
  <c r="Q63" i="103" s="1"/>
  <c r="B63" i="103"/>
  <c r="Q62" i="103"/>
  <c r="B62" i="103"/>
  <c r="O61" i="103"/>
  <c r="N61" i="103"/>
  <c r="M61" i="103"/>
  <c r="L61" i="103"/>
  <c r="K61" i="103"/>
  <c r="J61" i="103"/>
  <c r="I61" i="103"/>
  <c r="H61" i="103"/>
  <c r="G61" i="103"/>
  <c r="F61" i="103"/>
  <c r="E61" i="103"/>
  <c r="D61" i="103"/>
  <c r="B61" i="103"/>
  <c r="Q60" i="103"/>
  <c r="B60" i="103"/>
  <c r="O59" i="103"/>
  <c r="N59" i="103"/>
  <c r="M59" i="103"/>
  <c r="L59" i="103"/>
  <c r="K59" i="103"/>
  <c r="J59" i="103"/>
  <c r="I59" i="103"/>
  <c r="H59" i="103"/>
  <c r="G59" i="103"/>
  <c r="F59" i="103"/>
  <c r="E59" i="103"/>
  <c r="D59" i="103"/>
  <c r="B59" i="103"/>
  <c r="Q58" i="103"/>
  <c r="B58" i="103"/>
  <c r="O57" i="103"/>
  <c r="N57" i="103"/>
  <c r="M57" i="103"/>
  <c r="L57" i="103"/>
  <c r="K57" i="103"/>
  <c r="J57" i="103"/>
  <c r="I57" i="103"/>
  <c r="H57" i="103"/>
  <c r="G57" i="103"/>
  <c r="F57" i="103"/>
  <c r="E57" i="103"/>
  <c r="D57" i="103"/>
  <c r="Q57" i="103" s="1"/>
  <c r="B57" i="103"/>
  <c r="Q56" i="103"/>
  <c r="B56" i="103"/>
  <c r="O55" i="103"/>
  <c r="N55" i="103"/>
  <c r="M55" i="103"/>
  <c r="L55" i="103"/>
  <c r="K55" i="103"/>
  <c r="J55" i="103"/>
  <c r="I55" i="103"/>
  <c r="H55" i="103"/>
  <c r="G55" i="103"/>
  <c r="F55" i="103"/>
  <c r="E55" i="103"/>
  <c r="D55" i="103"/>
  <c r="Q55" i="103" s="1"/>
  <c r="B55" i="103"/>
  <c r="Q54" i="103"/>
  <c r="B54" i="103"/>
  <c r="O53" i="103"/>
  <c r="N53" i="103"/>
  <c r="M53" i="103"/>
  <c r="L53" i="103"/>
  <c r="K53" i="103"/>
  <c r="J53" i="103"/>
  <c r="I53" i="103"/>
  <c r="H53" i="103"/>
  <c r="G53" i="103"/>
  <c r="F53" i="103"/>
  <c r="E53" i="103"/>
  <c r="D53" i="103"/>
  <c r="B53" i="103"/>
  <c r="Q52" i="103"/>
  <c r="B52" i="103"/>
  <c r="O51" i="103"/>
  <c r="N51" i="103"/>
  <c r="M51" i="103"/>
  <c r="L51" i="103"/>
  <c r="K51" i="103"/>
  <c r="J51" i="103"/>
  <c r="I51" i="103"/>
  <c r="H51" i="103"/>
  <c r="G51" i="103"/>
  <c r="F51" i="103"/>
  <c r="E51" i="103"/>
  <c r="D51" i="103"/>
  <c r="B51" i="103"/>
  <c r="Q50" i="103"/>
  <c r="B50" i="103"/>
  <c r="O49" i="103"/>
  <c r="N49" i="103"/>
  <c r="M49" i="103"/>
  <c r="L49" i="103"/>
  <c r="K49" i="103"/>
  <c r="J49" i="103"/>
  <c r="I49" i="103"/>
  <c r="H49" i="103"/>
  <c r="G49" i="103"/>
  <c r="F49" i="103"/>
  <c r="E49" i="103"/>
  <c r="D49" i="103"/>
  <c r="Q49" i="103" s="1"/>
  <c r="B49" i="103"/>
  <c r="Q48" i="103"/>
  <c r="B48" i="103"/>
  <c r="O47" i="103"/>
  <c r="N47" i="103"/>
  <c r="M47" i="103"/>
  <c r="L47" i="103"/>
  <c r="K47" i="103"/>
  <c r="J47" i="103"/>
  <c r="I47" i="103"/>
  <c r="H47" i="103"/>
  <c r="G47" i="103"/>
  <c r="G24" i="103" s="1"/>
  <c r="G90" i="103" s="1"/>
  <c r="F47" i="103"/>
  <c r="E47" i="103"/>
  <c r="E24" i="103" s="1"/>
  <c r="D47" i="103"/>
  <c r="B47" i="103"/>
  <c r="Q46" i="103"/>
  <c r="B46" i="103"/>
  <c r="Q45" i="103"/>
  <c r="B45" i="103"/>
  <c r="Q44" i="103"/>
  <c r="B44" i="103"/>
  <c r="Q43" i="103"/>
  <c r="B43" i="103"/>
  <c r="Q42" i="103"/>
  <c r="B42" i="103"/>
  <c r="Q41" i="103"/>
  <c r="B41" i="103"/>
  <c r="Q40" i="103"/>
  <c r="B40" i="103"/>
  <c r="Q39" i="103"/>
  <c r="B39" i="103"/>
  <c r="Q38" i="103"/>
  <c r="B38" i="103"/>
  <c r="Q37" i="103"/>
  <c r="B37" i="103"/>
  <c r="O36" i="103"/>
  <c r="O24" i="103" s="1"/>
  <c r="N36" i="103"/>
  <c r="M36" i="103"/>
  <c r="L36" i="103"/>
  <c r="K36" i="103"/>
  <c r="J36" i="103"/>
  <c r="I36" i="103"/>
  <c r="H36" i="103"/>
  <c r="G36" i="103"/>
  <c r="F36" i="103"/>
  <c r="E36" i="103"/>
  <c r="D36" i="103"/>
  <c r="Q36" i="103" s="1"/>
  <c r="B36" i="103"/>
  <c r="Q35" i="103"/>
  <c r="B35" i="103"/>
  <c r="Q34" i="103"/>
  <c r="B34" i="103"/>
  <c r="Q33" i="103"/>
  <c r="B33" i="103"/>
  <c r="Q32" i="103"/>
  <c r="B32" i="103"/>
  <c r="Q31" i="103"/>
  <c r="B31" i="103"/>
  <c r="Q30" i="103"/>
  <c r="B30" i="103"/>
  <c r="Q29" i="103"/>
  <c r="B29" i="103"/>
  <c r="Q28" i="103"/>
  <c r="B28" i="103"/>
  <c r="Q27" i="103"/>
  <c r="B27" i="103"/>
  <c r="Q26" i="103"/>
  <c r="B26" i="103"/>
  <c r="O25" i="103"/>
  <c r="N25" i="103"/>
  <c r="N24" i="103" s="1"/>
  <c r="M25" i="103"/>
  <c r="M24" i="103" s="1"/>
  <c r="L25" i="103"/>
  <c r="K25" i="103"/>
  <c r="K24" i="103" s="1"/>
  <c r="J25" i="103"/>
  <c r="I25" i="103"/>
  <c r="H25" i="103"/>
  <c r="G25" i="103"/>
  <c r="F25" i="103"/>
  <c r="E25" i="103"/>
  <c r="D25" i="103"/>
  <c r="B25" i="103"/>
  <c r="H24" i="103"/>
  <c r="D24" i="103"/>
  <c r="Q19" i="103"/>
  <c r="Q16" i="103" s="1"/>
  <c r="B19" i="103"/>
  <c r="Q18" i="103"/>
  <c r="B18" i="103"/>
  <c r="Q17" i="103"/>
  <c r="B17" i="103"/>
  <c r="O16" i="103"/>
  <c r="N16" i="103"/>
  <c r="M16" i="103"/>
  <c r="L16" i="103"/>
  <c r="L21" i="103" s="1"/>
  <c r="K16" i="103"/>
  <c r="J16" i="103"/>
  <c r="I16" i="103"/>
  <c r="H16" i="103"/>
  <c r="G16" i="103"/>
  <c r="F16" i="103"/>
  <c r="E16" i="103"/>
  <c r="D16" i="103"/>
  <c r="G14" i="103"/>
  <c r="F14" i="103"/>
  <c r="E14" i="103"/>
  <c r="D14" i="103"/>
  <c r="B14" i="103"/>
  <c r="Q13" i="103"/>
  <c r="G13" i="103"/>
  <c r="F13" i="103"/>
  <c r="E13" i="103"/>
  <c r="D13" i="103"/>
  <c r="B13" i="103"/>
  <c r="G12" i="103"/>
  <c r="F12" i="103"/>
  <c r="F10" i="103" s="1"/>
  <c r="F21" i="103" s="1"/>
  <c r="E12" i="103"/>
  <c r="D12" i="103"/>
  <c r="B12" i="103"/>
  <c r="Q11" i="103"/>
  <c r="G11" i="103"/>
  <c r="G10" i="103" s="1"/>
  <c r="G21" i="103" s="1"/>
  <c r="G22" i="103" s="1"/>
  <c r="F11" i="103"/>
  <c r="E11" i="103"/>
  <c r="D11" i="103"/>
  <c r="D10" i="103" s="1"/>
  <c r="D21" i="103" s="1"/>
  <c r="B11" i="103"/>
  <c r="O10" i="103"/>
  <c r="O21" i="103" s="1"/>
  <c r="N10" i="103"/>
  <c r="N21" i="103" s="1"/>
  <c r="M10" i="103"/>
  <c r="M21" i="103" s="1"/>
  <c r="L10" i="103"/>
  <c r="K10" i="103"/>
  <c r="K21" i="103" s="1"/>
  <c r="J10" i="103"/>
  <c r="J21" i="103" s="1"/>
  <c r="I10" i="103"/>
  <c r="I21" i="103" s="1"/>
  <c r="H10" i="103"/>
  <c r="H21" i="103" s="1"/>
  <c r="O8" i="103"/>
  <c r="N8" i="103"/>
  <c r="M8" i="103"/>
  <c r="L8" i="103"/>
  <c r="K8" i="103"/>
  <c r="J8" i="103"/>
  <c r="I8" i="103"/>
  <c r="H8" i="103"/>
  <c r="G8" i="103"/>
  <c r="F8" i="103"/>
  <c r="E8" i="103"/>
  <c r="D8" i="103"/>
  <c r="B5" i="103"/>
  <c r="Q60" i="102"/>
  <c r="I57" i="102"/>
  <c r="G55" i="102"/>
  <c r="F55" i="102"/>
  <c r="E55" i="102"/>
  <c r="D55" i="102"/>
  <c r="Q55" i="102" s="1"/>
  <c r="Q53" i="102"/>
  <c r="B53" i="102"/>
  <c r="O52" i="102"/>
  <c r="N52" i="102"/>
  <c r="M52" i="102"/>
  <c r="L52" i="102"/>
  <c r="K52" i="102"/>
  <c r="J52" i="102"/>
  <c r="I52" i="102"/>
  <c r="H52" i="102"/>
  <c r="G52" i="102"/>
  <c r="F52" i="102"/>
  <c r="E52" i="102"/>
  <c r="D52" i="102"/>
  <c r="B52" i="102"/>
  <c r="Q51" i="102"/>
  <c r="B51" i="102"/>
  <c r="O50" i="102"/>
  <c r="N50" i="102"/>
  <c r="M50" i="102"/>
  <c r="L50" i="102"/>
  <c r="K50" i="102"/>
  <c r="J50" i="102"/>
  <c r="I50" i="102"/>
  <c r="H50" i="102"/>
  <c r="G50" i="102"/>
  <c r="F50" i="102"/>
  <c r="E50" i="102"/>
  <c r="D50" i="102"/>
  <c r="B50" i="102"/>
  <c r="Q49" i="102"/>
  <c r="B49" i="102"/>
  <c r="Q48" i="102"/>
  <c r="B48" i="102"/>
  <c r="O47" i="102"/>
  <c r="N47" i="102"/>
  <c r="M47" i="102"/>
  <c r="L47" i="102"/>
  <c r="K47" i="102"/>
  <c r="J47" i="102"/>
  <c r="I47" i="102"/>
  <c r="H47" i="102"/>
  <c r="G47" i="102"/>
  <c r="F47" i="102"/>
  <c r="E47" i="102"/>
  <c r="D47" i="102"/>
  <c r="Q47" i="102" s="1"/>
  <c r="B47" i="102"/>
  <c r="Q46" i="102"/>
  <c r="B46" i="102"/>
  <c r="Q45" i="102"/>
  <c r="B45" i="102"/>
  <c r="Q44" i="102"/>
  <c r="B44" i="102"/>
  <c r="O43" i="102"/>
  <c r="N43" i="102"/>
  <c r="M43" i="102"/>
  <c r="L43" i="102"/>
  <c r="L17" i="102" s="1"/>
  <c r="K43" i="102"/>
  <c r="J43" i="102"/>
  <c r="I43" i="102"/>
  <c r="H43" i="102"/>
  <c r="G43" i="102"/>
  <c r="F43" i="102"/>
  <c r="E43" i="102"/>
  <c r="D43" i="102"/>
  <c r="B43" i="102"/>
  <c r="Q42" i="102"/>
  <c r="B42" i="102"/>
  <c r="O41" i="102"/>
  <c r="N41" i="102"/>
  <c r="M41" i="102"/>
  <c r="L41" i="102"/>
  <c r="K41" i="102"/>
  <c r="J41" i="102"/>
  <c r="I41" i="102"/>
  <c r="H41" i="102"/>
  <c r="G41" i="102"/>
  <c r="F41" i="102"/>
  <c r="E41" i="102"/>
  <c r="D41" i="102"/>
  <c r="Q41" i="102" s="1"/>
  <c r="B41" i="102"/>
  <c r="Q40" i="102"/>
  <c r="B40" i="102"/>
  <c r="O39" i="102"/>
  <c r="N39" i="102"/>
  <c r="M39" i="102"/>
  <c r="L39" i="102"/>
  <c r="K39" i="102"/>
  <c r="J39" i="102"/>
  <c r="I39" i="102"/>
  <c r="H39" i="102"/>
  <c r="H17" i="102" s="1"/>
  <c r="G39" i="102"/>
  <c r="F39" i="102"/>
  <c r="E39" i="102"/>
  <c r="D39" i="102"/>
  <c r="B39" i="102"/>
  <c r="Q38" i="102"/>
  <c r="B38" i="102"/>
  <c r="Q37" i="102"/>
  <c r="B37" i="102"/>
  <c r="Q36" i="102"/>
  <c r="B36" i="102"/>
  <c r="Q35" i="102"/>
  <c r="B35" i="102"/>
  <c r="Q34" i="102"/>
  <c r="B34" i="102"/>
  <c r="Q33" i="102"/>
  <c r="B33" i="102"/>
  <c r="Q32" i="102"/>
  <c r="B32" i="102"/>
  <c r="Q31" i="102"/>
  <c r="B31" i="102"/>
  <c r="Q30" i="102"/>
  <c r="B30" i="102"/>
  <c r="Q29" i="102"/>
  <c r="B29" i="102"/>
  <c r="O28" i="102"/>
  <c r="N28" i="102"/>
  <c r="M28" i="102"/>
  <c r="L28" i="102"/>
  <c r="K28" i="102"/>
  <c r="J28" i="102"/>
  <c r="I28" i="102"/>
  <c r="H28" i="102"/>
  <c r="G28" i="102"/>
  <c r="F28" i="102"/>
  <c r="E28" i="102"/>
  <c r="E17" i="102" s="1"/>
  <c r="D28" i="102"/>
  <c r="B28" i="102"/>
  <c r="Q27" i="102"/>
  <c r="B27" i="102"/>
  <c r="Q26" i="102"/>
  <c r="B26" i="102"/>
  <c r="Q25" i="102"/>
  <c r="B25" i="102"/>
  <c r="Q24" i="102"/>
  <c r="B24" i="102"/>
  <c r="Q23" i="102"/>
  <c r="B23" i="102"/>
  <c r="Q22" i="102"/>
  <c r="B22" i="102"/>
  <c r="Q21" i="102"/>
  <c r="B21" i="102"/>
  <c r="Q20" i="102"/>
  <c r="B20" i="102"/>
  <c r="Q19" i="102"/>
  <c r="B19" i="102"/>
  <c r="O18" i="102"/>
  <c r="N18" i="102"/>
  <c r="N17" i="102" s="1"/>
  <c r="M18" i="102"/>
  <c r="M17" i="102" s="1"/>
  <c r="L18" i="102"/>
  <c r="K18" i="102"/>
  <c r="K17" i="102" s="1"/>
  <c r="J18" i="102"/>
  <c r="J17" i="102" s="1"/>
  <c r="J57" i="102" s="1"/>
  <c r="I18" i="102"/>
  <c r="I17" i="102" s="1"/>
  <c r="H18" i="102"/>
  <c r="G18" i="102"/>
  <c r="F18" i="102"/>
  <c r="E18" i="102"/>
  <c r="D18" i="102"/>
  <c r="B18" i="102"/>
  <c r="O17" i="102"/>
  <c r="D17" i="102"/>
  <c r="Q15" i="102"/>
  <c r="E15" i="102"/>
  <c r="N14" i="102"/>
  <c r="N15" i="102" s="1"/>
  <c r="J14" i="102"/>
  <c r="J15" i="102" s="1"/>
  <c r="E14" i="102"/>
  <c r="Q12" i="102"/>
  <c r="O12" i="102"/>
  <c r="O14" i="102" s="1"/>
  <c r="N12" i="102"/>
  <c r="M12" i="102"/>
  <c r="M14" i="102" s="1"/>
  <c r="L12" i="102"/>
  <c r="K12" i="102"/>
  <c r="J12" i="102"/>
  <c r="I12" i="102"/>
  <c r="H12" i="102"/>
  <c r="G12" i="102"/>
  <c r="F12" i="102"/>
  <c r="F14" i="102" s="1"/>
  <c r="E12" i="102"/>
  <c r="D12" i="102"/>
  <c r="Q10" i="102"/>
  <c r="Q14" i="102" s="1"/>
  <c r="O10" i="102"/>
  <c r="N10" i="102"/>
  <c r="M10" i="102"/>
  <c r="L10" i="102"/>
  <c r="L14" i="102" s="1"/>
  <c r="K10" i="102"/>
  <c r="K14" i="102" s="1"/>
  <c r="J10" i="102"/>
  <c r="I10" i="102"/>
  <c r="I14" i="102" s="1"/>
  <c r="I15" i="102" s="1"/>
  <c r="H10" i="102"/>
  <c r="H14" i="102" s="1"/>
  <c r="G10" i="102"/>
  <c r="G14" i="102" s="1"/>
  <c r="F10" i="102"/>
  <c r="E10" i="102"/>
  <c r="D10" i="102"/>
  <c r="D14" i="102" s="1"/>
  <c r="O8" i="102"/>
  <c r="N8" i="102"/>
  <c r="M8" i="102"/>
  <c r="L8" i="102"/>
  <c r="K8" i="102"/>
  <c r="J8" i="102"/>
  <c r="I8" i="102"/>
  <c r="H8" i="102"/>
  <c r="G8" i="102"/>
  <c r="F8" i="102"/>
  <c r="E8" i="102"/>
  <c r="D8" i="102"/>
  <c r="B5" i="102"/>
  <c r="Q38" i="101"/>
  <c r="O35" i="101"/>
  <c r="Q33" i="101"/>
  <c r="G33" i="101"/>
  <c r="F33" i="101"/>
  <c r="E33" i="101"/>
  <c r="D33" i="101"/>
  <c r="Q31" i="101"/>
  <c r="B31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B30" i="101"/>
  <c r="Q29" i="101"/>
  <c r="B29" i="101"/>
  <c r="O28" i="101"/>
  <c r="O17" i="101" s="1"/>
  <c r="N28" i="101"/>
  <c r="M28" i="101"/>
  <c r="L28" i="101"/>
  <c r="K28" i="101"/>
  <c r="J28" i="101"/>
  <c r="I28" i="101"/>
  <c r="H28" i="101"/>
  <c r="G28" i="101"/>
  <c r="F28" i="101"/>
  <c r="E28" i="101"/>
  <c r="D28" i="101"/>
  <c r="Q28" i="101" s="1"/>
  <c r="B28" i="101"/>
  <c r="Q27" i="101"/>
  <c r="B27" i="101"/>
  <c r="O26" i="101"/>
  <c r="N26" i="101"/>
  <c r="M26" i="101"/>
  <c r="L26" i="101"/>
  <c r="K26" i="101"/>
  <c r="J26" i="101"/>
  <c r="I26" i="101"/>
  <c r="H26" i="101"/>
  <c r="G26" i="101"/>
  <c r="G17" i="101" s="1"/>
  <c r="F26" i="101"/>
  <c r="E26" i="101"/>
  <c r="E17" i="101" s="1"/>
  <c r="D26" i="101"/>
  <c r="B26" i="101"/>
  <c r="Q25" i="101"/>
  <c r="B25" i="101"/>
  <c r="O24" i="101"/>
  <c r="N24" i="101"/>
  <c r="M24" i="101"/>
  <c r="L24" i="101"/>
  <c r="K24" i="101"/>
  <c r="J24" i="101"/>
  <c r="I24" i="101"/>
  <c r="H24" i="101"/>
  <c r="G24" i="101"/>
  <c r="F24" i="101"/>
  <c r="E24" i="101"/>
  <c r="D24" i="101"/>
  <c r="B24" i="101"/>
  <c r="Q23" i="101"/>
  <c r="B23" i="101"/>
  <c r="Q22" i="101"/>
  <c r="B22" i="101"/>
  <c r="Q21" i="101"/>
  <c r="B21" i="101"/>
  <c r="Q20" i="101"/>
  <c r="B20" i="101"/>
  <c r="Q19" i="101"/>
  <c r="B19" i="101"/>
  <c r="O18" i="101"/>
  <c r="N18" i="101"/>
  <c r="M18" i="101"/>
  <c r="L18" i="101"/>
  <c r="K18" i="101"/>
  <c r="J18" i="101"/>
  <c r="I18" i="101"/>
  <c r="I17" i="101" s="1"/>
  <c r="H18" i="101"/>
  <c r="H17" i="101" s="1"/>
  <c r="G18" i="101"/>
  <c r="F18" i="101"/>
  <c r="E18" i="101"/>
  <c r="D18" i="101"/>
  <c r="Q18" i="101" s="1"/>
  <c r="B18" i="101"/>
  <c r="N17" i="101"/>
  <c r="M17" i="101"/>
  <c r="J17" i="101"/>
  <c r="F17" i="101"/>
  <c r="N15" i="101"/>
  <c r="Q14" i="101"/>
  <c r="Q15" i="101" s="1"/>
  <c r="O14" i="101"/>
  <c r="O15" i="101" s="1"/>
  <c r="L14" i="101"/>
  <c r="L15" i="101" s="1"/>
  <c r="H14" i="101"/>
  <c r="H15" i="101" s="1"/>
  <c r="D14" i="101"/>
  <c r="D15" i="101" s="1"/>
  <c r="Q12" i="101"/>
  <c r="O12" i="101"/>
  <c r="N12" i="101"/>
  <c r="M12" i="101"/>
  <c r="M14" i="101" s="1"/>
  <c r="L12" i="101"/>
  <c r="K12" i="101"/>
  <c r="K14" i="101" s="1"/>
  <c r="J12" i="101"/>
  <c r="I12" i="101"/>
  <c r="I14" i="101" s="1"/>
  <c r="H12" i="101"/>
  <c r="G12" i="101"/>
  <c r="F12" i="101"/>
  <c r="E12" i="101"/>
  <c r="D12" i="101"/>
  <c r="Q10" i="101"/>
  <c r="O10" i="101"/>
  <c r="N10" i="101"/>
  <c r="N14" i="101" s="1"/>
  <c r="M10" i="101"/>
  <c r="L10" i="101"/>
  <c r="K10" i="101"/>
  <c r="J10" i="101"/>
  <c r="J14" i="101" s="1"/>
  <c r="I10" i="101"/>
  <c r="H10" i="101"/>
  <c r="G10" i="101"/>
  <c r="G14" i="101" s="1"/>
  <c r="F10" i="101"/>
  <c r="F14" i="101" s="1"/>
  <c r="E10" i="101"/>
  <c r="D10" i="101"/>
  <c r="O8" i="101"/>
  <c r="N8" i="101"/>
  <c r="M8" i="101"/>
  <c r="L8" i="101"/>
  <c r="K8" i="101"/>
  <c r="J8" i="101"/>
  <c r="I8" i="101"/>
  <c r="H8" i="101"/>
  <c r="G8" i="101"/>
  <c r="F8" i="101"/>
  <c r="E8" i="101"/>
  <c r="D8" i="101"/>
  <c r="B5" i="101"/>
  <c r="Q32" i="100"/>
  <c r="L30" i="100"/>
  <c r="G27" i="100"/>
  <c r="F27" i="100"/>
  <c r="Q27" i="100" s="1"/>
  <c r="E27" i="100"/>
  <c r="D27" i="100"/>
  <c r="Q25" i="100"/>
  <c r="B25" i="100"/>
  <c r="O24" i="100"/>
  <c r="N24" i="100"/>
  <c r="M24" i="100"/>
  <c r="L24" i="100"/>
  <c r="K24" i="100"/>
  <c r="J24" i="100"/>
  <c r="I24" i="100"/>
  <c r="H24" i="100"/>
  <c r="G24" i="100"/>
  <c r="F24" i="100"/>
  <c r="E24" i="100"/>
  <c r="D24" i="100"/>
  <c r="Q24" i="100" s="1"/>
  <c r="B24" i="100"/>
  <c r="Q23" i="100"/>
  <c r="B23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B22" i="100"/>
  <c r="Q21" i="100"/>
  <c r="B21" i="100"/>
  <c r="O20" i="100"/>
  <c r="O17" i="100" s="1"/>
  <c r="N20" i="100"/>
  <c r="M20" i="100"/>
  <c r="L20" i="100"/>
  <c r="K20" i="100"/>
  <c r="J20" i="100"/>
  <c r="I20" i="100"/>
  <c r="H20" i="100"/>
  <c r="G20" i="100"/>
  <c r="G17" i="100" s="1"/>
  <c r="F20" i="100"/>
  <c r="E20" i="100"/>
  <c r="E17" i="100" s="1"/>
  <c r="D20" i="100"/>
  <c r="B20" i="100"/>
  <c r="Q19" i="100"/>
  <c r="B19" i="100"/>
  <c r="O18" i="100"/>
  <c r="N18" i="100"/>
  <c r="N17" i="100" s="1"/>
  <c r="M18" i="100"/>
  <c r="L18" i="100"/>
  <c r="K18" i="100"/>
  <c r="J18" i="100"/>
  <c r="I18" i="100"/>
  <c r="I17" i="100" s="1"/>
  <c r="H18" i="100"/>
  <c r="G18" i="100"/>
  <c r="F18" i="100"/>
  <c r="E18" i="100"/>
  <c r="D18" i="100"/>
  <c r="Q18" i="100" s="1"/>
  <c r="B18" i="100"/>
  <c r="M17" i="100"/>
  <c r="L17" i="100"/>
  <c r="K17" i="100"/>
  <c r="H17" i="100"/>
  <c r="D17" i="100"/>
  <c r="E15" i="100"/>
  <c r="O14" i="100"/>
  <c r="N14" i="100"/>
  <c r="N29" i="100" s="1"/>
  <c r="M14" i="100"/>
  <c r="M29" i="100" s="1"/>
  <c r="J14" i="100"/>
  <c r="J15" i="100" s="1"/>
  <c r="F14" i="100"/>
  <c r="Q12" i="100"/>
  <c r="O12" i="100"/>
  <c r="N12" i="100"/>
  <c r="M12" i="100"/>
  <c r="L12" i="100"/>
  <c r="K12" i="100"/>
  <c r="K14" i="100" s="1"/>
  <c r="J12" i="100"/>
  <c r="I12" i="100"/>
  <c r="I14" i="100" s="1"/>
  <c r="H12" i="100"/>
  <c r="G12" i="100"/>
  <c r="G14" i="100" s="1"/>
  <c r="F12" i="100"/>
  <c r="E12" i="100"/>
  <c r="D12" i="100"/>
  <c r="Q10" i="100"/>
  <c r="O10" i="100"/>
  <c r="N10" i="100"/>
  <c r="M10" i="100"/>
  <c r="L10" i="100"/>
  <c r="L14" i="100" s="1"/>
  <c r="L29" i="100" s="1"/>
  <c r="L34" i="100" s="1"/>
  <c r="K10" i="100"/>
  <c r="J10" i="100"/>
  <c r="I10" i="100"/>
  <c r="H10" i="100"/>
  <c r="H14" i="100" s="1"/>
  <c r="G10" i="100"/>
  <c r="F10" i="100"/>
  <c r="E10" i="100"/>
  <c r="E14" i="100" s="1"/>
  <c r="E29" i="100" s="1"/>
  <c r="D10" i="100"/>
  <c r="O8" i="100"/>
  <c r="N8" i="100"/>
  <c r="M8" i="100"/>
  <c r="L8" i="100"/>
  <c r="K8" i="100"/>
  <c r="J8" i="100"/>
  <c r="I8" i="100"/>
  <c r="H8" i="100"/>
  <c r="G8" i="100"/>
  <c r="F8" i="100"/>
  <c r="E8" i="100"/>
  <c r="D8" i="100"/>
  <c r="B5" i="100"/>
  <c r="Q55" i="99"/>
  <c r="G50" i="99"/>
  <c r="F50" i="99"/>
  <c r="E50" i="99"/>
  <c r="D50" i="99"/>
  <c r="Q48" i="99"/>
  <c r="B48" i="99"/>
  <c r="O47" i="99"/>
  <c r="N47" i="99"/>
  <c r="M47" i="99"/>
  <c r="L47" i="99"/>
  <c r="K47" i="99"/>
  <c r="J47" i="99"/>
  <c r="I47" i="99"/>
  <c r="H47" i="99"/>
  <c r="G47" i="99"/>
  <c r="G17" i="99" s="1"/>
  <c r="F47" i="99"/>
  <c r="E47" i="99"/>
  <c r="D47" i="99"/>
  <c r="B47" i="99"/>
  <c r="Q46" i="99"/>
  <c r="B46" i="99"/>
  <c r="O45" i="99"/>
  <c r="N45" i="99"/>
  <c r="M45" i="99"/>
  <c r="L45" i="99"/>
  <c r="K45" i="99"/>
  <c r="J45" i="99"/>
  <c r="I45" i="99"/>
  <c r="H45" i="99"/>
  <c r="G45" i="99"/>
  <c r="F45" i="99"/>
  <c r="E45" i="99"/>
  <c r="D45" i="99"/>
  <c r="Q45" i="99" s="1"/>
  <c r="B45" i="99"/>
  <c r="Q44" i="99"/>
  <c r="B44" i="99"/>
  <c r="O43" i="99"/>
  <c r="N43" i="99"/>
  <c r="M43" i="99"/>
  <c r="L43" i="99"/>
  <c r="L17" i="99" s="1"/>
  <c r="K43" i="99"/>
  <c r="J43" i="99"/>
  <c r="I43" i="99"/>
  <c r="H43" i="99"/>
  <c r="G43" i="99"/>
  <c r="F43" i="99"/>
  <c r="E43" i="99"/>
  <c r="D43" i="99"/>
  <c r="B43" i="99"/>
  <c r="Q42" i="99"/>
  <c r="B42" i="99"/>
  <c r="Q41" i="99"/>
  <c r="B41" i="99"/>
  <c r="O40" i="99"/>
  <c r="N40" i="99"/>
  <c r="M40" i="99"/>
  <c r="L40" i="99"/>
  <c r="K40" i="99"/>
  <c r="J40" i="99"/>
  <c r="I40" i="99"/>
  <c r="H40" i="99"/>
  <c r="G40" i="99"/>
  <c r="F40" i="99"/>
  <c r="E40" i="99"/>
  <c r="D40" i="99"/>
  <c r="Q40" i="99" s="1"/>
  <c r="B40" i="99"/>
  <c r="Q39" i="99"/>
  <c r="B39" i="99"/>
  <c r="O38" i="99"/>
  <c r="N38" i="99"/>
  <c r="M38" i="99"/>
  <c r="L38" i="99"/>
  <c r="K38" i="99"/>
  <c r="J38" i="99"/>
  <c r="I38" i="99"/>
  <c r="H38" i="99"/>
  <c r="G38" i="99"/>
  <c r="F38" i="99"/>
  <c r="E38" i="99"/>
  <c r="D38" i="99"/>
  <c r="B38" i="99"/>
  <c r="Q37" i="99"/>
  <c r="B37" i="99"/>
  <c r="Q36" i="99"/>
  <c r="B36" i="99"/>
  <c r="Q35" i="99"/>
  <c r="B35" i="99"/>
  <c r="Q34" i="99"/>
  <c r="B34" i="99"/>
  <c r="Q33" i="99"/>
  <c r="B33" i="99"/>
  <c r="Q32" i="99"/>
  <c r="B32" i="99"/>
  <c r="Q31" i="99"/>
  <c r="B31" i="99"/>
  <c r="Q30" i="99"/>
  <c r="B30" i="99"/>
  <c r="Q29" i="99"/>
  <c r="B29" i="99"/>
  <c r="Q28" i="99"/>
  <c r="B28" i="99"/>
  <c r="O27" i="99"/>
  <c r="N27" i="99"/>
  <c r="M27" i="99"/>
  <c r="L27" i="99"/>
  <c r="K27" i="99"/>
  <c r="K17" i="99" s="1"/>
  <c r="J27" i="99"/>
  <c r="I27" i="99"/>
  <c r="H27" i="99"/>
  <c r="H17" i="99" s="1"/>
  <c r="G27" i="99"/>
  <c r="F27" i="99"/>
  <c r="E27" i="99"/>
  <c r="D27" i="99"/>
  <c r="Q27" i="99" s="1"/>
  <c r="B27" i="99"/>
  <c r="Q26" i="99"/>
  <c r="B26" i="99"/>
  <c r="Q25" i="99"/>
  <c r="B25" i="99"/>
  <c r="Q24" i="99"/>
  <c r="B24" i="99"/>
  <c r="Q23" i="99"/>
  <c r="B23" i="99"/>
  <c r="Q22" i="99"/>
  <c r="B22" i="99"/>
  <c r="Q21" i="99"/>
  <c r="B21" i="99"/>
  <c r="Q20" i="99"/>
  <c r="B20" i="99"/>
  <c r="Q19" i="99"/>
  <c r="B19" i="99"/>
  <c r="O18" i="99"/>
  <c r="N18" i="99"/>
  <c r="N17" i="99" s="1"/>
  <c r="M18" i="99"/>
  <c r="M17" i="99" s="1"/>
  <c r="L18" i="99"/>
  <c r="K18" i="99"/>
  <c r="J18" i="99"/>
  <c r="J17" i="99" s="1"/>
  <c r="I18" i="99"/>
  <c r="I17" i="99" s="1"/>
  <c r="H18" i="99"/>
  <c r="G18" i="99"/>
  <c r="F18" i="99"/>
  <c r="E18" i="99"/>
  <c r="D18" i="99"/>
  <c r="D17" i="99" s="1"/>
  <c r="B18" i="99"/>
  <c r="F17" i="99"/>
  <c r="E17" i="99"/>
  <c r="E15" i="99"/>
  <c r="M14" i="99"/>
  <c r="M52" i="99" s="1"/>
  <c r="H14" i="99"/>
  <c r="F14" i="99"/>
  <c r="F15" i="99" s="1"/>
  <c r="E14" i="99"/>
  <c r="Q12" i="99"/>
  <c r="O12" i="99"/>
  <c r="N12" i="99"/>
  <c r="N14" i="99" s="1"/>
  <c r="M12" i="99"/>
  <c r="L12" i="99"/>
  <c r="K12" i="99"/>
  <c r="J12" i="99"/>
  <c r="I12" i="99"/>
  <c r="I14" i="99" s="1"/>
  <c r="H12" i="99"/>
  <c r="G12" i="99"/>
  <c r="G14" i="99" s="1"/>
  <c r="G52" i="99" s="1"/>
  <c r="F12" i="99"/>
  <c r="E12" i="99"/>
  <c r="D12" i="99"/>
  <c r="Q10" i="99"/>
  <c r="Q14" i="99" s="1"/>
  <c r="O10" i="99"/>
  <c r="O14" i="99" s="1"/>
  <c r="N10" i="99"/>
  <c r="M10" i="99"/>
  <c r="L10" i="99"/>
  <c r="L14" i="99" s="1"/>
  <c r="K10" i="99"/>
  <c r="K14" i="99" s="1"/>
  <c r="J10" i="99"/>
  <c r="J14" i="99" s="1"/>
  <c r="I10" i="99"/>
  <c r="H10" i="99"/>
  <c r="G10" i="99"/>
  <c r="F10" i="99"/>
  <c r="E10" i="99"/>
  <c r="D10" i="99"/>
  <c r="D14" i="99" s="1"/>
  <c r="O8" i="99"/>
  <c r="N8" i="99"/>
  <c r="M8" i="99"/>
  <c r="L8" i="99"/>
  <c r="K8" i="99"/>
  <c r="J8" i="99"/>
  <c r="I8" i="99"/>
  <c r="H8" i="99"/>
  <c r="G8" i="99"/>
  <c r="F8" i="99"/>
  <c r="E8" i="99"/>
  <c r="D8" i="99"/>
  <c r="B5" i="99"/>
  <c r="Q25" i="98"/>
  <c r="G20" i="98"/>
  <c r="F20" i="98"/>
  <c r="E20" i="98"/>
  <c r="D20" i="98"/>
  <c r="Q20" i="98" s="1"/>
  <c r="Q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N15" i="98"/>
  <c r="L15" i="98"/>
  <c r="Q13" i="98"/>
  <c r="O13" i="98"/>
  <c r="O15" i="98" s="1"/>
  <c r="N13" i="98"/>
  <c r="M13" i="98"/>
  <c r="M15" i="98" s="1"/>
  <c r="M22" i="98" s="1"/>
  <c r="L13" i="98"/>
  <c r="K13" i="98"/>
  <c r="J13" i="98"/>
  <c r="I13" i="98"/>
  <c r="H13" i="98"/>
  <c r="G13" i="98"/>
  <c r="F13" i="98"/>
  <c r="E13" i="98"/>
  <c r="D13" i="98"/>
  <c r="Q11" i="98"/>
  <c r="Q10" i="98" s="1"/>
  <c r="Q15" i="98" s="1"/>
  <c r="G11" i="98"/>
  <c r="G10" i="98" s="1"/>
  <c r="G15" i="98" s="1"/>
  <c r="F11" i="98"/>
  <c r="F10" i="98" s="1"/>
  <c r="F15" i="98" s="1"/>
  <c r="F16" i="98" s="1"/>
  <c r="E11" i="98"/>
  <c r="E10" i="98" s="1"/>
  <c r="E15" i="98" s="1"/>
  <c r="D11" i="98"/>
  <c r="B11" i="98"/>
  <c r="O10" i="98"/>
  <c r="N10" i="98"/>
  <c r="M10" i="98"/>
  <c r="L10" i="98"/>
  <c r="K10" i="98"/>
  <c r="K15" i="98" s="1"/>
  <c r="J10" i="98"/>
  <c r="J15" i="98" s="1"/>
  <c r="I10" i="98"/>
  <c r="I15" i="98" s="1"/>
  <c r="H10" i="98"/>
  <c r="H15" i="98" s="1"/>
  <c r="D10" i="98"/>
  <c r="D15" i="98" s="1"/>
  <c r="O8" i="98"/>
  <c r="N8" i="98"/>
  <c r="M8" i="98"/>
  <c r="L8" i="98"/>
  <c r="K8" i="98"/>
  <c r="J8" i="98"/>
  <c r="I8" i="98"/>
  <c r="H8" i="98"/>
  <c r="G8" i="98"/>
  <c r="F8" i="98"/>
  <c r="E8" i="98"/>
  <c r="D8" i="98"/>
  <c r="B5" i="98"/>
  <c r="Q84" i="97"/>
  <c r="G79" i="97"/>
  <c r="F79" i="97"/>
  <c r="E79" i="97"/>
  <c r="D79" i="97"/>
  <c r="Q79" i="97" s="1"/>
  <c r="Q77" i="97"/>
  <c r="B77" i="97"/>
  <c r="O76" i="97"/>
  <c r="N76" i="97"/>
  <c r="M76" i="97"/>
  <c r="L76" i="97"/>
  <c r="K76" i="97"/>
  <c r="J76" i="97"/>
  <c r="I76" i="97"/>
  <c r="H76" i="97"/>
  <c r="G76" i="97"/>
  <c r="F76" i="97"/>
  <c r="E76" i="97"/>
  <c r="D76" i="97"/>
  <c r="B76" i="97"/>
  <c r="Q75" i="97"/>
  <c r="B75" i="97"/>
  <c r="Q74" i="97"/>
  <c r="B74" i="97"/>
  <c r="O73" i="97"/>
  <c r="N73" i="97"/>
  <c r="M73" i="97"/>
  <c r="L73" i="97"/>
  <c r="K73" i="97"/>
  <c r="J73" i="97"/>
  <c r="I73" i="97"/>
  <c r="H73" i="97"/>
  <c r="G73" i="97"/>
  <c r="F73" i="97"/>
  <c r="E73" i="97"/>
  <c r="D73" i="97"/>
  <c r="B73" i="97"/>
  <c r="Q72" i="97"/>
  <c r="B72" i="97"/>
  <c r="Q71" i="97"/>
  <c r="B71" i="97"/>
  <c r="Q70" i="97"/>
  <c r="B70" i="97"/>
  <c r="Q69" i="97"/>
  <c r="B69" i="97"/>
  <c r="Q68" i="97"/>
  <c r="B68" i="97"/>
  <c r="Q67" i="97"/>
  <c r="B67" i="97"/>
  <c r="Q66" i="97"/>
  <c r="B66" i="97"/>
  <c r="Q65" i="97"/>
  <c r="B65" i="97"/>
  <c r="Q64" i="97"/>
  <c r="B64" i="97"/>
  <c r="O63" i="97"/>
  <c r="N63" i="97"/>
  <c r="M63" i="97"/>
  <c r="L63" i="97"/>
  <c r="K63" i="97"/>
  <c r="J63" i="97"/>
  <c r="I63" i="97"/>
  <c r="H63" i="97"/>
  <c r="G63" i="97"/>
  <c r="F63" i="97"/>
  <c r="E63" i="97"/>
  <c r="D63" i="97"/>
  <c r="Q63" i="97" s="1"/>
  <c r="B63" i="97"/>
  <c r="Q62" i="97"/>
  <c r="B62" i="97"/>
  <c r="Q61" i="97"/>
  <c r="B61" i="97"/>
  <c r="O60" i="97"/>
  <c r="N60" i="97"/>
  <c r="M60" i="97"/>
  <c r="L60" i="97"/>
  <c r="K60" i="97"/>
  <c r="J60" i="97"/>
  <c r="I60" i="97"/>
  <c r="H60" i="97"/>
  <c r="G60" i="97"/>
  <c r="F60" i="97"/>
  <c r="E60" i="97"/>
  <c r="D60" i="97"/>
  <c r="Q60" i="97" s="1"/>
  <c r="B60" i="97"/>
  <c r="Q59" i="97"/>
  <c r="B59" i="97"/>
  <c r="Q58" i="97"/>
  <c r="B58" i="97"/>
  <c r="O57" i="97"/>
  <c r="N57" i="97"/>
  <c r="M57" i="97"/>
  <c r="L57" i="97"/>
  <c r="K57" i="97"/>
  <c r="J57" i="97"/>
  <c r="I57" i="97"/>
  <c r="H57" i="97"/>
  <c r="G57" i="97"/>
  <c r="F57" i="97"/>
  <c r="E57" i="97"/>
  <c r="D57" i="97"/>
  <c r="Q57" i="97" s="1"/>
  <c r="B57" i="97"/>
  <c r="Q56" i="97"/>
  <c r="B56" i="97"/>
  <c r="Q55" i="97"/>
  <c r="B55" i="97"/>
  <c r="O54" i="97"/>
  <c r="N54" i="97"/>
  <c r="M54" i="97"/>
  <c r="L54" i="97"/>
  <c r="K54" i="97"/>
  <c r="J54" i="97"/>
  <c r="I54" i="97"/>
  <c r="H54" i="97"/>
  <c r="G54" i="97"/>
  <c r="F54" i="97"/>
  <c r="E54" i="97"/>
  <c r="D54" i="97"/>
  <c r="Q54" i="97" s="1"/>
  <c r="B54" i="97"/>
  <c r="Q53" i="97"/>
  <c r="B53" i="97"/>
  <c r="O52" i="97"/>
  <c r="N52" i="97"/>
  <c r="M52" i="97"/>
  <c r="L52" i="97"/>
  <c r="K52" i="97"/>
  <c r="J52" i="97"/>
  <c r="I52" i="97"/>
  <c r="H52" i="97"/>
  <c r="G52" i="97"/>
  <c r="F52" i="97"/>
  <c r="E52" i="97"/>
  <c r="D52" i="97"/>
  <c r="Q52" i="97" s="1"/>
  <c r="B52" i="97"/>
  <c r="Q51" i="97"/>
  <c r="B51" i="97"/>
  <c r="O50" i="97"/>
  <c r="N50" i="97"/>
  <c r="M50" i="97"/>
  <c r="L50" i="97"/>
  <c r="K50" i="97"/>
  <c r="J50" i="97"/>
  <c r="I50" i="97"/>
  <c r="H50" i="97"/>
  <c r="G50" i="97"/>
  <c r="F50" i="97"/>
  <c r="E50" i="97"/>
  <c r="D50" i="97"/>
  <c r="B50" i="97"/>
  <c r="Q49" i="97"/>
  <c r="B49" i="97"/>
  <c r="O48" i="97"/>
  <c r="N48" i="97"/>
  <c r="M48" i="97"/>
  <c r="L48" i="97"/>
  <c r="K48" i="97"/>
  <c r="J48" i="97"/>
  <c r="I48" i="97"/>
  <c r="H48" i="97"/>
  <c r="G48" i="97"/>
  <c r="F48" i="97"/>
  <c r="E48" i="97"/>
  <c r="D48" i="97"/>
  <c r="Q48" i="97" s="1"/>
  <c r="B48" i="97"/>
  <c r="Q47" i="97"/>
  <c r="B47" i="97"/>
  <c r="Q46" i="97"/>
  <c r="B46" i="97"/>
  <c r="O45" i="97"/>
  <c r="N45" i="97"/>
  <c r="M45" i="97"/>
  <c r="L45" i="97"/>
  <c r="K45" i="97"/>
  <c r="J45" i="97"/>
  <c r="I45" i="97"/>
  <c r="H45" i="97"/>
  <c r="G45" i="97"/>
  <c r="F45" i="97"/>
  <c r="E45" i="97"/>
  <c r="D45" i="97"/>
  <c r="Q45" i="97" s="1"/>
  <c r="B45" i="97"/>
  <c r="Q44" i="97"/>
  <c r="B44" i="97"/>
  <c r="O43" i="97"/>
  <c r="N43" i="97"/>
  <c r="M43" i="97"/>
  <c r="L43" i="97"/>
  <c r="K43" i="97"/>
  <c r="J43" i="97"/>
  <c r="I43" i="97"/>
  <c r="H43" i="97"/>
  <c r="G43" i="97"/>
  <c r="F43" i="97"/>
  <c r="E43" i="97"/>
  <c r="D43" i="97"/>
  <c r="B43" i="97"/>
  <c r="Q42" i="97"/>
  <c r="B42" i="97"/>
  <c r="O41" i="97"/>
  <c r="N41" i="97"/>
  <c r="M41" i="97"/>
  <c r="M20" i="97" s="1"/>
  <c r="L41" i="97"/>
  <c r="L20" i="97" s="1"/>
  <c r="K41" i="97"/>
  <c r="J41" i="97"/>
  <c r="I41" i="97"/>
  <c r="H41" i="97"/>
  <c r="G41" i="97"/>
  <c r="F41" i="97"/>
  <c r="E41" i="97"/>
  <c r="D41" i="97"/>
  <c r="Q41" i="97" s="1"/>
  <c r="B41" i="97"/>
  <c r="Q40" i="97"/>
  <c r="B40" i="97"/>
  <c r="Q39" i="97"/>
  <c r="B39" i="97"/>
  <c r="Q38" i="97"/>
  <c r="B38" i="97"/>
  <c r="Q37" i="97"/>
  <c r="B37" i="97"/>
  <c r="Q36" i="97"/>
  <c r="B36" i="97"/>
  <c r="Q35" i="97"/>
  <c r="B35" i="97"/>
  <c r="Q34" i="97"/>
  <c r="B34" i="97"/>
  <c r="Q33" i="97"/>
  <c r="B33" i="97"/>
  <c r="Q32" i="97"/>
  <c r="B32" i="97"/>
  <c r="Q31" i="97"/>
  <c r="B31" i="97"/>
  <c r="O30" i="97"/>
  <c r="N30" i="97"/>
  <c r="M30" i="97"/>
  <c r="L30" i="97"/>
  <c r="K30" i="97"/>
  <c r="J30" i="97"/>
  <c r="I30" i="97"/>
  <c r="H30" i="97"/>
  <c r="G30" i="97"/>
  <c r="F30" i="97"/>
  <c r="E30" i="97"/>
  <c r="D30" i="97"/>
  <c r="B30" i="97"/>
  <c r="Q29" i="97"/>
  <c r="B29" i="97"/>
  <c r="Q28" i="97"/>
  <c r="B28" i="97"/>
  <c r="Q27" i="97"/>
  <c r="B27" i="97"/>
  <c r="Q26" i="97"/>
  <c r="B26" i="97"/>
  <c r="Q25" i="97"/>
  <c r="B25" i="97"/>
  <c r="Q24" i="97"/>
  <c r="B24" i="97"/>
  <c r="Q23" i="97"/>
  <c r="B23" i="97"/>
  <c r="Q22" i="97"/>
  <c r="B22" i="97"/>
  <c r="O21" i="97"/>
  <c r="O20" i="97" s="1"/>
  <c r="N21" i="97"/>
  <c r="M21" i="97"/>
  <c r="L21" i="97"/>
  <c r="K21" i="97"/>
  <c r="J21" i="97"/>
  <c r="I21" i="97"/>
  <c r="I20" i="97" s="1"/>
  <c r="H21" i="97"/>
  <c r="G21" i="97"/>
  <c r="F21" i="97"/>
  <c r="E21" i="97"/>
  <c r="D21" i="97"/>
  <c r="B21" i="97"/>
  <c r="K20" i="97"/>
  <c r="G20" i="97"/>
  <c r="F20" i="97"/>
  <c r="F81" i="97" s="1"/>
  <c r="E20" i="97"/>
  <c r="G18" i="97"/>
  <c r="O17" i="97"/>
  <c r="M17" i="97"/>
  <c r="M81" i="97" s="1"/>
  <c r="H17" i="97"/>
  <c r="G17" i="97"/>
  <c r="G81" i="97" s="1"/>
  <c r="F17" i="97"/>
  <c r="F18" i="97" s="1"/>
  <c r="Q15" i="97"/>
  <c r="B15" i="97"/>
  <c r="Q14" i="97"/>
  <c r="O14" i="97"/>
  <c r="N14" i="97"/>
  <c r="N17" i="97" s="1"/>
  <c r="M14" i="97"/>
  <c r="L14" i="97"/>
  <c r="K14" i="97"/>
  <c r="J14" i="97"/>
  <c r="I14" i="97"/>
  <c r="I17" i="97" s="1"/>
  <c r="H14" i="97"/>
  <c r="G14" i="97"/>
  <c r="F14" i="97"/>
  <c r="E14" i="97"/>
  <c r="D14" i="97"/>
  <c r="G12" i="97"/>
  <c r="F12" i="97"/>
  <c r="E12" i="97"/>
  <c r="D12" i="97"/>
  <c r="Q12" i="97" s="1"/>
  <c r="B12" i="97"/>
  <c r="Q11" i="97"/>
  <c r="Q10" i="97" s="1"/>
  <c r="Q17" i="97" s="1"/>
  <c r="G11" i="97"/>
  <c r="F11" i="97"/>
  <c r="E11" i="97"/>
  <c r="D11" i="97"/>
  <c r="D10" i="97" s="1"/>
  <c r="D17" i="97" s="1"/>
  <c r="B11" i="97"/>
  <c r="O10" i="97"/>
  <c r="N10" i="97"/>
  <c r="M10" i="97"/>
  <c r="L10" i="97"/>
  <c r="L17" i="97" s="1"/>
  <c r="K10" i="97"/>
  <c r="K17" i="97" s="1"/>
  <c r="J10" i="97"/>
  <c r="J17" i="97" s="1"/>
  <c r="I10" i="97"/>
  <c r="H10" i="97"/>
  <c r="G10" i="97"/>
  <c r="F10" i="97"/>
  <c r="E10" i="97"/>
  <c r="E17" i="97" s="1"/>
  <c r="O8" i="97"/>
  <c r="N8" i="97"/>
  <c r="M8" i="97"/>
  <c r="L8" i="97"/>
  <c r="K8" i="97"/>
  <c r="J8" i="97"/>
  <c r="I8" i="97"/>
  <c r="H8" i="97"/>
  <c r="G8" i="97"/>
  <c r="F8" i="97"/>
  <c r="E8" i="97"/>
  <c r="D8" i="97"/>
  <c r="B5" i="97"/>
  <c r="Q93" i="95"/>
  <c r="M91" i="95"/>
  <c r="G88" i="95"/>
  <c r="F88" i="95"/>
  <c r="E88" i="95"/>
  <c r="Q88" i="95" s="1"/>
  <c r="D88" i="95"/>
  <c r="Q86" i="95"/>
  <c r="B86" i="95"/>
  <c r="O85" i="95"/>
  <c r="N85" i="95"/>
  <c r="M85" i="95"/>
  <c r="L85" i="95"/>
  <c r="K85" i="95"/>
  <c r="J85" i="95"/>
  <c r="I85" i="95"/>
  <c r="H85" i="95"/>
  <c r="G85" i="95"/>
  <c r="F85" i="95"/>
  <c r="E85" i="95"/>
  <c r="D85" i="95"/>
  <c r="B85" i="95"/>
  <c r="Q84" i="95"/>
  <c r="B84" i="95"/>
  <c r="Q83" i="95"/>
  <c r="B83" i="95"/>
  <c r="O82" i="95"/>
  <c r="N82" i="95"/>
  <c r="M82" i="95"/>
  <c r="L82" i="95"/>
  <c r="K82" i="95"/>
  <c r="J82" i="95"/>
  <c r="I82" i="95"/>
  <c r="H82" i="95"/>
  <c r="G82" i="95"/>
  <c r="F82" i="95"/>
  <c r="E82" i="95"/>
  <c r="D82" i="95"/>
  <c r="Q82" i="95" s="1"/>
  <c r="B82" i="95"/>
  <c r="Q81" i="95"/>
  <c r="B81" i="95"/>
  <c r="Q80" i="95"/>
  <c r="B80" i="95"/>
  <c r="Q79" i="95"/>
  <c r="B79" i="95"/>
  <c r="Q78" i="95"/>
  <c r="B78" i="95"/>
  <c r="Q77" i="95"/>
  <c r="B77" i="95"/>
  <c r="Q76" i="95"/>
  <c r="B76" i="95"/>
  <c r="O75" i="95"/>
  <c r="N75" i="95"/>
  <c r="M75" i="95"/>
  <c r="L75" i="95"/>
  <c r="K75" i="95"/>
  <c r="J75" i="95"/>
  <c r="I75" i="95"/>
  <c r="H75" i="95"/>
  <c r="G75" i="95"/>
  <c r="F75" i="95"/>
  <c r="E75" i="95"/>
  <c r="D75" i="95"/>
  <c r="B75" i="95"/>
  <c r="Q74" i="95"/>
  <c r="B74" i="95"/>
  <c r="O73" i="95"/>
  <c r="N73" i="95"/>
  <c r="M73" i="95"/>
  <c r="L73" i="95"/>
  <c r="K73" i="95"/>
  <c r="J73" i="95"/>
  <c r="I73" i="95"/>
  <c r="H73" i="95"/>
  <c r="G73" i="95"/>
  <c r="F73" i="95"/>
  <c r="E73" i="95"/>
  <c r="D73" i="95"/>
  <c r="Q73" i="95" s="1"/>
  <c r="B73" i="95"/>
  <c r="Q72" i="95"/>
  <c r="B72" i="95"/>
  <c r="Q71" i="95"/>
  <c r="B71" i="95"/>
  <c r="Q70" i="95"/>
  <c r="B70" i="95"/>
  <c r="Q69" i="95"/>
  <c r="B69" i="95"/>
  <c r="O68" i="95"/>
  <c r="N68" i="95"/>
  <c r="M68" i="95"/>
  <c r="L68" i="95"/>
  <c r="K68" i="95"/>
  <c r="J68" i="95"/>
  <c r="I68" i="95"/>
  <c r="H68" i="95"/>
  <c r="G68" i="95"/>
  <c r="F68" i="95"/>
  <c r="E68" i="95"/>
  <c r="D68" i="95"/>
  <c r="B68" i="95"/>
  <c r="Q67" i="95"/>
  <c r="B67" i="95"/>
  <c r="Q66" i="95"/>
  <c r="B66" i="95"/>
  <c r="O65" i="95"/>
  <c r="N65" i="95"/>
  <c r="M65" i="95"/>
  <c r="L65" i="95"/>
  <c r="K65" i="95"/>
  <c r="J65" i="95"/>
  <c r="I65" i="95"/>
  <c r="H65" i="95"/>
  <c r="G65" i="95"/>
  <c r="F65" i="95"/>
  <c r="E65" i="95"/>
  <c r="D65" i="95"/>
  <c r="B65" i="95"/>
  <c r="Q64" i="95"/>
  <c r="B64" i="95"/>
  <c r="O63" i="95"/>
  <c r="N63" i="95"/>
  <c r="M63" i="95"/>
  <c r="L63" i="95"/>
  <c r="K63" i="95"/>
  <c r="J63" i="95"/>
  <c r="I63" i="95"/>
  <c r="H63" i="95"/>
  <c r="G63" i="95"/>
  <c r="F63" i="95"/>
  <c r="E63" i="95"/>
  <c r="D63" i="95"/>
  <c r="B63" i="95"/>
  <c r="Q62" i="95"/>
  <c r="B62" i="95"/>
  <c r="O61" i="95"/>
  <c r="N61" i="95"/>
  <c r="M61" i="95"/>
  <c r="L61" i="95"/>
  <c r="K61" i="95"/>
  <c r="J61" i="95"/>
  <c r="I61" i="95"/>
  <c r="H61" i="95"/>
  <c r="G61" i="95"/>
  <c r="F61" i="95"/>
  <c r="E61" i="95"/>
  <c r="D61" i="95"/>
  <c r="Q61" i="95" s="1"/>
  <c r="B61" i="95"/>
  <c r="Q60" i="95"/>
  <c r="B60" i="95"/>
  <c r="O59" i="95"/>
  <c r="N59" i="95"/>
  <c r="M59" i="95"/>
  <c r="L59" i="95"/>
  <c r="K59" i="95"/>
  <c r="J59" i="95"/>
  <c r="I59" i="95"/>
  <c r="H59" i="95"/>
  <c r="G59" i="95"/>
  <c r="F59" i="95"/>
  <c r="E59" i="95"/>
  <c r="D59" i="95"/>
  <c r="Q59" i="95" s="1"/>
  <c r="B59" i="95"/>
  <c r="Q58" i="95"/>
  <c r="B58" i="95"/>
  <c r="O57" i="95"/>
  <c r="N57" i="95"/>
  <c r="M57" i="95"/>
  <c r="L57" i="95"/>
  <c r="K57" i="95"/>
  <c r="J57" i="95"/>
  <c r="I57" i="95"/>
  <c r="H57" i="95"/>
  <c r="G57" i="95"/>
  <c r="F57" i="95"/>
  <c r="E57" i="95"/>
  <c r="D57" i="95"/>
  <c r="B57" i="95"/>
  <c r="Q56" i="95"/>
  <c r="B56" i="95"/>
  <c r="O55" i="95"/>
  <c r="N55" i="95"/>
  <c r="M55" i="95"/>
  <c r="L55" i="95"/>
  <c r="K55" i="95"/>
  <c r="J55" i="95"/>
  <c r="I55" i="95"/>
  <c r="H55" i="95"/>
  <c r="G55" i="95"/>
  <c r="F55" i="95"/>
  <c r="E55" i="95"/>
  <c r="D55" i="95"/>
  <c r="B55" i="95"/>
  <c r="Q54" i="95"/>
  <c r="B54" i="95"/>
  <c r="Q53" i="95"/>
  <c r="B53" i="95"/>
  <c r="O52" i="95"/>
  <c r="N52" i="95"/>
  <c r="M52" i="95"/>
  <c r="L52" i="95"/>
  <c r="K52" i="95"/>
  <c r="J52" i="95"/>
  <c r="I52" i="95"/>
  <c r="H52" i="95"/>
  <c r="G52" i="95"/>
  <c r="F52" i="95"/>
  <c r="E52" i="95"/>
  <c r="D52" i="95"/>
  <c r="Q52" i="95" s="1"/>
  <c r="B52" i="95"/>
  <c r="Q51" i="95"/>
  <c r="B51" i="95"/>
  <c r="O50" i="95"/>
  <c r="N50" i="95"/>
  <c r="M50" i="95"/>
  <c r="L50" i="95"/>
  <c r="K50" i="95"/>
  <c r="J50" i="95"/>
  <c r="I50" i="95"/>
  <c r="H50" i="95"/>
  <c r="G50" i="95"/>
  <c r="F50" i="95"/>
  <c r="E50" i="95"/>
  <c r="D50" i="95"/>
  <c r="B50" i="95"/>
  <c r="Q49" i="95"/>
  <c r="B49" i="95"/>
  <c r="O48" i="95"/>
  <c r="N48" i="95"/>
  <c r="M48" i="95"/>
  <c r="L48" i="95"/>
  <c r="K48" i="95"/>
  <c r="J48" i="95"/>
  <c r="I48" i="95"/>
  <c r="H48" i="95"/>
  <c r="G48" i="95"/>
  <c r="F48" i="95"/>
  <c r="E48" i="95"/>
  <c r="D48" i="95"/>
  <c r="B48" i="95"/>
  <c r="Q47" i="95"/>
  <c r="B47" i="95"/>
  <c r="O46" i="95"/>
  <c r="N46" i="95"/>
  <c r="M46" i="95"/>
  <c r="L46" i="95"/>
  <c r="K46" i="95"/>
  <c r="J46" i="95"/>
  <c r="I46" i="95"/>
  <c r="H46" i="95"/>
  <c r="G46" i="95"/>
  <c r="F46" i="95"/>
  <c r="E46" i="95"/>
  <c r="D46" i="95"/>
  <c r="B46" i="95"/>
  <c r="Q45" i="95"/>
  <c r="B45" i="95"/>
  <c r="Q44" i="95"/>
  <c r="B44" i="95"/>
  <c r="Q43" i="95"/>
  <c r="B43" i="95"/>
  <c r="Q42" i="95"/>
  <c r="B42" i="95"/>
  <c r="Q41" i="95"/>
  <c r="B41" i="95"/>
  <c r="Q40" i="95"/>
  <c r="B40" i="95"/>
  <c r="Q39" i="95"/>
  <c r="B39" i="95"/>
  <c r="Q38" i="95"/>
  <c r="B38" i="95"/>
  <c r="Q37" i="95"/>
  <c r="B37" i="95"/>
  <c r="Q36" i="95"/>
  <c r="B36" i="95"/>
  <c r="O35" i="95"/>
  <c r="N35" i="95"/>
  <c r="N24" i="95" s="1"/>
  <c r="N90" i="95" s="1"/>
  <c r="M35" i="95"/>
  <c r="L35" i="95"/>
  <c r="K35" i="95"/>
  <c r="J35" i="95"/>
  <c r="I35" i="95"/>
  <c r="H35" i="95"/>
  <c r="G35" i="95"/>
  <c r="F35" i="95"/>
  <c r="E35" i="95"/>
  <c r="D35" i="95"/>
  <c r="Q35" i="95" s="1"/>
  <c r="B35" i="95"/>
  <c r="Q34" i="95"/>
  <c r="B34" i="95"/>
  <c r="Q33" i="95"/>
  <c r="B33" i="95"/>
  <c r="Q32" i="95"/>
  <c r="B32" i="95"/>
  <c r="Q31" i="95"/>
  <c r="B31" i="95"/>
  <c r="Q30" i="95"/>
  <c r="B30" i="95"/>
  <c r="Q29" i="95"/>
  <c r="B29" i="95"/>
  <c r="Q28" i="95"/>
  <c r="B28" i="95"/>
  <c r="Q27" i="95"/>
  <c r="B27" i="95"/>
  <c r="Q26" i="95"/>
  <c r="B26" i="95"/>
  <c r="O25" i="95"/>
  <c r="N25" i="95"/>
  <c r="M25" i="95"/>
  <c r="L25" i="95"/>
  <c r="K25" i="95"/>
  <c r="K24" i="95" s="1"/>
  <c r="J25" i="95"/>
  <c r="I25" i="95"/>
  <c r="H25" i="95"/>
  <c r="H24" i="95" s="1"/>
  <c r="G25" i="95"/>
  <c r="F25" i="95"/>
  <c r="E25" i="95"/>
  <c r="D25" i="95"/>
  <c r="B25" i="95"/>
  <c r="M24" i="95"/>
  <c r="L24" i="95"/>
  <c r="E24" i="95"/>
  <c r="N22" i="95"/>
  <c r="K22" i="95"/>
  <c r="N21" i="95"/>
  <c r="M21" i="95"/>
  <c r="M90" i="95" s="1"/>
  <c r="M95" i="95" s="1"/>
  <c r="L21" i="95"/>
  <c r="L90" i="95" s="1"/>
  <c r="Q19" i="95"/>
  <c r="B19" i="95"/>
  <c r="Q18" i="95"/>
  <c r="B18" i="95"/>
  <c r="Q17" i="95"/>
  <c r="B17" i="95"/>
  <c r="O16" i="95"/>
  <c r="N16" i="95"/>
  <c r="M16" i="95"/>
  <c r="L16" i="95"/>
  <c r="K16" i="95"/>
  <c r="J16" i="95"/>
  <c r="I16" i="95"/>
  <c r="H16" i="95"/>
  <c r="G16" i="95"/>
  <c r="F16" i="95"/>
  <c r="E16" i="95"/>
  <c r="D16" i="95"/>
  <c r="G14" i="95"/>
  <c r="F14" i="95"/>
  <c r="E14" i="95"/>
  <c r="D14" i="95"/>
  <c r="B14" i="95"/>
  <c r="G13" i="95"/>
  <c r="F13" i="95"/>
  <c r="Q13" i="95" s="1"/>
  <c r="E13" i="95"/>
  <c r="D13" i="95"/>
  <c r="B13" i="95"/>
  <c r="G12" i="95"/>
  <c r="F12" i="95"/>
  <c r="E12" i="95"/>
  <c r="D12" i="95"/>
  <c r="B12" i="95"/>
  <c r="G11" i="95"/>
  <c r="F11" i="95"/>
  <c r="E11" i="95"/>
  <c r="D11" i="95"/>
  <c r="B11" i="95"/>
  <c r="O10" i="95"/>
  <c r="O21" i="95" s="1"/>
  <c r="N10" i="95"/>
  <c r="M10" i="95"/>
  <c r="L10" i="95"/>
  <c r="K10" i="95"/>
  <c r="K21" i="95" s="1"/>
  <c r="J10" i="95"/>
  <c r="J21" i="95" s="1"/>
  <c r="I10" i="95"/>
  <c r="H10" i="95"/>
  <c r="E10" i="95"/>
  <c r="E21" i="95" s="1"/>
  <c r="D10" i="95"/>
  <c r="D21" i="95" s="1"/>
  <c r="O8" i="95"/>
  <c r="N8" i="95"/>
  <c r="M8" i="95"/>
  <c r="L8" i="95"/>
  <c r="K8" i="95"/>
  <c r="J8" i="95"/>
  <c r="I8" i="95"/>
  <c r="H8" i="95"/>
  <c r="G8" i="95"/>
  <c r="F8" i="95"/>
  <c r="E8" i="95"/>
  <c r="D8" i="95"/>
  <c r="B5" i="95"/>
  <c r="Q78" i="94"/>
  <c r="G73" i="94"/>
  <c r="F73" i="94"/>
  <c r="E73" i="94"/>
  <c r="D73" i="94"/>
  <c r="Q73" i="94" s="1"/>
  <c r="Q71" i="94"/>
  <c r="B71" i="94"/>
  <c r="O70" i="94"/>
  <c r="N70" i="94"/>
  <c r="M70" i="94"/>
  <c r="L70" i="94"/>
  <c r="K70" i="94"/>
  <c r="J70" i="94"/>
  <c r="I70" i="94"/>
  <c r="H70" i="94"/>
  <c r="G70" i="94"/>
  <c r="F70" i="94"/>
  <c r="E70" i="94"/>
  <c r="D70" i="94"/>
  <c r="Q70" i="94" s="1"/>
  <c r="B70" i="94"/>
  <c r="Q69" i="94"/>
  <c r="B69" i="94"/>
  <c r="O68" i="94"/>
  <c r="N68" i="94"/>
  <c r="M68" i="94"/>
  <c r="L68" i="94"/>
  <c r="K68" i="94"/>
  <c r="J68" i="94"/>
  <c r="I68" i="94"/>
  <c r="H68" i="94"/>
  <c r="G68" i="94"/>
  <c r="F68" i="94"/>
  <c r="E68" i="94"/>
  <c r="D68" i="94"/>
  <c r="Q68" i="94" s="1"/>
  <c r="B68" i="94"/>
  <c r="Q67" i="94"/>
  <c r="B67" i="94"/>
  <c r="Q66" i="94"/>
  <c r="B66" i="94"/>
  <c r="Q65" i="94"/>
  <c r="B65" i="94"/>
  <c r="O64" i="94"/>
  <c r="N64" i="94"/>
  <c r="M64" i="94"/>
  <c r="L64" i="94"/>
  <c r="K64" i="94"/>
  <c r="J64" i="94"/>
  <c r="I64" i="94"/>
  <c r="H64" i="94"/>
  <c r="G64" i="94"/>
  <c r="F64" i="94"/>
  <c r="E64" i="94"/>
  <c r="D64" i="94"/>
  <c r="B64" i="94"/>
  <c r="Q63" i="94"/>
  <c r="B63" i="94"/>
  <c r="O62" i="94"/>
  <c r="N62" i="94"/>
  <c r="M62" i="94"/>
  <c r="L62" i="94"/>
  <c r="K62" i="94"/>
  <c r="J62" i="94"/>
  <c r="I62" i="94"/>
  <c r="H62" i="94"/>
  <c r="G62" i="94"/>
  <c r="F62" i="94"/>
  <c r="E62" i="94"/>
  <c r="D62" i="94"/>
  <c r="Q62" i="94" s="1"/>
  <c r="B62" i="94"/>
  <c r="Q61" i="94"/>
  <c r="B61" i="94"/>
  <c r="O60" i="94"/>
  <c r="N60" i="94"/>
  <c r="M60" i="94"/>
  <c r="L60" i="94"/>
  <c r="K60" i="94"/>
  <c r="J60" i="94"/>
  <c r="I60" i="94"/>
  <c r="H60" i="94"/>
  <c r="G60" i="94"/>
  <c r="F60" i="94"/>
  <c r="E60" i="94"/>
  <c r="D60" i="94"/>
  <c r="B60" i="94"/>
  <c r="Q59" i="94"/>
  <c r="B59" i="94"/>
  <c r="O58" i="94"/>
  <c r="N58" i="94"/>
  <c r="M58" i="94"/>
  <c r="L58" i="94"/>
  <c r="K58" i="94"/>
  <c r="J58" i="94"/>
  <c r="I58" i="94"/>
  <c r="H58" i="94"/>
  <c r="G58" i="94"/>
  <c r="F58" i="94"/>
  <c r="E58" i="94"/>
  <c r="D58" i="94"/>
  <c r="B58" i="94"/>
  <c r="Q57" i="94"/>
  <c r="B57" i="94"/>
  <c r="Q56" i="94"/>
  <c r="B56" i="94"/>
  <c r="O55" i="94"/>
  <c r="N55" i="94"/>
  <c r="M55" i="94"/>
  <c r="L55" i="94"/>
  <c r="K55" i="94"/>
  <c r="J55" i="94"/>
  <c r="I55" i="94"/>
  <c r="H55" i="94"/>
  <c r="G55" i="94"/>
  <c r="F55" i="94"/>
  <c r="E55" i="94"/>
  <c r="D55" i="94"/>
  <c r="B55" i="94"/>
  <c r="Q54" i="94"/>
  <c r="B54" i="94"/>
  <c r="O53" i="94"/>
  <c r="N53" i="94"/>
  <c r="M53" i="94"/>
  <c r="L53" i="94"/>
  <c r="K53" i="94"/>
  <c r="J53" i="94"/>
  <c r="I53" i="94"/>
  <c r="H53" i="94"/>
  <c r="G53" i="94"/>
  <c r="F53" i="94"/>
  <c r="E53" i="94"/>
  <c r="D53" i="94"/>
  <c r="B53" i="94"/>
  <c r="Q52" i="94"/>
  <c r="B52" i="94"/>
  <c r="O51" i="94"/>
  <c r="N51" i="94"/>
  <c r="M51" i="94"/>
  <c r="L51" i="94"/>
  <c r="K51" i="94"/>
  <c r="J51" i="94"/>
  <c r="I51" i="94"/>
  <c r="H51" i="94"/>
  <c r="G51" i="94"/>
  <c r="F51" i="94"/>
  <c r="E51" i="94"/>
  <c r="D51" i="94"/>
  <c r="Q51" i="94" s="1"/>
  <c r="B51" i="94"/>
  <c r="Q50" i="94"/>
  <c r="B50" i="94"/>
  <c r="O49" i="94"/>
  <c r="N49" i="94"/>
  <c r="M49" i="94"/>
  <c r="L49" i="94"/>
  <c r="K49" i="94"/>
  <c r="J49" i="94"/>
  <c r="I49" i="94"/>
  <c r="H49" i="94"/>
  <c r="G49" i="94"/>
  <c r="F49" i="94"/>
  <c r="E49" i="94"/>
  <c r="D49" i="94"/>
  <c r="Q49" i="94" s="1"/>
  <c r="B49" i="94"/>
  <c r="Q48" i="94"/>
  <c r="B48" i="94"/>
  <c r="O47" i="94"/>
  <c r="N47" i="94"/>
  <c r="M47" i="94"/>
  <c r="L47" i="94"/>
  <c r="K47" i="94"/>
  <c r="J47" i="94"/>
  <c r="I47" i="94"/>
  <c r="H47" i="94"/>
  <c r="G47" i="94"/>
  <c r="F47" i="94"/>
  <c r="E47" i="94"/>
  <c r="D47" i="94"/>
  <c r="B47" i="94"/>
  <c r="Q46" i="94"/>
  <c r="B46" i="94"/>
  <c r="O45" i="94"/>
  <c r="N45" i="94"/>
  <c r="M45" i="94"/>
  <c r="L45" i="94"/>
  <c r="K45" i="94"/>
  <c r="J45" i="94"/>
  <c r="I45" i="94"/>
  <c r="H45" i="94"/>
  <c r="G45" i="94"/>
  <c r="F45" i="94"/>
  <c r="E45" i="94"/>
  <c r="D45" i="94"/>
  <c r="Q45" i="94" s="1"/>
  <c r="B45" i="94"/>
  <c r="Q44" i="94"/>
  <c r="B44" i="94"/>
  <c r="O43" i="94"/>
  <c r="N43" i="94"/>
  <c r="M43" i="94"/>
  <c r="L43" i="94"/>
  <c r="K43" i="94"/>
  <c r="J43" i="94"/>
  <c r="I43" i="94"/>
  <c r="H43" i="94"/>
  <c r="H21" i="94" s="1"/>
  <c r="G43" i="94"/>
  <c r="F43" i="94"/>
  <c r="E43" i="94"/>
  <c r="D43" i="94"/>
  <c r="B43" i="94"/>
  <c r="Q42" i="94"/>
  <c r="B42" i="94"/>
  <c r="Q41" i="94"/>
  <c r="B41" i="94"/>
  <c r="Q40" i="94"/>
  <c r="B40" i="94"/>
  <c r="Q39" i="94"/>
  <c r="B39" i="94"/>
  <c r="Q38" i="94"/>
  <c r="B38" i="94"/>
  <c r="Q37" i="94"/>
  <c r="B37" i="94"/>
  <c r="Q36" i="94"/>
  <c r="B36" i="94"/>
  <c r="Q35" i="94"/>
  <c r="B35" i="94"/>
  <c r="Q34" i="94"/>
  <c r="B34" i="94"/>
  <c r="Q33" i="94"/>
  <c r="B33" i="94"/>
  <c r="O32" i="94"/>
  <c r="N32" i="94"/>
  <c r="M32" i="94"/>
  <c r="L32" i="94"/>
  <c r="K32" i="94"/>
  <c r="J32" i="94"/>
  <c r="I32" i="94"/>
  <c r="I21" i="94" s="1"/>
  <c r="H32" i="94"/>
  <c r="G32" i="94"/>
  <c r="F32" i="94"/>
  <c r="E32" i="94"/>
  <c r="D32" i="94"/>
  <c r="B32" i="94"/>
  <c r="Q31" i="94"/>
  <c r="B31" i="94"/>
  <c r="Q30" i="94"/>
  <c r="B30" i="94"/>
  <c r="Q29" i="94"/>
  <c r="B29" i="94"/>
  <c r="Q28" i="94"/>
  <c r="B28" i="94"/>
  <c r="Q27" i="94"/>
  <c r="B27" i="94"/>
  <c r="Q26" i="94"/>
  <c r="B26" i="94"/>
  <c r="Q25" i="94"/>
  <c r="B25" i="94"/>
  <c r="Q24" i="94"/>
  <c r="B24" i="94"/>
  <c r="Q23" i="94"/>
  <c r="B23" i="94"/>
  <c r="O22" i="94"/>
  <c r="N22" i="94"/>
  <c r="M22" i="94"/>
  <c r="L22" i="94"/>
  <c r="L21" i="94" s="1"/>
  <c r="K22" i="94"/>
  <c r="K21" i="94" s="1"/>
  <c r="J22" i="94"/>
  <c r="I22" i="94"/>
  <c r="H22" i="94"/>
  <c r="G22" i="94"/>
  <c r="G21" i="94" s="1"/>
  <c r="F22" i="94"/>
  <c r="E22" i="94"/>
  <c r="D22" i="94"/>
  <c r="B22" i="94"/>
  <c r="N21" i="94"/>
  <c r="E21" i="94"/>
  <c r="K19" i="94"/>
  <c r="J19" i="94"/>
  <c r="E19" i="94"/>
  <c r="D19" i="94"/>
  <c r="K18" i="94"/>
  <c r="J18" i="94"/>
  <c r="I18" i="94"/>
  <c r="D18" i="94"/>
  <c r="Q16" i="94"/>
  <c r="Q15" i="94" s="1"/>
  <c r="B16" i="94"/>
  <c r="O15" i="94"/>
  <c r="N15" i="94"/>
  <c r="M15" i="94"/>
  <c r="L15" i="94"/>
  <c r="L18" i="94" s="1"/>
  <c r="K15" i="94"/>
  <c r="J15" i="94"/>
  <c r="I15" i="94"/>
  <c r="H15" i="94"/>
  <c r="G15" i="94"/>
  <c r="F15" i="94"/>
  <c r="E15" i="94"/>
  <c r="D15" i="94"/>
  <c r="G13" i="94"/>
  <c r="F13" i="94"/>
  <c r="E13" i="94"/>
  <c r="Q13" i="94" s="1"/>
  <c r="D13" i="94"/>
  <c r="B13" i="94"/>
  <c r="G12" i="94"/>
  <c r="F12" i="94"/>
  <c r="E12" i="94"/>
  <c r="D12" i="94"/>
  <c r="B12" i="94"/>
  <c r="G11" i="94"/>
  <c r="F11" i="94"/>
  <c r="E11" i="94"/>
  <c r="Q11" i="94" s="1"/>
  <c r="D11" i="94"/>
  <c r="B11" i="94"/>
  <c r="O10" i="94"/>
  <c r="O18" i="94" s="1"/>
  <c r="N10" i="94"/>
  <c r="N18" i="94" s="1"/>
  <c r="M10" i="94"/>
  <c r="M18" i="94" s="1"/>
  <c r="L10" i="94"/>
  <c r="K10" i="94"/>
  <c r="J10" i="94"/>
  <c r="I10" i="94"/>
  <c r="H10" i="94"/>
  <c r="H18" i="94" s="1"/>
  <c r="H19" i="94" s="1"/>
  <c r="G10" i="94"/>
  <c r="G18" i="94" s="1"/>
  <c r="E10" i="94"/>
  <c r="E18" i="94" s="1"/>
  <c r="D10" i="94"/>
  <c r="O8" i="94"/>
  <c r="N8" i="94"/>
  <c r="M8" i="94"/>
  <c r="L8" i="94"/>
  <c r="K8" i="94"/>
  <c r="J8" i="94"/>
  <c r="I8" i="94"/>
  <c r="H8" i="94"/>
  <c r="G8" i="94"/>
  <c r="F8" i="94"/>
  <c r="E8" i="94"/>
  <c r="D8" i="94"/>
  <c r="B5" i="94"/>
  <c r="Q78" i="93"/>
  <c r="G73" i="93"/>
  <c r="F73" i="93"/>
  <c r="E73" i="93"/>
  <c r="D73" i="93"/>
  <c r="Q71" i="93"/>
  <c r="B71" i="93"/>
  <c r="Q70" i="93"/>
  <c r="B70" i="93"/>
  <c r="O69" i="93"/>
  <c r="N69" i="93"/>
  <c r="M69" i="93"/>
  <c r="L69" i="93"/>
  <c r="K69" i="93"/>
  <c r="J69" i="93"/>
  <c r="I69" i="93"/>
  <c r="H69" i="93"/>
  <c r="G69" i="93"/>
  <c r="F69" i="93"/>
  <c r="E69" i="93"/>
  <c r="D69" i="93"/>
  <c r="B69" i="93"/>
  <c r="Q68" i="93"/>
  <c r="B68" i="93"/>
  <c r="Q67" i="93"/>
  <c r="B67" i="93"/>
  <c r="Q66" i="93"/>
  <c r="B66" i="93"/>
  <c r="Q65" i="93"/>
  <c r="B65" i="93"/>
  <c r="Q64" i="93"/>
  <c r="B64" i="93"/>
  <c r="Q63" i="93"/>
  <c r="B63" i="93"/>
  <c r="Q62" i="93"/>
  <c r="B62" i="93"/>
  <c r="O61" i="93"/>
  <c r="N61" i="93"/>
  <c r="M61" i="93"/>
  <c r="L61" i="93"/>
  <c r="K61" i="93"/>
  <c r="J61" i="93"/>
  <c r="I61" i="93"/>
  <c r="H61" i="93"/>
  <c r="G61" i="93"/>
  <c r="F61" i="93"/>
  <c r="E61" i="93"/>
  <c r="D61" i="93"/>
  <c r="B61" i="93"/>
  <c r="Q60" i="93"/>
  <c r="B60" i="93"/>
  <c r="Q59" i="93"/>
  <c r="B59" i="93"/>
  <c r="O58" i="93"/>
  <c r="N58" i="93"/>
  <c r="M58" i="93"/>
  <c r="L58" i="93"/>
  <c r="K58" i="93"/>
  <c r="J58" i="93"/>
  <c r="I58" i="93"/>
  <c r="H58" i="93"/>
  <c r="G58" i="93"/>
  <c r="F58" i="93"/>
  <c r="E58" i="93"/>
  <c r="D58" i="93"/>
  <c r="B58" i="93"/>
  <c r="Q57" i="93"/>
  <c r="B57" i="93"/>
  <c r="Q56" i="93"/>
  <c r="B56" i="93"/>
  <c r="Q55" i="93"/>
  <c r="B55" i="93"/>
  <c r="O54" i="93"/>
  <c r="N54" i="93"/>
  <c r="M54" i="93"/>
  <c r="L54" i="93"/>
  <c r="K54" i="93"/>
  <c r="J54" i="93"/>
  <c r="I54" i="93"/>
  <c r="H54" i="93"/>
  <c r="G54" i="93"/>
  <c r="F54" i="93"/>
  <c r="E54" i="93"/>
  <c r="D54" i="93"/>
  <c r="Q54" i="93" s="1"/>
  <c r="B54" i="93"/>
  <c r="Q53" i="93"/>
  <c r="B53" i="93"/>
  <c r="O52" i="93"/>
  <c r="N52" i="93"/>
  <c r="M52" i="93"/>
  <c r="L52" i="93"/>
  <c r="K52" i="93"/>
  <c r="J52" i="93"/>
  <c r="I52" i="93"/>
  <c r="H52" i="93"/>
  <c r="G52" i="93"/>
  <c r="F52" i="93"/>
  <c r="E52" i="93"/>
  <c r="D52" i="93"/>
  <c r="Q52" i="93" s="1"/>
  <c r="B52" i="93"/>
  <c r="Q51" i="93"/>
  <c r="B51" i="93"/>
  <c r="O50" i="93"/>
  <c r="N50" i="93"/>
  <c r="M50" i="93"/>
  <c r="L50" i="93"/>
  <c r="K50" i="93"/>
  <c r="J50" i="93"/>
  <c r="I50" i="93"/>
  <c r="H50" i="93"/>
  <c r="G50" i="93"/>
  <c r="F50" i="93"/>
  <c r="E50" i="93"/>
  <c r="D50" i="93"/>
  <c r="B50" i="93"/>
  <c r="Q49" i="93"/>
  <c r="B49" i="93"/>
  <c r="O48" i="93"/>
  <c r="N48" i="93"/>
  <c r="M48" i="93"/>
  <c r="L48" i="93"/>
  <c r="K48" i="93"/>
  <c r="J48" i="93"/>
  <c r="I48" i="93"/>
  <c r="H48" i="93"/>
  <c r="G48" i="93"/>
  <c r="F48" i="93"/>
  <c r="E48" i="93"/>
  <c r="D48" i="93"/>
  <c r="Q48" i="93" s="1"/>
  <c r="B48" i="93"/>
  <c r="Q47" i="93"/>
  <c r="B47" i="93"/>
  <c r="O46" i="93"/>
  <c r="N46" i="93"/>
  <c r="M46" i="93"/>
  <c r="L46" i="93"/>
  <c r="K46" i="93"/>
  <c r="J46" i="93"/>
  <c r="I46" i="93"/>
  <c r="H46" i="93"/>
  <c r="H20" i="93" s="1"/>
  <c r="G46" i="93"/>
  <c r="F46" i="93"/>
  <c r="E46" i="93"/>
  <c r="D46" i="93"/>
  <c r="Q46" i="93" s="1"/>
  <c r="B46" i="93"/>
  <c r="Q45" i="93"/>
  <c r="B45" i="93"/>
  <c r="O44" i="93"/>
  <c r="N44" i="93"/>
  <c r="M44" i="93"/>
  <c r="L44" i="93"/>
  <c r="L20" i="93" s="1"/>
  <c r="K44" i="93"/>
  <c r="J44" i="93"/>
  <c r="I44" i="93"/>
  <c r="H44" i="93"/>
  <c r="G44" i="93"/>
  <c r="F44" i="93"/>
  <c r="E44" i="93"/>
  <c r="D44" i="93"/>
  <c r="B44" i="93"/>
  <c r="Q43" i="93"/>
  <c r="B43" i="93"/>
  <c r="O42" i="93"/>
  <c r="N42" i="93"/>
  <c r="M42" i="93"/>
  <c r="L42" i="93"/>
  <c r="K42" i="93"/>
  <c r="J42" i="93"/>
  <c r="I42" i="93"/>
  <c r="H42" i="93"/>
  <c r="G42" i="93"/>
  <c r="F42" i="93"/>
  <c r="E42" i="93"/>
  <c r="D42" i="93"/>
  <c r="D20" i="93" s="1"/>
  <c r="B42" i="93"/>
  <c r="Q41" i="93"/>
  <c r="B41" i="93"/>
  <c r="Q40" i="93"/>
  <c r="B40" i="93"/>
  <c r="Q39" i="93"/>
  <c r="B39" i="93"/>
  <c r="Q38" i="93"/>
  <c r="B38" i="93"/>
  <c r="Q37" i="93"/>
  <c r="B37" i="93"/>
  <c r="Q36" i="93"/>
  <c r="B36" i="93"/>
  <c r="Q35" i="93"/>
  <c r="B35" i="93"/>
  <c r="Q34" i="93"/>
  <c r="B34" i="93"/>
  <c r="Q33" i="93"/>
  <c r="B33" i="93"/>
  <c r="Q32" i="93"/>
  <c r="B32" i="93"/>
  <c r="O31" i="93"/>
  <c r="N31" i="93"/>
  <c r="M31" i="93"/>
  <c r="L31" i="93"/>
  <c r="K31" i="93"/>
  <c r="J31" i="93"/>
  <c r="I31" i="93"/>
  <c r="H31" i="93"/>
  <c r="G31" i="93"/>
  <c r="G20" i="93" s="1"/>
  <c r="F31" i="93"/>
  <c r="E31" i="93"/>
  <c r="D31" i="93"/>
  <c r="B31" i="93"/>
  <c r="Q30" i="93"/>
  <c r="B30" i="93"/>
  <c r="Q29" i="93"/>
  <c r="B29" i="93"/>
  <c r="Q28" i="93"/>
  <c r="B28" i="93"/>
  <c r="Q27" i="93"/>
  <c r="B27" i="93"/>
  <c r="Q26" i="93"/>
  <c r="B26" i="93"/>
  <c r="Q25" i="93"/>
  <c r="B25" i="93"/>
  <c r="Q24" i="93"/>
  <c r="B24" i="93"/>
  <c r="Q23" i="93"/>
  <c r="B23" i="93"/>
  <c r="Q22" i="93"/>
  <c r="B22" i="93"/>
  <c r="O21" i="93"/>
  <c r="O20" i="93" s="1"/>
  <c r="N21" i="93"/>
  <c r="N20" i="93" s="1"/>
  <c r="M21" i="93"/>
  <c r="L21" i="93"/>
  <c r="K21" i="93"/>
  <c r="J21" i="93"/>
  <c r="I21" i="93"/>
  <c r="H21" i="93"/>
  <c r="G21" i="93"/>
  <c r="F21" i="93"/>
  <c r="E21" i="93"/>
  <c r="D21" i="93"/>
  <c r="B21" i="93"/>
  <c r="M20" i="93"/>
  <c r="F20" i="93"/>
  <c r="E20" i="93"/>
  <c r="N18" i="93"/>
  <c r="M18" i="93"/>
  <c r="O17" i="93"/>
  <c r="N17" i="93"/>
  <c r="H17" i="93"/>
  <c r="Q15" i="93"/>
  <c r="Q14" i="93" s="1"/>
  <c r="B15" i="93"/>
  <c r="O14" i="93"/>
  <c r="N14" i="93"/>
  <c r="M14" i="93"/>
  <c r="L14" i="93"/>
  <c r="K14" i="93"/>
  <c r="J14" i="93"/>
  <c r="I14" i="93"/>
  <c r="H14" i="93"/>
  <c r="G14" i="93"/>
  <c r="F14" i="93"/>
  <c r="E14" i="93"/>
  <c r="D14" i="93"/>
  <c r="G12" i="93"/>
  <c r="F12" i="93"/>
  <c r="E12" i="93"/>
  <c r="D12" i="93"/>
  <c r="Q12" i="93" s="1"/>
  <c r="B12" i="93"/>
  <c r="G11" i="93"/>
  <c r="F11" i="93"/>
  <c r="E11" i="93"/>
  <c r="E10" i="93" s="1"/>
  <c r="D11" i="93"/>
  <c r="B11" i="93"/>
  <c r="O10" i="93"/>
  <c r="N10" i="93"/>
  <c r="M10" i="93"/>
  <c r="M17" i="93" s="1"/>
  <c r="L10" i="93"/>
  <c r="L17" i="93" s="1"/>
  <c r="L18" i="93" s="1"/>
  <c r="K10" i="93"/>
  <c r="K17" i="93" s="1"/>
  <c r="J10" i="93"/>
  <c r="I10" i="93"/>
  <c r="I17" i="93" s="1"/>
  <c r="H10" i="93"/>
  <c r="G10" i="93"/>
  <c r="G17" i="93" s="1"/>
  <c r="F10" i="93"/>
  <c r="O8" i="93"/>
  <c r="N8" i="93"/>
  <c r="M8" i="93"/>
  <c r="L8" i="93"/>
  <c r="K8" i="93"/>
  <c r="J8" i="93"/>
  <c r="I8" i="93"/>
  <c r="H8" i="93"/>
  <c r="G8" i="93"/>
  <c r="F8" i="93"/>
  <c r="E8" i="93"/>
  <c r="D8" i="93"/>
  <c r="B5" i="93"/>
  <c r="Q80" i="92"/>
  <c r="Q75" i="92"/>
  <c r="G75" i="92"/>
  <c r="F75" i="92"/>
  <c r="E75" i="92"/>
  <c r="D75" i="92"/>
  <c r="Q73" i="92"/>
  <c r="B73" i="92"/>
  <c r="O72" i="92"/>
  <c r="N72" i="92"/>
  <c r="M72" i="92"/>
  <c r="L72" i="92"/>
  <c r="K72" i="92"/>
  <c r="J72" i="92"/>
  <c r="I72" i="92"/>
  <c r="H72" i="92"/>
  <c r="G72" i="92"/>
  <c r="F72" i="92"/>
  <c r="E72" i="92"/>
  <c r="D72" i="92"/>
  <c r="Q72" i="92" s="1"/>
  <c r="B72" i="92"/>
  <c r="Q71" i="92"/>
  <c r="B71" i="92"/>
  <c r="Q70" i="92"/>
  <c r="B70" i="92"/>
  <c r="O69" i="92"/>
  <c r="N69" i="92"/>
  <c r="M69" i="92"/>
  <c r="L69" i="92"/>
  <c r="K69" i="92"/>
  <c r="J69" i="92"/>
  <c r="I69" i="92"/>
  <c r="H69" i="92"/>
  <c r="G69" i="92"/>
  <c r="F69" i="92"/>
  <c r="E69" i="92"/>
  <c r="D69" i="92"/>
  <c r="Q69" i="92" s="1"/>
  <c r="B69" i="92"/>
  <c r="Q68" i="92"/>
  <c r="B68" i="92"/>
  <c r="Q67" i="92"/>
  <c r="B67" i="92"/>
  <c r="Q66" i="92"/>
  <c r="B66" i="92"/>
  <c r="Q65" i="92"/>
  <c r="B65" i="92"/>
  <c r="Q64" i="92"/>
  <c r="B64" i="92"/>
  <c r="O63" i="92"/>
  <c r="N63" i="92"/>
  <c r="M63" i="92"/>
  <c r="L63" i="92"/>
  <c r="K63" i="92"/>
  <c r="J63" i="92"/>
  <c r="I63" i="92"/>
  <c r="H63" i="92"/>
  <c r="G63" i="92"/>
  <c r="F63" i="92"/>
  <c r="E63" i="92"/>
  <c r="D63" i="92"/>
  <c r="Q63" i="92" s="1"/>
  <c r="B63" i="92"/>
  <c r="Q62" i="92"/>
  <c r="B62" i="92"/>
  <c r="Q61" i="92"/>
  <c r="B61" i="92"/>
  <c r="Q60" i="92"/>
  <c r="B60" i="92"/>
  <c r="Q59" i="92"/>
  <c r="B59" i="92"/>
  <c r="O58" i="92"/>
  <c r="N58" i="92"/>
  <c r="M58" i="92"/>
  <c r="L58" i="92"/>
  <c r="K58" i="92"/>
  <c r="J58" i="92"/>
  <c r="I58" i="92"/>
  <c r="H58" i="92"/>
  <c r="G58" i="92"/>
  <c r="F58" i="92"/>
  <c r="E58" i="92"/>
  <c r="D58" i="92"/>
  <c r="B58" i="92"/>
  <c r="Q57" i="92"/>
  <c r="B57" i="92"/>
  <c r="O56" i="92"/>
  <c r="N56" i="92"/>
  <c r="M56" i="92"/>
  <c r="L56" i="92"/>
  <c r="K56" i="92"/>
  <c r="J56" i="92"/>
  <c r="I56" i="92"/>
  <c r="H56" i="92"/>
  <c r="G56" i="92"/>
  <c r="F56" i="92"/>
  <c r="E56" i="92"/>
  <c r="D56" i="92"/>
  <c r="B56" i="92"/>
  <c r="Q55" i="92"/>
  <c r="B55" i="92"/>
  <c r="Q54" i="92"/>
  <c r="B54" i="92"/>
  <c r="O53" i="92"/>
  <c r="N53" i="92"/>
  <c r="M53" i="92"/>
  <c r="L53" i="92"/>
  <c r="K53" i="92"/>
  <c r="J53" i="92"/>
  <c r="I53" i="92"/>
  <c r="H53" i="92"/>
  <c r="G53" i="92"/>
  <c r="F53" i="92"/>
  <c r="E53" i="92"/>
  <c r="D53" i="92"/>
  <c r="Q53" i="92" s="1"/>
  <c r="B53" i="92"/>
  <c r="Q52" i="92"/>
  <c r="B52" i="92"/>
  <c r="O51" i="92"/>
  <c r="N51" i="92"/>
  <c r="M51" i="92"/>
  <c r="L51" i="92"/>
  <c r="K51" i="92"/>
  <c r="J51" i="92"/>
  <c r="I51" i="92"/>
  <c r="H51" i="92"/>
  <c r="G51" i="92"/>
  <c r="F51" i="92"/>
  <c r="E51" i="92"/>
  <c r="D51" i="92"/>
  <c r="Q51" i="92" s="1"/>
  <c r="B51" i="92"/>
  <c r="Q50" i="92"/>
  <c r="B50" i="92"/>
  <c r="O49" i="92"/>
  <c r="N49" i="92"/>
  <c r="M49" i="92"/>
  <c r="L49" i="92"/>
  <c r="K49" i="92"/>
  <c r="J49" i="92"/>
  <c r="I49" i="92"/>
  <c r="H49" i="92"/>
  <c r="G49" i="92"/>
  <c r="F49" i="92"/>
  <c r="E49" i="92"/>
  <c r="D49" i="92"/>
  <c r="Q49" i="92" s="1"/>
  <c r="B49" i="92"/>
  <c r="Q48" i="92"/>
  <c r="B48" i="92"/>
  <c r="O47" i="92"/>
  <c r="N47" i="92"/>
  <c r="M47" i="92"/>
  <c r="M19" i="92" s="1"/>
  <c r="L47" i="92"/>
  <c r="K47" i="92"/>
  <c r="J47" i="92"/>
  <c r="I47" i="92"/>
  <c r="H47" i="92"/>
  <c r="G47" i="92"/>
  <c r="F47" i="92"/>
  <c r="E47" i="92"/>
  <c r="D47" i="92"/>
  <c r="B47" i="92"/>
  <c r="Q46" i="92"/>
  <c r="B46" i="92"/>
  <c r="Q45" i="92"/>
  <c r="B45" i="92"/>
  <c r="O44" i="92"/>
  <c r="N44" i="92"/>
  <c r="M44" i="92"/>
  <c r="L44" i="92"/>
  <c r="K44" i="92"/>
  <c r="J44" i="92"/>
  <c r="I44" i="92"/>
  <c r="H44" i="92"/>
  <c r="G44" i="92"/>
  <c r="F44" i="92"/>
  <c r="E44" i="92"/>
  <c r="D44" i="92"/>
  <c r="B44" i="92"/>
  <c r="Q43" i="92"/>
  <c r="B43" i="92"/>
  <c r="O42" i="92"/>
  <c r="N42" i="92"/>
  <c r="M42" i="92"/>
  <c r="L42" i="92"/>
  <c r="K42" i="92"/>
  <c r="J42" i="92"/>
  <c r="I42" i="92"/>
  <c r="H42" i="92"/>
  <c r="G42" i="92"/>
  <c r="F42" i="92"/>
  <c r="E42" i="92"/>
  <c r="D42" i="92"/>
  <c r="B42" i="92"/>
  <c r="Q41" i="92"/>
  <c r="B41" i="92"/>
  <c r="O40" i="92"/>
  <c r="N40" i="92"/>
  <c r="M40" i="92"/>
  <c r="L40" i="92"/>
  <c r="K40" i="92"/>
  <c r="J40" i="92"/>
  <c r="I40" i="92"/>
  <c r="H40" i="92"/>
  <c r="G40" i="92"/>
  <c r="F40" i="92"/>
  <c r="E40" i="92"/>
  <c r="D40" i="92"/>
  <c r="B40" i="92"/>
  <c r="Q39" i="92"/>
  <c r="B39" i="92"/>
  <c r="Q38" i="92"/>
  <c r="B38" i="92"/>
  <c r="Q37" i="92"/>
  <c r="B37" i="92"/>
  <c r="Q36" i="92"/>
  <c r="B36" i="92"/>
  <c r="Q35" i="92"/>
  <c r="B35" i="92"/>
  <c r="Q34" i="92"/>
  <c r="B34" i="92"/>
  <c r="Q33" i="92"/>
  <c r="B33" i="92"/>
  <c r="Q32" i="92"/>
  <c r="B32" i="92"/>
  <c r="Q31" i="92"/>
  <c r="B31" i="92"/>
  <c r="Q30" i="92"/>
  <c r="B30" i="92"/>
  <c r="O29" i="92"/>
  <c r="N29" i="92"/>
  <c r="M29" i="92"/>
  <c r="L29" i="92"/>
  <c r="K29" i="92"/>
  <c r="J29" i="92"/>
  <c r="I29" i="92"/>
  <c r="H29" i="92"/>
  <c r="G29" i="92"/>
  <c r="F29" i="92"/>
  <c r="E29" i="92"/>
  <c r="D29" i="92"/>
  <c r="Q29" i="92" s="1"/>
  <c r="B29" i="92"/>
  <c r="Q28" i="92"/>
  <c r="B28" i="92"/>
  <c r="Q27" i="92"/>
  <c r="B27" i="92"/>
  <c r="Q26" i="92"/>
  <c r="B26" i="92"/>
  <c r="Q25" i="92"/>
  <c r="B25" i="92"/>
  <c r="Q24" i="92"/>
  <c r="B24" i="92"/>
  <c r="Q23" i="92"/>
  <c r="B23" i="92"/>
  <c r="Q22" i="92"/>
  <c r="B22" i="92"/>
  <c r="Q21" i="92"/>
  <c r="B21" i="92"/>
  <c r="O20" i="92"/>
  <c r="N20" i="92"/>
  <c r="M20" i="92"/>
  <c r="L20" i="92"/>
  <c r="K20" i="92"/>
  <c r="J20" i="92"/>
  <c r="I20" i="92"/>
  <c r="H20" i="92"/>
  <c r="G20" i="92"/>
  <c r="F20" i="92"/>
  <c r="E20" i="92"/>
  <c r="D20" i="92"/>
  <c r="B20" i="92"/>
  <c r="N19" i="92"/>
  <c r="I19" i="92"/>
  <c r="H19" i="92"/>
  <c r="O17" i="92"/>
  <c r="E17" i="92"/>
  <c r="O16" i="92"/>
  <c r="K16" i="92"/>
  <c r="J16" i="92"/>
  <c r="E16" i="92"/>
  <c r="D16" i="92"/>
  <c r="Q14" i="92"/>
  <c r="Q13" i="92" s="1"/>
  <c r="B14" i="92"/>
  <c r="O13" i="92"/>
  <c r="N13" i="92"/>
  <c r="M13" i="92"/>
  <c r="L13" i="92"/>
  <c r="K13" i="92"/>
  <c r="J13" i="92"/>
  <c r="I13" i="92"/>
  <c r="H13" i="92"/>
  <c r="G13" i="92"/>
  <c r="F13" i="92"/>
  <c r="E13" i="92"/>
  <c r="D13" i="92"/>
  <c r="G11" i="92"/>
  <c r="G10" i="92" s="1"/>
  <c r="G16" i="92" s="1"/>
  <c r="G17" i="92" s="1"/>
  <c r="F11" i="92"/>
  <c r="F10" i="92" s="1"/>
  <c r="F16" i="92" s="1"/>
  <c r="E11" i="92"/>
  <c r="D11" i="92"/>
  <c r="B11" i="92"/>
  <c r="O10" i="92"/>
  <c r="N10" i="92"/>
  <c r="M10" i="92"/>
  <c r="M16" i="92" s="1"/>
  <c r="L10" i="92"/>
  <c r="L16" i="92" s="1"/>
  <c r="K10" i="92"/>
  <c r="J10" i="92"/>
  <c r="I10" i="92"/>
  <c r="H10" i="92"/>
  <c r="H16" i="92" s="1"/>
  <c r="E10" i="92"/>
  <c r="D10" i="92"/>
  <c r="O8" i="92"/>
  <c r="N8" i="92"/>
  <c r="M8" i="92"/>
  <c r="L8" i="92"/>
  <c r="K8" i="92"/>
  <c r="J8" i="92"/>
  <c r="I8" i="92"/>
  <c r="H8" i="92"/>
  <c r="G8" i="92"/>
  <c r="F8" i="92"/>
  <c r="E8" i="92"/>
  <c r="D8" i="92"/>
  <c r="B5" i="92"/>
  <c r="Q83" i="91"/>
  <c r="G78" i="91"/>
  <c r="F78" i="91"/>
  <c r="E78" i="91"/>
  <c r="D78" i="91"/>
  <c r="Q76" i="91"/>
  <c r="B76" i="91"/>
  <c r="O75" i="91"/>
  <c r="N75" i="91"/>
  <c r="M75" i="91"/>
  <c r="L75" i="91"/>
  <c r="K75" i="91"/>
  <c r="J75" i="91"/>
  <c r="I75" i="91"/>
  <c r="H75" i="91"/>
  <c r="G75" i="91"/>
  <c r="F75" i="91"/>
  <c r="E75" i="91"/>
  <c r="D75" i="91"/>
  <c r="B75" i="91"/>
  <c r="Q74" i="91"/>
  <c r="B74" i="91"/>
  <c r="O73" i="91"/>
  <c r="N73" i="91"/>
  <c r="M73" i="91"/>
  <c r="L73" i="91"/>
  <c r="K73" i="91"/>
  <c r="J73" i="91"/>
  <c r="I73" i="91"/>
  <c r="H73" i="91"/>
  <c r="G73" i="91"/>
  <c r="F73" i="91"/>
  <c r="E73" i="91"/>
  <c r="D73" i="91"/>
  <c r="B73" i="91"/>
  <c r="Q72" i="91"/>
  <c r="B72" i="91"/>
  <c r="O71" i="91"/>
  <c r="N71" i="91"/>
  <c r="M71" i="91"/>
  <c r="L71" i="91"/>
  <c r="K71" i="91"/>
  <c r="J71" i="91"/>
  <c r="I71" i="91"/>
  <c r="H71" i="91"/>
  <c r="G71" i="91"/>
  <c r="F71" i="91"/>
  <c r="E71" i="91"/>
  <c r="D71" i="91"/>
  <c r="Q71" i="91" s="1"/>
  <c r="B71" i="91"/>
  <c r="Q70" i="91"/>
  <c r="B70" i="91"/>
  <c r="Q69" i="91"/>
  <c r="B69" i="91"/>
  <c r="Q68" i="91"/>
  <c r="B68" i="91"/>
  <c r="Q67" i="91"/>
  <c r="B67" i="91"/>
  <c r="Q66" i="91"/>
  <c r="B66" i="91"/>
  <c r="Q65" i="91"/>
  <c r="B65" i="91"/>
  <c r="O64" i="91"/>
  <c r="N64" i="91"/>
  <c r="M64" i="91"/>
  <c r="L64" i="91"/>
  <c r="K64" i="91"/>
  <c r="J64" i="91"/>
  <c r="I64" i="91"/>
  <c r="H64" i="91"/>
  <c r="G64" i="91"/>
  <c r="F64" i="91"/>
  <c r="E64" i="91"/>
  <c r="D64" i="91"/>
  <c r="B64" i="91"/>
  <c r="Q63" i="91"/>
  <c r="B63" i="91"/>
  <c r="O62" i="91"/>
  <c r="N62" i="91"/>
  <c r="M62" i="91"/>
  <c r="L62" i="91"/>
  <c r="K62" i="91"/>
  <c r="J62" i="91"/>
  <c r="I62" i="91"/>
  <c r="H62" i="91"/>
  <c r="G62" i="91"/>
  <c r="F62" i="91"/>
  <c r="E62" i="91"/>
  <c r="D62" i="91"/>
  <c r="B62" i="91"/>
  <c r="Q61" i="91"/>
  <c r="B61" i="91"/>
  <c r="Q60" i="91"/>
  <c r="B60" i="91"/>
  <c r="Q59" i="91"/>
  <c r="B59" i="91"/>
  <c r="Q58" i="91"/>
  <c r="B58" i="91"/>
  <c r="O57" i="91"/>
  <c r="N57" i="91"/>
  <c r="M57" i="91"/>
  <c r="L57" i="91"/>
  <c r="K57" i="91"/>
  <c r="J57" i="91"/>
  <c r="I57" i="91"/>
  <c r="H57" i="91"/>
  <c r="G57" i="91"/>
  <c r="F57" i="91"/>
  <c r="E57" i="91"/>
  <c r="D57" i="91"/>
  <c r="B57" i="91"/>
  <c r="Q56" i="91"/>
  <c r="B56" i="91"/>
  <c r="Q55" i="91"/>
  <c r="B55" i="91"/>
  <c r="O54" i="91"/>
  <c r="N54" i="91"/>
  <c r="M54" i="91"/>
  <c r="L54" i="91"/>
  <c r="K54" i="91"/>
  <c r="J54" i="91"/>
  <c r="I54" i="91"/>
  <c r="H54" i="91"/>
  <c r="G54" i="91"/>
  <c r="F54" i="91"/>
  <c r="E54" i="91"/>
  <c r="D54" i="91"/>
  <c r="B54" i="91"/>
  <c r="Q53" i="91"/>
  <c r="B53" i="91"/>
  <c r="O52" i="91"/>
  <c r="N52" i="91"/>
  <c r="M52" i="91"/>
  <c r="L52" i="91"/>
  <c r="K52" i="91"/>
  <c r="J52" i="91"/>
  <c r="I52" i="91"/>
  <c r="H52" i="91"/>
  <c r="G52" i="91"/>
  <c r="F52" i="91"/>
  <c r="E52" i="91"/>
  <c r="D52" i="91"/>
  <c r="B52" i="91"/>
  <c r="Q51" i="91"/>
  <c r="B51" i="91"/>
  <c r="O50" i="91"/>
  <c r="N50" i="91"/>
  <c r="M50" i="91"/>
  <c r="L50" i="91"/>
  <c r="K50" i="91"/>
  <c r="J50" i="91"/>
  <c r="I50" i="91"/>
  <c r="H50" i="91"/>
  <c r="G50" i="91"/>
  <c r="F50" i="91"/>
  <c r="E50" i="91"/>
  <c r="D50" i="91"/>
  <c r="B50" i="91"/>
  <c r="Q49" i="91"/>
  <c r="B49" i="91"/>
  <c r="O48" i="91"/>
  <c r="N48" i="91"/>
  <c r="N17" i="91" s="1"/>
  <c r="M48" i="91"/>
  <c r="L48" i="91"/>
  <c r="K48" i="91"/>
  <c r="J48" i="91"/>
  <c r="I48" i="91"/>
  <c r="H48" i="91"/>
  <c r="G48" i="91"/>
  <c r="F48" i="91"/>
  <c r="E48" i="91"/>
  <c r="D48" i="91"/>
  <c r="B48" i="91"/>
  <c r="Q47" i="91"/>
  <c r="B47" i="91"/>
  <c r="O46" i="91"/>
  <c r="N46" i="91"/>
  <c r="M46" i="91"/>
  <c r="L46" i="91"/>
  <c r="K46" i="91"/>
  <c r="J46" i="91"/>
  <c r="I46" i="91"/>
  <c r="H46" i="91"/>
  <c r="G46" i="91"/>
  <c r="F46" i="91"/>
  <c r="E46" i="91"/>
  <c r="D46" i="91"/>
  <c r="Q46" i="91" s="1"/>
  <c r="B46" i="91"/>
  <c r="Q45" i="91"/>
  <c r="B45" i="91"/>
  <c r="Q44" i="91"/>
  <c r="B44" i="91"/>
  <c r="O43" i="91"/>
  <c r="N43" i="91"/>
  <c r="M43" i="91"/>
  <c r="L43" i="91"/>
  <c r="K43" i="91"/>
  <c r="J43" i="91"/>
  <c r="I43" i="91"/>
  <c r="H43" i="91"/>
  <c r="G43" i="91"/>
  <c r="F43" i="91"/>
  <c r="E43" i="91"/>
  <c r="D43" i="91"/>
  <c r="Q43" i="91" s="1"/>
  <c r="B43" i="91"/>
  <c r="Q42" i="91"/>
  <c r="B42" i="91"/>
  <c r="O41" i="91"/>
  <c r="N41" i="91"/>
  <c r="M41" i="91"/>
  <c r="L41" i="91"/>
  <c r="K41" i="91"/>
  <c r="J41" i="91"/>
  <c r="I41" i="91"/>
  <c r="H41" i="91"/>
  <c r="G41" i="91"/>
  <c r="F41" i="91"/>
  <c r="E41" i="91"/>
  <c r="D41" i="91"/>
  <c r="B41" i="91"/>
  <c r="Q40" i="91"/>
  <c r="B40" i="91"/>
  <c r="O39" i="91"/>
  <c r="O17" i="91" s="1"/>
  <c r="N39" i="91"/>
  <c r="M39" i="91"/>
  <c r="L39" i="91"/>
  <c r="K39" i="91"/>
  <c r="J39" i="91"/>
  <c r="I39" i="91"/>
  <c r="H39" i="91"/>
  <c r="G39" i="91"/>
  <c r="F39" i="91"/>
  <c r="E39" i="91"/>
  <c r="D39" i="91"/>
  <c r="B39" i="91"/>
  <c r="Q38" i="91"/>
  <c r="B38" i="91"/>
  <c r="Q37" i="91"/>
  <c r="B37" i="91"/>
  <c r="Q36" i="91"/>
  <c r="B36" i="91"/>
  <c r="Q35" i="91"/>
  <c r="B35" i="91"/>
  <c r="Q34" i="91"/>
  <c r="B34" i="91"/>
  <c r="Q33" i="91"/>
  <c r="B33" i="91"/>
  <c r="Q32" i="91"/>
  <c r="B32" i="91"/>
  <c r="Q31" i="91"/>
  <c r="B31" i="91"/>
  <c r="Q30" i="91"/>
  <c r="B30" i="91"/>
  <c r="Q29" i="91"/>
  <c r="B29" i="91"/>
  <c r="O28" i="91"/>
  <c r="N28" i="91"/>
  <c r="M28" i="91"/>
  <c r="L28" i="91"/>
  <c r="K28" i="91"/>
  <c r="K17" i="91" s="1"/>
  <c r="J28" i="91"/>
  <c r="I28" i="91"/>
  <c r="H28" i="91"/>
  <c r="G28" i="91"/>
  <c r="F28" i="91"/>
  <c r="E28" i="91"/>
  <c r="E17" i="91" s="1"/>
  <c r="D28" i="91"/>
  <c r="B28" i="91"/>
  <c r="Q27" i="91"/>
  <c r="B27" i="91"/>
  <c r="Q26" i="91"/>
  <c r="B26" i="91"/>
  <c r="Q25" i="91"/>
  <c r="B25" i="91"/>
  <c r="Q24" i="91"/>
  <c r="B24" i="91"/>
  <c r="Q23" i="91"/>
  <c r="B23" i="91"/>
  <c r="Q22" i="91"/>
  <c r="B22" i="91"/>
  <c r="Q21" i="91"/>
  <c r="B21" i="91"/>
  <c r="Q20" i="91"/>
  <c r="B20" i="91"/>
  <c r="Q19" i="91"/>
  <c r="B19" i="91"/>
  <c r="O18" i="91"/>
  <c r="N18" i="91"/>
  <c r="M18" i="91"/>
  <c r="M17" i="91" s="1"/>
  <c r="L18" i="91"/>
  <c r="L17" i="91" s="1"/>
  <c r="K18" i="91"/>
  <c r="J18" i="91"/>
  <c r="I18" i="91"/>
  <c r="H18" i="91"/>
  <c r="G18" i="91"/>
  <c r="G17" i="91" s="1"/>
  <c r="F18" i="91"/>
  <c r="E18" i="91"/>
  <c r="D18" i="91"/>
  <c r="B18" i="91"/>
  <c r="I17" i="91"/>
  <c r="H17" i="91"/>
  <c r="K14" i="91"/>
  <c r="J14" i="91"/>
  <c r="G14" i="91"/>
  <c r="Q12" i="91"/>
  <c r="O12" i="91"/>
  <c r="N12" i="91"/>
  <c r="N14" i="91" s="1"/>
  <c r="M12" i="91"/>
  <c r="L12" i="91"/>
  <c r="K12" i="91"/>
  <c r="J12" i="91"/>
  <c r="I12" i="91"/>
  <c r="H12" i="91"/>
  <c r="G12" i="91"/>
  <c r="F12" i="91"/>
  <c r="E12" i="91"/>
  <c r="D12" i="91"/>
  <c r="Q10" i="91"/>
  <c r="Q14" i="91" s="1"/>
  <c r="O10" i="91"/>
  <c r="N10" i="91"/>
  <c r="M10" i="91"/>
  <c r="M14" i="91" s="1"/>
  <c r="L10" i="91"/>
  <c r="K10" i="91"/>
  <c r="J10" i="91"/>
  <c r="I10" i="91"/>
  <c r="I14" i="91" s="1"/>
  <c r="H10" i="91"/>
  <c r="G10" i="91"/>
  <c r="F10" i="91"/>
  <c r="F14" i="91" s="1"/>
  <c r="E10" i="91"/>
  <c r="E14" i="91" s="1"/>
  <c r="E80" i="91" s="1"/>
  <c r="D10" i="91"/>
  <c r="D14" i="91" s="1"/>
  <c r="O8" i="91"/>
  <c r="N8" i="91"/>
  <c r="M8" i="91"/>
  <c r="L8" i="91"/>
  <c r="K8" i="91"/>
  <c r="J8" i="91"/>
  <c r="I8" i="91"/>
  <c r="H8" i="91"/>
  <c r="G8" i="91"/>
  <c r="F8" i="91"/>
  <c r="E8" i="91"/>
  <c r="D8" i="91"/>
  <c r="B5" i="91"/>
  <c r="Q34" i="88"/>
  <c r="G29" i="88"/>
  <c r="F29" i="88"/>
  <c r="E29" i="88"/>
  <c r="D29" i="88"/>
  <c r="Q29" i="88" s="1"/>
  <c r="Q27" i="88"/>
  <c r="B27" i="88"/>
  <c r="O26" i="88"/>
  <c r="N26" i="88"/>
  <c r="M26" i="88"/>
  <c r="L26" i="88"/>
  <c r="K26" i="88"/>
  <c r="J26" i="88"/>
  <c r="I26" i="88"/>
  <c r="H26" i="88"/>
  <c r="G26" i="88"/>
  <c r="F26" i="88"/>
  <c r="E26" i="88"/>
  <c r="D26" i="88"/>
  <c r="B26" i="88"/>
  <c r="Q25" i="88"/>
  <c r="B25" i="88"/>
  <c r="O24" i="88"/>
  <c r="N24" i="88"/>
  <c r="M24" i="88"/>
  <c r="L24" i="88"/>
  <c r="K24" i="88"/>
  <c r="J24" i="88"/>
  <c r="I24" i="88"/>
  <c r="H24" i="88"/>
  <c r="G24" i="88"/>
  <c r="F24" i="88"/>
  <c r="E24" i="88"/>
  <c r="D24" i="88"/>
  <c r="B24" i="88"/>
  <c r="Q23" i="88"/>
  <c r="B23" i="88"/>
  <c r="O22" i="88"/>
  <c r="N22" i="88"/>
  <c r="M22" i="88"/>
  <c r="L22" i="88"/>
  <c r="K22" i="88"/>
  <c r="J22" i="88"/>
  <c r="I22" i="88"/>
  <c r="H22" i="88"/>
  <c r="G22" i="88"/>
  <c r="F22" i="88"/>
  <c r="F17" i="88" s="1"/>
  <c r="E22" i="88"/>
  <c r="E17" i="88" s="1"/>
  <c r="D22" i="88"/>
  <c r="B22" i="88"/>
  <c r="Q21" i="88"/>
  <c r="B21" i="88"/>
  <c r="O20" i="88"/>
  <c r="N20" i="88"/>
  <c r="M20" i="88"/>
  <c r="L20" i="88"/>
  <c r="K20" i="88"/>
  <c r="J20" i="88"/>
  <c r="J17" i="88" s="1"/>
  <c r="I20" i="88"/>
  <c r="H20" i="88"/>
  <c r="G20" i="88"/>
  <c r="F20" i="88"/>
  <c r="E20" i="88"/>
  <c r="D20" i="88"/>
  <c r="B20" i="88"/>
  <c r="Q19" i="88"/>
  <c r="B19" i="88"/>
  <c r="O18" i="88"/>
  <c r="N18" i="88"/>
  <c r="M18" i="88"/>
  <c r="M17" i="88" s="1"/>
  <c r="L18" i="88"/>
  <c r="K18" i="88"/>
  <c r="K17" i="88" s="1"/>
  <c r="J18" i="88"/>
  <c r="I18" i="88"/>
  <c r="H18" i="88"/>
  <c r="H17" i="88" s="1"/>
  <c r="G18" i="88"/>
  <c r="F18" i="88"/>
  <c r="E18" i="88"/>
  <c r="D18" i="88"/>
  <c r="B18" i="88"/>
  <c r="O17" i="88"/>
  <c r="G17" i="88"/>
  <c r="L15" i="88"/>
  <c r="Q14" i="88"/>
  <c r="Q15" i="88" s="1"/>
  <c r="L14" i="88"/>
  <c r="I14" i="88"/>
  <c r="H14" i="88"/>
  <c r="G14" i="88"/>
  <c r="F14" i="88"/>
  <c r="F15" i="88" s="1"/>
  <c r="Q12" i="88"/>
  <c r="O12" i="88"/>
  <c r="N12" i="88"/>
  <c r="M12" i="88"/>
  <c r="M14" i="88" s="1"/>
  <c r="L12" i="88"/>
  <c r="K12" i="88"/>
  <c r="J12" i="88"/>
  <c r="I12" i="88"/>
  <c r="H12" i="88"/>
  <c r="G12" i="88"/>
  <c r="F12" i="88"/>
  <c r="E12" i="88"/>
  <c r="D12" i="88"/>
  <c r="D14" i="88" s="1"/>
  <c r="Q10" i="88"/>
  <c r="O10" i="88"/>
  <c r="O14" i="88" s="1"/>
  <c r="N10" i="88"/>
  <c r="M10" i="88"/>
  <c r="L10" i="88"/>
  <c r="K10" i="88"/>
  <c r="K14" i="88" s="1"/>
  <c r="J10" i="88"/>
  <c r="J14" i="88" s="1"/>
  <c r="I10" i="88"/>
  <c r="H10" i="88"/>
  <c r="G10" i="88"/>
  <c r="F10" i="88"/>
  <c r="E10" i="88"/>
  <c r="E14" i="88" s="1"/>
  <c r="D10" i="88"/>
  <c r="O8" i="88"/>
  <c r="N8" i="88"/>
  <c r="M8" i="88"/>
  <c r="L8" i="88"/>
  <c r="K8" i="88"/>
  <c r="J8" i="88"/>
  <c r="I8" i="88"/>
  <c r="H8" i="88"/>
  <c r="G8" i="88"/>
  <c r="F8" i="88"/>
  <c r="E8" i="88"/>
  <c r="D8" i="88"/>
  <c r="B5" i="88"/>
  <c r="Q89" i="87"/>
  <c r="G84" i="87"/>
  <c r="F84" i="87"/>
  <c r="E84" i="87"/>
  <c r="D84" i="87"/>
  <c r="Q84" i="87" s="1"/>
  <c r="Q82" i="87"/>
  <c r="B82" i="87"/>
  <c r="O81" i="87"/>
  <c r="N81" i="87"/>
  <c r="M81" i="87"/>
  <c r="L81" i="87"/>
  <c r="K81" i="87"/>
  <c r="J81" i="87"/>
  <c r="I81" i="87"/>
  <c r="H81" i="87"/>
  <c r="G81" i="87"/>
  <c r="F81" i="87"/>
  <c r="E81" i="87"/>
  <c r="D81" i="87"/>
  <c r="B81" i="87"/>
  <c r="Q80" i="87"/>
  <c r="B80" i="87"/>
  <c r="O79" i="87"/>
  <c r="N79" i="87"/>
  <c r="M79" i="87"/>
  <c r="L79" i="87"/>
  <c r="K79" i="87"/>
  <c r="J79" i="87"/>
  <c r="I79" i="87"/>
  <c r="H79" i="87"/>
  <c r="G79" i="87"/>
  <c r="F79" i="87"/>
  <c r="E79" i="87"/>
  <c r="D79" i="87"/>
  <c r="B79" i="87"/>
  <c r="Q78" i="87"/>
  <c r="B78" i="87"/>
  <c r="O77" i="87"/>
  <c r="N77" i="87"/>
  <c r="M77" i="87"/>
  <c r="L77" i="87"/>
  <c r="K77" i="87"/>
  <c r="J77" i="87"/>
  <c r="I77" i="87"/>
  <c r="H77" i="87"/>
  <c r="G77" i="87"/>
  <c r="F77" i="87"/>
  <c r="E77" i="87"/>
  <c r="D77" i="87"/>
  <c r="B77" i="87"/>
  <c r="Q76" i="87"/>
  <c r="B76" i="87"/>
  <c r="Q75" i="87"/>
  <c r="B75" i="87"/>
  <c r="Q74" i="87"/>
  <c r="B74" i="87"/>
  <c r="Q73" i="87"/>
  <c r="B73" i="87"/>
  <c r="Q72" i="87"/>
  <c r="B72" i="87"/>
  <c r="Q71" i="87"/>
  <c r="B71" i="87"/>
  <c r="Q70" i="87"/>
  <c r="B70" i="87"/>
  <c r="Q69" i="87"/>
  <c r="B69" i="87"/>
  <c r="O68" i="87"/>
  <c r="N68" i="87"/>
  <c r="M68" i="87"/>
  <c r="L68" i="87"/>
  <c r="K68" i="87"/>
  <c r="J68" i="87"/>
  <c r="I68" i="87"/>
  <c r="H68" i="87"/>
  <c r="G68" i="87"/>
  <c r="F68" i="87"/>
  <c r="E68" i="87"/>
  <c r="D68" i="87"/>
  <c r="Q68" i="87" s="1"/>
  <c r="B68" i="87"/>
  <c r="Q67" i="87"/>
  <c r="B67" i="87"/>
  <c r="O66" i="87"/>
  <c r="N66" i="87"/>
  <c r="M66" i="87"/>
  <c r="L66" i="87"/>
  <c r="K66" i="87"/>
  <c r="J66" i="87"/>
  <c r="I66" i="87"/>
  <c r="H66" i="87"/>
  <c r="G66" i="87"/>
  <c r="F66" i="87"/>
  <c r="E66" i="87"/>
  <c r="D66" i="87"/>
  <c r="B66" i="87"/>
  <c r="Q65" i="87"/>
  <c r="B65" i="87"/>
  <c r="Q64" i="87"/>
  <c r="B64" i="87"/>
  <c r="Q63" i="87"/>
  <c r="B63" i="87"/>
  <c r="Q62" i="87"/>
  <c r="B62" i="87"/>
  <c r="O61" i="87"/>
  <c r="N61" i="87"/>
  <c r="M61" i="87"/>
  <c r="L61" i="87"/>
  <c r="K61" i="87"/>
  <c r="J61" i="87"/>
  <c r="I61" i="87"/>
  <c r="H61" i="87"/>
  <c r="G61" i="87"/>
  <c r="F61" i="87"/>
  <c r="E61" i="87"/>
  <c r="D61" i="87"/>
  <c r="Q61" i="87" s="1"/>
  <c r="B61" i="87"/>
  <c r="Q60" i="87"/>
  <c r="B60" i="87"/>
  <c r="O59" i="87"/>
  <c r="N59" i="87"/>
  <c r="M59" i="87"/>
  <c r="L59" i="87"/>
  <c r="K59" i="87"/>
  <c r="J59" i="87"/>
  <c r="I59" i="87"/>
  <c r="H59" i="87"/>
  <c r="G59" i="87"/>
  <c r="F59" i="87"/>
  <c r="E59" i="87"/>
  <c r="D59" i="87"/>
  <c r="B59" i="87"/>
  <c r="Q58" i="87"/>
  <c r="B58" i="87"/>
  <c r="Q57" i="87"/>
  <c r="B57" i="87"/>
  <c r="O56" i="87"/>
  <c r="N56" i="87"/>
  <c r="M56" i="87"/>
  <c r="L56" i="87"/>
  <c r="K56" i="87"/>
  <c r="J56" i="87"/>
  <c r="I56" i="87"/>
  <c r="H56" i="87"/>
  <c r="G56" i="87"/>
  <c r="F56" i="87"/>
  <c r="E56" i="87"/>
  <c r="D56" i="87"/>
  <c r="Q56" i="87" s="1"/>
  <c r="B56" i="87"/>
  <c r="Q55" i="87"/>
  <c r="B55" i="87"/>
  <c r="O54" i="87"/>
  <c r="N54" i="87"/>
  <c r="M54" i="87"/>
  <c r="L54" i="87"/>
  <c r="K54" i="87"/>
  <c r="J54" i="87"/>
  <c r="I54" i="87"/>
  <c r="H54" i="87"/>
  <c r="G54" i="87"/>
  <c r="F54" i="87"/>
  <c r="E54" i="87"/>
  <c r="D54" i="87"/>
  <c r="B54" i="87"/>
  <c r="Q53" i="87"/>
  <c r="B53" i="87"/>
  <c r="O52" i="87"/>
  <c r="N52" i="87"/>
  <c r="M52" i="87"/>
  <c r="L52" i="87"/>
  <c r="K52" i="87"/>
  <c r="K20" i="87" s="1"/>
  <c r="J52" i="87"/>
  <c r="I52" i="87"/>
  <c r="H52" i="87"/>
  <c r="G52" i="87"/>
  <c r="F52" i="87"/>
  <c r="E52" i="87"/>
  <c r="D52" i="87"/>
  <c r="B52" i="87"/>
  <c r="Q51" i="87"/>
  <c r="B51" i="87"/>
  <c r="O50" i="87"/>
  <c r="N50" i="87"/>
  <c r="M50" i="87"/>
  <c r="L50" i="87"/>
  <c r="K50" i="87"/>
  <c r="J50" i="87"/>
  <c r="I50" i="87"/>
  <c r="H50" i="87"/>
  <c r="G50" i="87"/>
  <c r="F50" i="87"/>
  <c r="E50" i="87"/>
  <c r="D50" i="87"/>
  <c r="Q50" i="87" s="1"/>
  <c r="B50" i="87"/>
  <c r="Q49" i="87"/>
  <c r="B49" i="87"/>
  <c r="O48" i="87"/>
  <c r="N48" i="87"/>
  <c r="M48" i="87"/>
  <c r="L48" i="87"/>
  <c r="K48" i="87"/>
  <c r="J48" i="87"/>
  <c r="I48" i="87"/>
  <c r="H48" i="87"/>
  <c r="G48" i="87"/>
  <c r="F48" i="87"/>
  <c r="E48" i="87"/>
  <c r="D48" i="87"/>
  <c r="B48" i="87"/>
  <c r="Q47" i="87"/>
  <c r="B47" i="87"/>
  <c r="Q46" i="87"/>
  <c r="B46" i="87"/>
  <c r="O45" i="87"/>
  <c r="N45" i="87"/>
  <c r="M45" i="87"/>
  <c r="L45" i="87"/>
  <c r="K45" i="87"/>
  <c r="J45" i="87"/>
  <c r="I45" i="87"/>
  <c r="H45" i="87"/>
  <c r="G45" i="87"/>
  <c r="F45" i="87"/>
  <c r="E45" i="87"/>
  <c r="D45" i="87"/>
  <c r="B45" i="87"/>
  <c r="Q44" i="87"/>
  <c r="B44" i="87"/>
  <c r="O43" i="87"/>
  <c r="N43" i="87"/>
  <c r="M43" i="87"/>
  <c r="L43" i="87"/>
  <c r="K43" i="87"/>
  <c r="J43" i="87"/>
  <c r="I43" i="87"/>
  <c r="H43" i="87"/>
  <c r="G43" i="87"/>
  <c r="F43" i="87"/>
  <c r="E43" i="87"/>
  <c r="D43" i="87"/>
  <c r="B43" i="87"/>
  <c r="Q42" i="87"/>
  <c r="B42" i="87"/>
  <c r="O41" i="87"/>
  <c r="N41" i="87"/>
  <c r="M41" i="87"/>
  <c r="L41" i="87"/>
  <c r="K41" i="87"/>
  <c r="J41" i="87"/>
  <c r="I41" i="87"/>
  <c r="H41" i="87"/>
  <c r="G41" i="87"/>
  <c r="F41" i="87"/>
  <c r="E41" i="87"/>
  <c r="D41" i="87"/>
  <c r="B41" i="87"/>
  <c r="Q40" i="87"/>
  <c r="B40" i="87"/>
  <c r="Q39" i="87"/>
  <c r="B39" i="87"/>
  <c r="Q38" i="87"/>
  <c r="B38" i="87"/>
  <c r="Q37" i="87"/>
  <c r="B37" i="87"/>
  <c r="Q36" i="87"/>
  <c r="B36" i="87"/>
  <c r="Q35" i="87"/>
  <c r="B35" i="87"/>
  <c r="Q34" i="87"/>
  <c r="B34" i="87"/>
  <c r="Q33" i="87"/>
  <c r="B33" i="87"/>
  <c r="Q32" i="87"/>
  <c r="B32" i="87"/>
  <c r="Q31" i="87"/>
  <c r="B31" i="87"/>
  <c r="O30" i="87"/>
  <c r="N30" i="87"/>
  <c r="M30" i="87"/>
  <c r="L30" i="87"/>
  <c r="K30" i="87"/>
  <c r="J30" i="87"/>
  <c r="I30" i="87"/>
  <c r="H30" i="87"/>
  <c r="H20" i="87" s="1"/>
  <c r="G30" i="87"/>
  <c r="F30" i="87"/>
  <c r="E30" i="87"/>
  <c r="D30" i="87"/>
  <c r="B30" i="87"/>
  <c r="Q29" i="87"/>
  <c r="B29" i="87"/>
  <c r="Q28" i="87"/>
  <c r="B28" i="87"/>
  <c r="Q27" i="87"/>
  <c r="B27" i="87"/>
  <c r="Q26" i="87"/>
  <c r="B26" i="87"/>
  <c r="Q25" i="87"/>
  <c r="B25" i="87"/>
  <c r="Q24" i="87"/>
  <c r="B24" i="87"/>
  <c r="Q23" i="87"/>
  <c r="B23" i="87"/>
  <c r="Q22" i="87"/>
  <c r="B22" i="87"/>
  <c r="O21" i="87"/>
  <c r="N21" i="87"/>
  <c r="M21" i="87"/>
  <c r="M20" i="87" s="1"/>
  <c r="L21" i="87"/>
  <c r="K21" i="87"/>
  <c r="J21" i="87"/>
  <c r="I21" i="87"/>
  <c r="H21" i="87"/>
  <c r="G21" i="87"/>
  <c r="G20" i="87" s="1"/>
  <c r="F21" i="87"/>
  <c r="E21" i="87"/>
  <c r="D21" i="87"/>
  <c r="B21" i="87"/>
  <c r="O20" i="87"/>
  <c r="L18" i="87"/>
  <c r="L17" i="87"/>
  <c r="K17" i="87"/>
  <c r="J17" i="87"/>
  <c r="Q15" i="87"/>
  <c r="B15" i="87"/>
  <c r="Q14" i="87"/>
  <c r="O14" i="87"/>
  <c r="N14" i="87"/>
  <c r="M14" i="87"/>
  <c r="M17" i="87" s="1"/>
  <c r="L14" i="87"/>
  <c r="K14" i="87"/>
  <c r="J14" i="87"/>
  <c r="I14" i="87"/>
  <c r="H14" i="87"/>
  <c r="G14" i="87"/>
  <c r="F14" i="87"/>
  <c r="E14" i="87"/>
  <c r="D14" i="87"/>
  <c r="G12" i="87"/>
  <c r="F12" i="87"/>
  <c r="Q12" i="87" s="1"/>
  <c r="E12" i="87"/>
  <c r="D12" i="87"/>
  <c r="B12" i="87"/>
  <c r="G11" i="87"/>
  <c r="G10" i="87" s="1"/>
  <c r="G17" i="87" s="1"/>
  <c r="F11" i="87"/>
  <c r="F10" i="87" s="1"/>
  <c r="F17" i="87" s="1"/>
  <c r="E11" i="87"/>
  <c r="D11" i="87"/>
  <c r="B11" i="87"/>
  <c r="O10" i="87"/>
  <c r="O17" i="87" s="1"/>
  <c r="N10" i="87"/>
  <c r="M10" i="87"/>
  <c r="L10" i="87"/>
  <c r="K10" i="87"/>
  <c r="J10" i="87"/>
  <c r="I10" i="87"/>
  <c r="H10" i="87"/>
  <c r="E10" i="87"/>
  <c r="E17" i="87" s="1"/>
  <c r="D10" i="87"/>
  <c r="O8" i="87"/>
  <c r="N8" i="87"/>
  <c r="M8" i="87"/>
  <c r="L8" i="87"/>
  <c r="K8" i="87"/>
  <c r="J8" i="87"/>
  <c r="I8" i="87"/>
  <c r="H8" i="87"/>
  <c r="G8" i="87"/>
  <c r="F8" i="87"/>
  <c r="E8" i="87"/>
  <c r="D8" i="87"/>
  <c r="B5" i="87"/>
  <c r="F37" i="85"/>
  <c r="F36" i="85"/>
  <c r="Q30" i="85"/>
  <c r="F28" i="85"/>
  <c r="G25" i="85"/>
  <c r="F25" i="85"/>
  <c r="E25" i="85"/>
  <c r="D25" i="85"/>
  <c r="Q23" i="85"/>
  <c r="B23" i="85"/>
  <c r="O22" i="85"/>
  <c r="O21" i="85" s="1"/>
  <c r="N22" i="85"/>
  <c r="M22" i="85"/>
  <c r="M21" i="85" s="1"/>
  <c r="L22" i="85"/>
  <c r="L21" i="85" s="1"/>
  <c r="K22" i="85"/>
  <c r="K21" i="85" s="1"/>
  <c r="J22" i="85"/>
  <c r="I22" i="85"/>
  <c r="H22" i="85"/>
  <c r="H21" i="85" s="1"/>
  <c r="G22" i="85"/>
  <c r="G21" i="85" s="1"/>
  <c r="F22" i="85"/>
  <c r="F21" i="85" s="1"/>
  <c r="E22" i="85"/>
  <c r="D22" i="85"/>
  <c r="B22" i="85"/>
  <c r="N21" i="85"/>
  <c r="J21" i="85"/>
  <c r="I21" i="85"/>
  <c r="E21" i="85"/>
  <c r="D21" i="85"/>
  <c r="H19" i="85"/>
  <c r="F19" i="85"/>
  <c r="H18" i="85"/>
  <c r="H27" i="85" s="1"/>
  <c r="H28" i="85" s="1"/>
  <c r="G18" i="85"/>
  <c r="G19" i="85" s="1"/>
  <c r="Q16" i="85"/>
  <c r="B16" i="85"/>
  <c r="Q15" i="85"/>
  <c r="B15" i="85"/>
  <c r="Q14" i="85"/>
  <c r="O14" i="85"/>
  <c r="N14" i="85"/>
  <c r="M14" i="85"/>
  <c r="L14" i="85"/>
  <c r="L18" i="85" s="1"/>
  <c r="K14" i="85"/>
  <c r="J14" i="85"/>
  <c r="I14" i="85"/>
  <c r="I18" i="85" s="1"/>
  <c r="H14" i="85"/>
  <c r="G14" i="85"/>
  <c r="F14" i="85"/>
  <c r="E14" i="85"/>
  <c r="D14" i="85"/>
  <c r="G12" i="85"/>
  <c r="F12" i="85"/>
  <c r="E12" i="85"/>
  <c r="E10" i="85" s="1"/>
  <c r="D12" i="85"/>
  <c r="Q12" i="85" s="1"/>
  <c r="B12" i="85"/>
  <c r="G11" i="85"/>
  <c r="G10" i="85" s="1"/>
  <c r="F11" i="85"/>
  <c r="E11" i="85"/>
  <c r="D11" i="85"/>
  <c r="D10" i="85" s="1"/>
  <c r="D18" i="85" s="1"/>
  <c r="B11" i="85"/>
  <c r="O10" i="85"/>
  <c r="O18" i="85" s="1"/>
  <c r="N10" i="85"/>
  <c r="N18" i="85" s="1"/>
  <c r="M10" i="85"/>
  <c r="M18" i="85" s="1"/>
  <c r="L10" i="85"/>
  <c r="K10" i="85"/>
  <c r="K18" i="85" s="1"/>
  <c r="J10" i="85"/>
  <c r="J18" i="85" s="1"/>
  <c r="J27" i="85" s="1"/>
  <c r="J32" i="85" s="1"/>
  <c r="I10" i="85"/>
  <c r="H10" i="85"/>
  <c r="F10" i="85"/>
  <c r="F18" i="85" s="1"/>
  <c r="F27" i="85" s="1"/>
  <c r="F32" i="85" s="1"/>
  <c r="F33" i="85" s="1"/>
  <c r="O8" i="85"/>
  <c r="N8" i="85"/>
  <c r="M8" i="85"/>
  <c r="L8" i="85"/>
  <c r="K8" i="85"/>
  <c r="J8" i="85"/>
  <c r="I8" i="85"/>
  <c r="H8" i="85"/>
  <c r="G8" i="85"/>
  <c r="F8" i="85"/>
  <c r="E8" i="85"/>
  <c r="D8" i="85"/>
  <c r="B5" i="85"/>
  <c r="Q116" i="84"/>
  <c r="G111" i="84"/>
  <c r="F111" i="84"/>
  <c r="E111" i="84"/>
  <c r="D111" i="84"/>
  <c r="Q109" i="84"/>
  <c r="B109" i="84"/>
  <c r="O108" i="84"/>
  <c r="N108" i="84"/>
  <c r="M108" i="84"/>
  <c r="L108" i="84"/>
  <c r="K108" i="84"/>
  <c r="J108" i="84"/>
  <c r="I108" i="84"/>
  <c r="H108" i="84"/>
  <c r="G108" i="84"/>
  <c r="F108" i="84"/>
  <c r="E108" i="84"/>
  <c r="D108" i="84"/>
  <c r="Q108" i="84" s="1"/>
  <c r="B108" i="84"/>
  <c r="Q107" i="84"/>
  <c r="B107" i="84"/>
  <c r="Q106" i="84"/>
  <c r="B106" i="84"/>
  <c r="O105" i="84"/>
  <c r="N105" i="84"/>
  <c r="M105" i="84"/>
  <c r="L105" i="84"/>
  <c r="K105" i="84"/>
  <c r="J105" i="84"/>
  <c r="I105" i="84"/>
  <c r="H105" i="84"/>
  <c r="G105" i="84"/>
  <c r="F105" i="84"/>
  <c r="E105" i="84"/>
  <c r="D105" i="84"/>
  <c r="B105" i="84"/>
  <c r="Q104" i="84"/>
  <c r="B104" i="84"/>
  <c r="O103" i="84"/>
  <c r="N103" i="84"/>
  <c r="M103" i="84"/>
  <c r="L103" i="84"/>
  <c r="K103" i="84"/>
  <c r="J103" i="84"/>
  <c r="I103" i="84"/>
  <c r="H103" i="84"/>
  <c r="G103" i="84"/>
  <c r="F103" i="84"/>
  <c r="E103" i="84"/>
  <c r="D103" i="84"/>
  <c r="B103" i="84"/>
  <c r="Q102" i="84"/>
  <c r="B102" i="84"/>
  <c r="Q101" i="84"/>
  <c r="B101" i="84"/>
  <c r="O100" i="84"/>
  <c r="N100" i="84"/>
  <c r="M100" i="84"/>
  <c r="L100" i="84"/>
  <c r="K100" i="84"/>
  <c r="J100" i="84"/>
  <c r="I100" i="84"/>
  <c r="H100" i="84"/>
  <c r="G100" i="84"/>
  <c r="F100" i="84"/>
  <c r="E100" i="84"/>
  <c r="D100" i="84"/>
  <c r="B100" i="84"/>
  <c r="Q99" i="84"/>
  <c r="B99" i="84"/>
  <c r="Q98" i="84"/>
  <c r="B98" i="84"/>
  <c r="Q97" i="84"/>
  <c r="B97" i="84"/>
  <c r="Q96" i="84"/>
  <c r="B96" i="84"/>
  <c r="Q95" i="84"/>
  <c r="B95" i="84"/>
  <c r="Q94" i="84"/>
  <c r="B94" i="84"/>
  <c r="O93" i="84"/>
  <c r="N93" i="84"/>
  <c r="M93" i="84"/>
  <c r="L93" i="84"/>
  <c r="K93" i="84"/>
  <c r="J93" i="84"/>
  <c r="I93" i="84"/>
  <c r="H93" i="84"/>
  <c r="G93" i="84"/>
  <c r="F93" i="84"/>
  <c r="E93" i="84"/>
  <c r="D93" i="84"/>
  <c r="Q93" i="84" s="1"/>
  <c r="B93" i="84"/>
  <c r="Q92" i="84"/>
  <c r="B92" i="84"/>
  <c r="Q91" i="84"/>
  <c r="B91" i="84"/>
  <c r="O90" i="84"/>
  <c r="N90" i="84"/>
  <c r="M90" i="84"/>
  <c r="L90" i="84"/>
  <c r="K90" i="84"/>
  <c r="J90" i="84"/>
  <c r="I90" i="84"/>
  <c r="H90" i="84"/>
  <c r="G90" i="84"/>
  <c r="F90" i="84"/>
  <c r="E90" i="84"/>
  <c r="D90" i="84"/>
  <c r="Q90" i="84" s="1"/>
  <c r="B90" i="84"/>
  <c r="Q89" i="84"/>
  <c r="B89" i="84"/>
  <c r="Q88" i="84"/>
  <c r="B88" i="84"/>
  <c r="Q87" i="84"/>
  <c r="B87" i="84"/>
  <c r="O86" i="84"/>
  <c r="N86" i="84"/>
  <c r="M86" i="84"/>
  <c r="L86" i="84"/>
  <c r="K86" i="84"/>
  <c r="J86" i="84"/>
  <c r="I86" i="84"/>
  <c r="H86" i="84"/>
  <c r="G86" i="84"/>
  <c r="F86" i="84"/>
  <c r="E86" i="84"/>
  <c r="D86" i="84"/>
  <c r="Q86" i="84" s="1"/>
  <c r="B86" i="84"/>
  <c r="Q85" i="84"/>
  <c r="B85" i="84"/>
  <c r="Q84" i="84"/>
  <c r="B84" i="84"/>
  <c r="O83" i="84"/>
  <c r="N83" i="84"/>
  <c r="M83" i="84"/>
  <c r="L83" i="84"/>
  <c r="K83" i="84"/>
  <c r="J83" i="84"/>
  <c r="I83" i="84"/>
  <c r="H83" i="84"/>
  <c r="G83" i="84"/>
  <c r="F83" i="84"/>
  <c r="E83" i="84"/>
  <c r="D83" i="84"/>
  <c r="Q83" i="84" s="1"/>
  <c r="B83" i="84"/>
  <c r="Q82" i="84"/>
  <c r="B82" i="84"/>
  <c r="O81" i="84"/>
  <c r="N81" i="84"/>
  <c r="M81" i="84"/>
  <c r="L81" i="84"/>
  <c r="K81" i="84"/>
  <c r="J81" i="84"/>
  <c r="I81" i="84"/>
  <c r="H81" i="84"/>
  <c r="G81" i="84"/>
  <c r="F81" i="84"/>
  <c r="E81" i="84"/>
  <c r="D81" i="84"/>
  <c r="Q81" i="84" s="1"/>
  <c r="B81" i="84"/>
  <c r="Q80" i="84"/>
  <c r="B80" i="84"/>
  <c r="O79" i="84"/>
  <c r="N79" i="84"/>
  <c r="M79" i="84"/>
  <c r="L79" i="84"/>
  <c r="K79" i="84"/>
  <c r="J79" i="84"/>
  <c r="I79" i="84"/>
  <c r="H79" i="84"/>
  <c r="G79" i="84"/>
  <c r="F79" i="84"/>
  <c r="E79" i="84"/>
  <c r="E41" i="84" s="1"/>
  <c r="D79" i="84"/>
  <c r="B79" i="84"/>
  <c r="Q78" i="84"/>
  <c r="B78" i="84"/>
  <c r="O77" i="84"/>
  <c r="N77" i="84"/>
  <c r="M77" i="84"/>
  <c r="L77" i="84"/>
  <c r="K77" i="84"/>
  <c r="J77" i="84"/>
  <c r="I77" i="84"/>
  <c r="H77" i="84"/>
  <c r="G77" i="84"/>
  <c r="F77" i="84"/>
  <c r="E77" i="84"/>
  <c r="D77" i="84"/>
  <c r="D41" i="84" s="1"/>
  <c r="B77" i="84"/>
  <c r="Q76" i="84"/>
  <c r="B76" i="84"/>
  <c r="O75" i="84"/>
  <c r="N75" i="84"/>
  <c r="M75" i="84"/>
  <c r="L75" i="84"/>
  <c r="K75" i="84"/>
  <c r="J75" i="84"/>
  <c r="I75" i="84"/>
  <c r="H75" i="84"/>
  <c r="G75" i="84"/>
  <c r="F75" i="84"/>
  <c r="E75" i="84"/>
  <c r="D75" i="84"/>
  <c r="Q75" i="84" s="1"/>
  <c r="B75" i="84"/>
  <c r="Q74" i="84"/>
  <c r="B74" i="84"/>
  <c r="O73" i="84"/>
  <c r="N73" i="84"/>
  <c r="M73" i="84"/>
  <c r="L73" i="84"/>
  <c r="K73" i="84"/>
  <c r="J73" i="84"/>
  <c r="I73" i="84"/>
  <c r="H73" i="84"/>
  <c r="G73" i="84"/>
  <c r="F73" i="84"/>
  <c r="E73" i="84"/>
  <c r="D73" i="84"/>
  <c r="Q73" i="84" s="1"/>
  <c r="B73" i="84"/>
  <c r="Q72" i="84"/>
  <c r="B72" i="84"/>
  <c r="O71" i="84"/>
  <c r="N71" i="84"/>
  <c r="M71" i="84"/>
  <c r="L71" i="84"/>
  <c r="K71" i="84"/>
  <c r="J71" i="84"/>
  <c r="I71" i="84"/>
  <c r="H71" i="84"/>
  <c r="G71" i="84"/>
  <c r="F71" i="84"/>
  <c r="E71" i="84"/>
  <c r="D71" i="84"/>
  <c r="Q71" i="84" s="1"/>
  <c r="B71" i="84"/>
  <c r="Q70" i="84"/>
  <c r="B70" i="84"/>
  <c r="O69" i="84"/>
  <c r="N69" i="84"/>
  <c r="M69" i="84"/>
  <c r="L69" i="84"/>
  <c r="K69" i="84"/>
  <c r="J69" i="84"/>
  <c r="I69" i="84"/>
  <c r="H69" i="84"/>
  <c r="G69" i="84"/>
  <c r="F69" i="84"/>
  <c r="E69" i="84"/>
  <c r="D69" i="84"/>
  <c r="Q69" i="84" s="1"/>
  <c r="B69" i="84"/>
  <c r="Q68" i="84"/>
  <c r="B68" i="84"/>
  <c r="O67" i="84"/>
  <c r="N67" i="84"/>
  <c r="M67" i="84"/>
  <c r="L67" i="84"/>
  <c r="K67" i="84"/>
  <c r="J67" i="84"/>
  <c r="I67" i="84"/>
  <c r="H67" i="84"/>
  <c r="G67" i="84"/>
  <c r="F67" i="84"/>
  <c r="F41" i="84" s="1"/>
  <c r="E67" i="84"/>
  <c r="D67" i="84"/>
  <c r="B67" i="84"/>
  <c r="Q66" i="84"/>
  <c r="B66" i="84"/>
  <c r="O65" i="84"/>
  <c r="N65" i="84"/>
  <c r="M65" i="84"/>
  <c r="L65" i="84"/>
  <c r="K65" i="84"/>
  <c r="J65" i="84"/>
  <c r="I65" i="84"/>
  <c r="H65" i="84"/>
  <c r="G65" i="84"/>
  <c r="G41" i="84" s="1"/>
  <c r="F65" i="84"/>
  <c r="E65" i="84"/>
  <c r="D65" i="84"/>
  <c r="Q65" i="84" s="1"/>
  <c r="B65" i="84"/>
  <c r="Q64" i="84"/>
  <c r="B64" i="84"/>
  <c r="O63" i="84"/>
  <c r="N63" i="84"/>
  <c r="M63" i="84"/>
  <c r="L63" i="84"/>
  <c r="K63" i="84"/>
  <c r="J63" i="84"/>
  <c r="I63" i="84"/>
  <c r="H63" i="84"/>
  <c r="G63" i="84"/>
  <c r="F63" i="84"/>
  <c r="E63" i="84"/>
  <c r="D63" i="84"/>
  <c r="Q63" i="84" s="1"/>
  <c r="B63" i="84"/>
  <c r="Q62" i="84"/>
  <c r="B62" i="84"/>
  <c r="Q61" i="84"/>
  <c r="B61" i="84"/>
  <c r="Q60" i="84"/>
  <c r="B60" i="84"/>
  <c r="Q59" i="84"/>
  <c r="B59" i="84"/>
  <c r="Q58" i="84"/>
  <c r="B58" i="84"/>
  <c r="Q57" i="84"/>
  <c r="B57" i="84"/>
  <c r="Q56" i="84"/>
  <c r="B56" i="84"/>
  <c r="Q55" i="84"/>
  <c r="B55" i="84"/>
  <c r="Q54" i="84"/>
  <c r="B54" i="84"/>
  <c r="Q53" i="84"/>
  <c r="B53" i="84"/>
  <c r="O52" i="84"/>
  <c r="N52" i="84"/>
  <c r="M52" i="84"/>
  <c r="L52" i="84"/>
  <c r="L41" i="84" s="1"/>
  <c r="K52" i="84"/>
  <c r="J52" i="84"/>
  <c r="I52" i="84"/>
  <c r="I41" i="84" s="1"/>
  <c r="H52" i="84"/>
  <c r="H41" i="84" s="1"/>
  <c r="G52" i="84"/>
  <c r="F52" i="84"/>
  <c r="E52" i="84"/>
  <c r="D52" i="84"/>
  <c r="B52" i="84"/>
  <c r="Q51" i="84"/>
  <c r="B51" i="84"/>
  <c r="Q50" i="84"/>
  <c r="B50" i="84"/>
  <c r="Q49" i="84"/>
  <c r="B49" i="84"/>
  <c r="Q48" i="84"/>
  <c r="B48" i="84"/>
  <c r="Q47" i="84"/>
  <c r="B47" i="84"/>
  <c r="Q46" i="84"/>
  <c r="B46" i="84"/>
  <c r="Q45" i="84"/>
  <c r="B45" i="84"/>
  <c r="Q44" i="84"/>
  <c r="B44" i="84"/>
  <c r="Q43" i="84"/>
  <c r="B43" i="84"/>
  <c r="O42" i="84"/>
  <c r="O41" i="84" s="1"/>
  <c r="N42" i="84"/>
  <c r="M42" i="84"/>
  <c r="L42" i="84"/>
  <c r="K42" i="84"/>
  <c r="J42" i="84"/>
  <c r="J41" i="84" s="1"/>
  <c r="I42" i="84"/>
  <c r="H42" i="84"/>
  <c r="G42" i="84"/>
  <c r="F42" i="84"/>
  <c r="E42" i="84"/>
  <c r="D42" i="84"/>
  <c r="Q42" i="84" s="1"/>
  <c r="B42" i="84"/>
  <c r="K41" i="84"/>
  <c r="M38" i="84"/>
  <c r="M39" i="84" s="1"/>
  <c r="L38" i="84"/>
  <c r="I38" i="84"/>
  <c r="Q36" i="84"/>
  <c r="B36" i="84"/>
  <c r="Q35" i="84"/>
  <c r="B35" i="84"/>
  <c r="Q34" i="84"/>
  <c r="B34" i="84"/>
  <c r="Q33" i="84"/>
  <c r="B33" i="84"/>
  <c r="Q32" i="84"/>
  <c r="Q31" i="84" s="1"/>
  <c r="B32" i="84"/>
  <c r="O31" i="84"/>
  <c r="N31" i="84"/>
  <c r="M31" i="84"/>
  <c r="L31" i="84"/>
  <c r="K31" i="84"/>
  <c r="J31" i="84"/>
  <c r="I31" i="84"/>
  <c r="H31" i="84"/>
  <c r="H38" i="84" s="1"/>
  <c r="G31" i="84"/>
  <c r="F31" i="84"/>
  <c r="E31" i="84"/>
  <c r="D31" i="84"/>
  <c r="G29" i="84"/>
  <c r="F29" i="84"/>
  <c r="E29" i="84"/>
  <c r="D29" i="84"/>
  <c r="Q29" i="84" s="1"/>
  <c r="B29" i="84"/>
  <c r="G28" i="84"/>
  <c r="F28" i="84"/>
  <c r="E28" i="84"/>
  <c r="D28" i="84"/>
  <c r="Q28" i="84" s="1"/>
  <c r="B28" i="84"/>
  <c r="G27" i="84"/>
  <c r="F27" i="84"/>
  <c r="E27" i="84"/>
  <c r="D27" i="84"/>
  <c r="Q27" i="84" s="1"/>
  <c r="B27" i="84"/>
  <c r="G26" i="84"/>
  <c r="F26" i="84"/>
  <c r="E26" i="84"/>
  <c r="D26" i="84"/>
  <c r="Q26" i="84" s="1"/>
  <c r="B26" i="84"/>
  <c r="G25" i="84"/>
  <c r="F25" i="84"/>
  <c r="E25" i="84"/>
  <c r="D25" i="84"/>
  <c r="Q25" i="84" s="1"/>
  <c r="B25" i="84"/>
  <c r="G24" i="84"/>
  <c r="F24" i="84"/>
  <c r="E24" i="84"/>
  <c r="D24" i="84"/>
  <c r="Q24" i="84" s="1"/>
  <c r="B24" i="84"/>
  <c r="G23" i="84"/>
  <c r="F23" i="84"/>
  <c r="E23" i="84"/>
  <c r="D23" i="84"/>
  <c r="Q23" i="84" s="1"/>
  <c r="B23" i="84"/>
  <c r="G22" i="84"/>
  <c r="F22" i="84"/>
  <c r="E22" i="84"/>
  <c r="D22" i="84"/>
  <c r="Q22" i="84" s="1"/>
  <c r="B22" i="84"/>
  <c r="G21" i="84"/>
  <c r="F21" i="84"/>
  <c r="E21" i="84"/>
  <c r="D21" i="84"/>
  <c r="Q21" i="84" s="1"/>
  <c r="B21" i="84"/>
  <c r="G20" i="84"/>
  <c r="F20" i="84"/>
  <c r="E20" i="84"/>
  <c r="D20" i="84"/>
  <c r="Q20" i="84" s="1"/>
  <c r="B20" i="84"/>
  <c r="G19" i="84"/>
  <c r="F19" i="84"/>
  <c r="E19" i="84"/>
  <c r="D19" i="84"/>
  <c r="Q19" i="84" s="1"/>
  <c r="B19" i="84"/>
  <c r="G18" i="84"/>
  <c r="F18" i="84"/>
  <c r="E18" i="84"/>
  <c r="D18" i="84"/>
  <c r="Q18" i="84" s="1"/>
  <c r="B18" i="84"/>
  <c r="G17" i="84"/>
  <c r="F17" i="84"/>
  <c r="E17" i="84"/>
  <c r="D17" i="84"/>
  <c r="Q17" i="84" s="1"/>
  <c r="B17" i="84"/>
  <c r="G16" i="84"/>
  <c r="F16" i="84"/>
  <c r="E16" i="84"/>
  <c r="D16" i="84"/>
  <c r="Q16" i="84" s="1"/>
  <c r="B16" i="84"/>
  <c r="G15" i="84"/>
  <c r="F15" i="84"/>
  <c r="E15" i="84"/>
  <c r="D15" i="84"/>
  <c r="Q15" i="84" s="1"/>
  <c r="B15" i="84"/>
  <c r="G14" i="84"/>
  <c r="F14" i="84"/>
  <c r="E14" i="84"/>
  <c r="D14" i="84"/>
  <c r="Q14" i="84" s="1"/>
  <c r="B14" i="84"/>
  <c r="G13" i="84"/>
  <c r="F13" i="84"/>
  <c r="E13" i="84"/>
  <c r="D13" i="84"/>
  <c r="Q13" i="84" s="1"/>
  <c r="B13" i="84"/>
  <c r="G12" i="84"/>
  <c r="F12" i="84"/>
  <c r="E12" i="84"/>
  <c r="D12" i="84"/>
  <c r="Q12" i="84" s="1"/>
  <c r="B12" i="84"/>
  <c r="G11" i="84"/>
  <c r="F11" i="84"/>
  <c r="E11" i="84"/>
  <c r="E10" i="84" s="1"/>
  <c r="E38" i="84" s="1"/>
  <c r="D11" i="84"/>
  <c r="B11" i="84"/>
  <c r="O10" i="84"/>
  <c r="O38" i="84" s="1"/>
  <c r="N10" i="84"/>
  <c r="N38" i="84" s="1"/>
  <c r="M10" i="84"/>
  <c r="L10" i="84"/>
  <c r="K10" i="84"/>
  <c r="K38" i="84" s="1"/>
  <c r="K113" i="84" s="1"/>
  <c r="J10" i="84"/>
  <c r="J38" i="84" s="1"/>
  <c r="I10" i="84"/>
  <c r="H10" i="84"/>
  <c r="G10" i="84"/>
  <c r="G38" i="84" s="1"/>
  <c r="F10" i="84"/>
  <c r="F38" i="84" s="1"/>
  <c r="O8" i="84"/>
  <c r="N8" i="84"/>
  <c r="M8" i="84"/>
  <c r="L8" i="84"/>
  <c r="K8" i="84"/>
  <c r="J8" i="84"/>
  <c r="I8" i="84"/>
  <c r="H8" i="84"/>
  <c r="G8" i="84"/>
  <c r="F8" i="84"/>
  <c r="E8" i="84"/>
  <c r="D8" i="84"/>
  <c r="B5" i="84"/>
  <c r="Q78" i="83"/>
  <c r="G73" i="83"/>
  <c r="Q73" i="83" s="1"/>
  <c r="F73" i="83"/>
  <c r="E73" i="83"/>
  <c r="D73" i="83"/>
  <c r="Q71" i="83"/>
  <c r="B71" i="83"/>
  <c r="O70" i="83"/>
  <c r="N70" i="83"/>
  <c r="M70" i="83"/>
  <c r="L70" i="83"/>
  <c r="K70" i="83"/>
  <c r="J70" i="83"/>
  <c r="I70" i="83"/>
  <c r="H70" i="83"/>
  <c r="G70" i="83"/>
  <c r="F70" i="83"/>
  <c r="E70" i="83"/>
  <c r="D70" i="83"/>
  <c r="B70" i="83"/>
  <c r="Q69" i="83"/>
  <c r="B69" i="83"/>
  <c r="Q68" i="83"/>
  <c r="B68" i="83"/>
  <c r="O67" i="83"/>
  <c r="N67" i="83"/>
  <c r="M67" i="83"/>
  <c r="L67" i="83"/>
  <c r="K67" i="83"/>
  <c r="J67" i="83"/>
  <c r="I67" i="83"/>
  <c r="H67" i="83"/>
  <c r="G67" i="83"/>
  <c r="F67" i="83"/>
  <c r="E67" i="83"/>
  <c r="D67" i="83"/>
  <c r="Q67" i="83" s="1"/>
  <c r="B67" i="83"/>
  <c r="Q66" i="83"/>
  <c r="B66" i="83"/>
  <c r="Q65" i="83"/>
  <c r="B65" i="83"/>
  <c r="Q64" i="83"/>
  <c r="B64" i="83"/>
  <c r="Q63" i="83"/>
  <c r="B63" i="83"/>
  <c r="Q62" i="83"/>
  <c r="B62" i="83"/>
  <c r="O61" i="83"/>
  <c r="N61" i="83"/>
  <c r="M61" i="83"/>
  <c r="L61" i="83"/>
  <c r="K61" i="83"/>
  <c r="J61" i="83"/>
  <c r="I61" i="83"/>
  <c r="H61" i="83"/>
  <c r="G61" i="83"/>
  <c r="F61" i="83"/>
  <c r="E61" i="83"/>
  <c r="D61" i="83"/>
  <c r="Q61" i="83" s="1"/>
  <c r="B61" i="83"/>
  <c r="Q60" i="83"/>
  <c r="B60" i="83"/>
  <c r="O59" i="83"/>
  <c r="N59" i="83"/>
  <c r="M59" i="83"/>
  <c r="L59" i="83"/>
  <c r="K59" i="83"/>
  <c r="J59" i="83"/>
  <c r="I59" i="83"/>
  <c r="H59" i="83"/>
  <c r="G59" i="83"/>
  <c r="F59" i="83"/>
  <c r="E59" i="83"/>
  <c r="D59" i="83"/>
  <c r="Q59" i="83" s="1"/>
  <c r="B59" i="83"/>
  <c r="Q58" i="83"/>
  <c r="B58" i="83"/>
  <c r="O57" i="83"/>
  <c r="N57" i="83"/>
  <c r="M57" i="83"/>
  <c r="L57" i="83"/>
  <c r="K57" i="83"/>
  <c r="J57" i="83"/>
  <c r="I57" i="83"/>
  <c r="H57" i="83"/>
  <c r="G57" i="83"/>
  <c r="F57" i="83"/>
  <c r="E57" i="83"/>
  <c r="D57" i="83"/>
  <c r="B57" i="83"/>
  <c r="Q56" i="83"/>
  <c r="B56" i="83"/>
  <c r="O55" i="83"/>
  <c r="N55" i="83"/>
  <c r="M55" i="83"/>
  <c r="L55" i="83"/>
  <c r="K55" i="83"/>
  <c r="J55" i="83"/>
  <c r="I55" i="83"/>
  <c r="H55" i="83"/>
  <c r="G55" i="83"/>
  <c r="F55" i="83"/>
  <c r="E55" i="83"/>
  <c r="D55" i="83"/>
  <c r="Q55" i="83" s="1"/>
  <c r="B55" i="83"/>
  <c r="Q54" i="83"/>
  <c r="B54" i="83"/>
  <c r="O53" i="83"/>
  <c r="N53" i="83"/>
  <c r="M53" i="83"/>
  <c r="L53" i="83"/>
  <c r="K53" i="83"/>
  <c r="J53" i="83"/>
  <c r="I53" i="83"/>
  <c r="H53" i="83"/>
  <c r="G53" i="83"/>
  <c r="F53" i="83"/>
  <c r="E53" i="83"/>
  <c r="D53" i="83"/>
  <c r="Q53" i="83" s="1"/>
  <c r="B53" i="83"/>
  <c r="Q52" i="83"/>
  <c r="B52" i="83"/>
  <c r="O51" i="83"/>
  <c r="N51" i="83"/>
  <c r="M51" i="83"/>
  <c r="L51" i="83"/>
  <c r="K51" i="83"/>
  <c r="J51" i="83"/>
  <c r="I51" i="83"/>
  <c r="H51" i="83"/>
  <c r="G51" i="83"/>
  <c r="F51" i="83"/>
  <c r="E51" i="83"/>
  <c r="D51" i="83"/>
  <c r="Q51" i="83" s="1"/>
  <c r="B51" i="83"/>
  <c r="Q50" i="83"/>
  <c r="B50" i="83"/>
  <c r="O49" i="83"/>
  <c r="N49" i="83"/>
  <c r="M49" i="83"/>
  <c r="L49" i="83"/>
  <c r="K49" i="83"/>
  <c r="J49" i="83"/>
  <c r="I49" i="83"/>
  <c r="H49" i="83"/>
  <c r="G49" i="83"/>
  <c r="F49" i="83"/>
  <c r="E49" i="83"/>
  <c r="D49" i="83"/>
  <c r="Q49" i="83" s="1"/>
  <c r="B49" i="83"/>
  <c r="Q48" i="83"/>
  <c r="B48" i="83"/>
  <c r="Q47" i="83"/>
  <c r="B47" i="83"/>
  <c r="O46" i="83"/>
  <c r="N46" i="83"/>
  <c r="M46" i="83"/>
  <c r="L46" i="83"/>
  <c r="K46" i="83"/>
  <c r="J46" i="83"/>
  <c r="I46" i="83"/>
  <c r="H46" i="83"/>
  <c r="G46" i="83"/>
  <c r="F46" i="83"/>
  <c r="E46" i="83"/>
  <c r="D46" i="83"/>
  <c r="Q46" i="83" s="1"/>
  <c r="B46" i="83"/>
  <c r="Q45" i="83"/>
  <c r="B45" i="83"/>
  <c r="O44" i="83"/>
  <c r="N44" i="83"/>
  <c r="M44" i="83"/>
  <c r="L44" i="83"/>
  <c r="K44" i="83"/>
  <c r="J44" i="83"/>
  <c r="I44" i="83"/>
  <c r="H44" i="83"/>
  <c r="G44" i="83"/>
  <c r="F44" i="83"/>
  <c r="E44" i="83"/>
  <c r="D44" i="83"/>
  <c r="Q44" i="83" s="1"/>
  <c r="B44" i="83"/>
  <c r="Q43" i="83"/>
  <c r="B43" i="83"/>
  <c r="O42" i="83"/>
  <c r="N42" i="83"/>
  <c r="M42" i="83"/>
  <c r="L42" i="83"/>
  <c r="K42" i="83"/>
  <c r="J42" i="83"/>
  <c r="I42" i="83"/>
  <c r="H42" i="83"/>
  <c r="G42" i="83"/>
  <c r="F42" i="83"/>
  <c r="E42" i="83"/>
  <c r="D42" i="83"/>
  <c r="Q42" i="83" s="1"/>
  <c r="B42" i="83"/>
  <c r="Q41" i="83"/>
  <c r="B41" i="83"/>
  <c r="O40" i="83"/>
  <c r="N40" i="83"/>
  <c r="M40" i="83"/>
  <c r="L40" i="83"/>
  <c r="K40" i="83"/>
  <c r="K19" i="83" s="1"/>
  <c r="J40" i="83"/>
  <c r="I40" i="83"/>
  <c r="H40" i="83"/>
  <c r="G40" i="83"/>
  <c r="F40" i="83"/>
  <c r="E40" i="83"/>
  <c r="D40" i="83"/>
  <c r="B40" i="83"/>
  <c r="Q39" i="83"/>
  <c r="B39" i="83"/>
  <c r="Q38" i="83"/>
  <c r="B38" i="83"/>
  <c r="Q37" i="83"/>
  <c r="B37" i="83"/>
  <c r="Q36" i="83"/>
  <c r="B36" i="83"/>
  <c r="Q35" i="83"/>
  <c r="B35" i="83"/>
  <c r="Q34" i="83"/>
  <c r="B34" i="83"/>
  <c r="Q33" i="83"/>
  <c r="B33" i="83"/>
  <c r="Q32" i="83"/>
  <c r="B32" i="83"/>
  <c r="Q31" i="83"/>
  <c r="B31" i="83"/>
  <c r="Q30" i="83"/>
  <c r="B30" i="83"/>
  <c r="O29" i="83"/>
  <c r="N29" i="83"/>
  <c r="M29" i="83"/>
  <c r="M19" i="83" s="1"/>
  <c r="L29" i="83"/>
  <c r="K29" i="83"/>
  <c r="J29" i="83"/>
  <c r="I29" i="83"/>
  <c r="I19" i="83" s="1"/>
  <c r="H29" i="83"/>
  <c r="G29" i="83"/>
  <c r="F29" i="83"/>
  <c r="E29" i="83"/>
  <c r="D29" i="83"/>
  <c r="Q29" i="83" s="1"/>
  <c r="B29" i="83"/>
  <c r="Q28" i="83"/>
  <c r="B28" i="83"/>
  <c r="Q27" i="83"/>
  <c r="B27" i="83"/>
  <c r="Q26" i="83"/>
  <c r="B26" i="83"/>
  <c r="Q25" i="83"/>
  <c r="B25" i="83"/>
  <c r="Q24" i="83"/>
  <c r="B24" i="83"/>
  <c r="Q23" i="83"/>
  <c r="B23" i="83"/>
  <c r="Q22" i="83"/>
  <c r="B22" i="83"/>
  <c r="Q21" i="83"/>
  <c r="B21" i="83"/>
  <c r="O20" i="83"/>
  <c r="O19" i="83" s="1"/>
  <c r="O75" i="83" s="1"/>
  <c r="N20" i="83"/>
  <c r="N19" i="83" s="1"/>
  <c r="N75" i="83" s="1"/>
  <c r="M20" i="83"/>
  <c r="L20" i="83"/>
  <c r="K20" i="83"/>
  <c r="J20" i="83"/>
  <c r="I20" i="83"/>
  <c r="H20" i="83"/>
  <c r="G20" i="83"/>
  <c r="G19" i="83" s="1"/>
  <c r="F20" i="83"/>
  <c r="F19" i="83" s="1"/>
  <c r="E20" i="83"/>
  <c r="D20" i="83"/>
  <c r="B20" i="83"/>
  <c r="E19" i="83"/>
  <c r="D19" i="83"/>
  <c r="N17" i="83"/>
  <c r="J17" i="83"/>
  <c r="E17" i="83"/>
  <c r="O16" i="83"/>
  <c r="O17" i="83" s="1"/>
  <c r="N16" i="83"/>
  <c r="J16" i="83"/>
  <c r="G16" i="83"/>
  <c r="F16" i="83"/>
  <c r="Q14" i="83"/>
  <c r="B14" i="83"/>
  <c r="Q13" i="83"/>
  <c r="B13" i="83"/>
  <c r="Q12" i="83"/>
  <c r="O12" i="83"/>
  <c r="N12" i="83"/>
  <c r="M12" i="83"/>
  <c r="L12" i="83"/>
  <c r="K12" i="83"/>
  <c r="K16" i="83" s="1"/>
  <c r="J12" i="83"/>
  <c r="I12" i="83"/>
  <c r="H12" i="83"/>
  <c r="G12" i="83"/>
  <c r="F12" i="83"/>
  <c r="E12" i="83"/>
  <c r="D12" i="83"/>
  <c r="Q10" i="83"/>
  <c r="Q16" i="83" s="1"/>
  <c r="O10" i="83"/>
  <c r="N10" i="83"/>
  <c r="M10" i="83"/>
  <c r="M16" i="83" s="1"/>
  <c r="L10" i="83"/>
  <c r="L16" i="83" s="1"/>
  <c r="K10" i="83"/>
  <c r="J10" i="83"/>
  <c r="I10" i="83"/>
  <c r="I16" i="83" s="1"/>
  <c r="H10" i="83"/>
  <c r="H16" i="83" s="1"/>
  <c r="G10" i="83"/>
  <c r="F10" i="83"/>
  <c r="E10" i="83"/>
  <c r="E16" i="83" s="1"/>
  <c r="E75" i="83" s="1"/>
  <c r="D10" i="83"/>
  <c r="D16" i="83" s="1"/>
  <c r="O8" i="83"/>
  <c r="N8" i="83"/>
  <c r="M8" i="83"/>
  <c r="L8" i="83"/>
  <c r="K8" i="83"/>
  <c r="J8" i="83"/>
  <c r="I8" i="83"/>
  <c r="H8" i="83"/>
  <c r="G8" i="83"/>
  <c r="F8" i="83"/>
  <c r="E8" i="83"/>
  <c r="D8" i="83"/>
  <c r="B5" i="83"/>
  <c r="Q51" i="82"/>
  <c r="G46" i="82"/>
  <c r="F46" i="82"/>
  <c r="Q46" i="82" s="1"/>
  <c r="E46" i="82"/>
  <c r="D46" i="82"/>
  <c r="Q44" i="82"/>
  <c r="B44" i="82"/>
  <c r="Q43" i="82"/>
  <c r="B43" i="82"/>
  <c r="Q42" i="82"/>
  <c r="B42" i="82"/>
  <c r="Q41" i="82"/>
  <c r="B41" i="82"/>
  <c r="Q40" i="82"/>
  <c r="B40" i="82"/>
  <c r="Q39" i="82"/>
  <c r="B39" i="82"/>
  <c r="Q38" i="82"/>
  <c r="B38" i="82"/>
  <c r="Q37" i="82"/>
  <c r="B37" i="82"/>
  <c r="Q36" i="82"/>
  <c r="B36" i="82"/>
  <c r="Q35" i="82"/>
  <c r="B35" i="82"/>
  <c r="O34" i="82"/>
  <c r="O24" i="82" s="1"/>
  <c r="N34" i="82"/>
  <c r="M34" i="82"/>
  <c r="L34" i="82"/>
  <c r="K34" i="82"/>
  <c r="K24" i="82" s="1"/>
  <c r="J34" i="82"/>
  <c r="I34" i="82"/>
  <c r="H34" i="82"/>
  <c r="G34" i="82"/>
  <c r="F34" i="82"/>
  <c r="E34" i="82"/>
  <c r="D34" i="82"/>
  <c r="Q34" i="82" s="1"/>
  <c r="B34" i="82"/>
  <c r="Q33" i="82"/>
  <c r="B33" i="82"/>
  <c r="Q32" i="82"/>
  <c r="B32" i="82"/>
  <c r="Q31" i="82"/>
  <c r="B31" i="82"/>
  <c r="Q30" i="82"/>
  <c r="B30" i="82"/>
  <c r="Q29" i="82"/>
  <c r="B29" i="82"/>
  <c r="Q28" i="82"/>
  <c r="B28" i="82"/>
  <c r="Q27" i="82"/>
  <c r="B27" i="82"/>
  <c r="Q26" i="82"/>
  <c r="B26" i="82"/>
  <c r="O25" i="82"/>
  <c r="N25" i="82"/>
  <c r="M25" i="82"/>
  <c r="L25" i="82"/>
  <c r="K25" i="82"/>
  <c r="J25" i="82"/>
  <c r="J24" i="82" s="1"/>
  <c r="I25" i="82"/>
  <c r="I24" i="82" s="1"/>
  <c r="H25" i="82"/>
  <c r="H24" i="82" s="1"/>
  <c r="G25" i="82"/>
  <c r="F25" i="82"/>
  <c r="E25" i="82"/>
  <c r="E24" i="82" s="1"/>
  <c r="D25" i="82"/>
  <c r="D24" i="82" s="1"/>
  <c r="B25" i="82"/>
  <c r="N24" i="82"/>
  <c r="M24" i="82"/>
  <c r="L24" i="82"/>
  <c r="G24" i="82"/>
  <c r="F24" i="82"/>
  <c r="M22" i="82"/>
  <c r="N21" i="82"/>
  <c r="N22" i="82" s="1"/>
  <c r="M21" i="82"/>
  <c r="M48" i="82" s="1"/>
  <c r="I21" i="82"/>
  <c r="H21" i="82"/>
  <c r="H48" i="82" s="1"/>
  <c r="Q19" i="82"/>
  <c r="B19" i="82"/>
  <c r="Q18" i="82"/>
  <c r="B18" i="82"/>
  <c r="Q17" i="82"/>
  <c r="B17" i="82"/>
  <c r="Q16" i="82"/>
  <c r="O16" i="82"/>
  <c r="O21" i="82" s="1"/>
  <c r="N16" i="82"/>
  <c r="M16" i="82"/>
  <c r="L16" i="82"/>
  <c r="K16" i="82"/>
  <c r="J16" i="82"/>
  <c r="I16" i="82"/>
  <c r="H16" i="82"/>
  <c r="G16" i="82"/>
  <c r="F16" i="82"/>
  <c r="E16" i="82"/>
  <c r="D16" i="82"/>
  <c r="Q14" i="82"/>
  <c r="G14" i="82"/>
  <c r="F14" i="82"/>
  <c r="E14" i="82"/>
  <c r="D14" i="82"/>
  <c r="B14" i="82"/>
  <c r="Q13" i="82"/>
  <c r="G13" i="82"/>
  <c r="F13" i="82"/>
  <c r="E13" i="82"/>
  <c r="D13" i="82"/>
  <c r="B13" i="82"/>
  <c r="Q12" i="82"/>
  <c r="G12" i="82"/>
  <c r="F12" i="82"/>
  <c r="E12" i="82"/>
  <c r="D12" i="82"/>
  <c r="B12" i="82"/>
  <c r="Q11" i="82"/>
  <c r="G11" i="82"/>
  <c r="G10" i="82" s="1"/>
  <c r="G21" i="82" s="1"/>
  <c r="F11" i="82"/>
  <c r="F10" i="82" s="1"/>
  <c r="F21" i="82" s="1"/>
  <c r="E11" i="82"/>
  <c r="D11" i="82"/>
  <c r="B11" i="82"/>
  <c r="Q10" i="82"/>
  <c r="O10" i="82"/>
  <c r="N10" i="82"/>
  <c r="M10" i="82"/>
  <c r="L10" i="82"/>
  <c r="L21" i="82" s="1"/>
  <c r="K10" i="82"/>
  <c r="K21" i="82" s="1"/>
  <c r="J10" i="82"/>
  <c r="J21" i="82" s="1"/>
  <c r="I10" i="82"/>
  <c r="H10" i="82"/>
  <c r="E10" i="82"/>
  <c r="E21" i="82" s="1"/>
  <c r="D10" i="82"/>
  <c r="D21" i="82" s="1"/>
  <c r="O8" i="82"/>
  <c r="N8" i="82"/>
  <c r="M8" i="82"/>
  <c r="L8" i="82"/>
  <c r="K8" i="82"/>
  <c r="J8" i="82"/>
  <c r="I8" i="82"/>
  <c r="H8" i="82"/>
  <c r="G8" i="82"/>
  <c r="F8" i="82"/>
  <c r="E8" i="82"/>
  <c r="D8" i="82"/>
  <c r="B5" i="82"/>
  <c r="Q70" i="80"/>
  <c r="G65" i="80"/>
  <c r="F65" i="80"/>
  <c r="E65" i="80"/>
  <c r="D65" i="80"/>
  <c r="Q65" i="80" s="1"/>
  <c r="Q63" i="80"/>
  <c r="B63" i="80"/>
  <c r="O62" i="80"/>
  <c r="N62" i="80"/>
  <c r="M62" i="80"/>
  <c r="L62" i="80"/>
  <c r="K62" i="80"/>
  <c r="J62" i="80"/>
  <c r="I62" i="80"/>
  <c r="H62" i="80"/>
  <c r="G62" i="80"/>
  <c r="F62" i="80"/>
  <c r="E62" i="80"/>
  <c r="D62" i="80"/>
  <c r="Q62" i="80" s="1"/>
  <c r="B62" i="80"/>
  <c r="Q61" i="80"/>
  <c r="B61" i="80"/>
  <c r="O60" i="80"/>
  <c r="N60" i="80"/>
  <c r="M60" i="80"/>
  <c r="L60" i="80"/>
  <c r="K60" i="80"/>
  <c r="J60" i="80"/>
  <c r="I60" i="80"/>
  <c r="H60" i="80"/>
  <c r="G60" i="80"/>
  <c r="F60" i="80"/>
  <c r="E60" i="80"/>
  <c r="D60" i="80"/>
  <c r="Q60" i="80" s="1"/>
  <c r="B60" i="80"/>
  <c r="Q59" i="80"/>
  <c r="B59" i="80"/>
  <c r="Q58" i="80"/>
  <c r="B58" i="80"/>
  <c r="Q57" i="80"/>
  <c r="B57" i="80"/>
  <c r="Q56" i="80"/>
  <c r="B56" i="80"/>
  <c r="O55" i="80"/>
  <c r="N55" i="80"/>
  <c r="M55" i="80"/>
  <c r="L55" i="80"/>
  <c r="K55" i="80"/>
  <c r="J55" i="80"/>
  <c r="I55" i="80"/>
  <c r="H55" i="80"/>
  <c r="G55" i="80"/>
  <c r="F55" i="80"/>
  <c r="E55" i="80"/>
  <c r="D55" i="80"/>
  <c r="B55" i="80"/>
  <c r="Q54" i="80"/>
  <c r="B54" i="80"/>
  <c r="Q53" i="80"/>
  <c r="B53" i="80"/>
  <c r="O52" i="80"/>
  <c r="N52" i="80"/>
  <c r="M52" i="80"/>
  <c r="L52" i="80"/>
  <c r="K52" i="80"/>
  <c r="J52" i="80"/>
  <c r="I52" i="80"/>
  <c r="H52" i="80"/>
  <c r="G52" i="80"/>
  <c r="F52" i="80"/>
  <c r="E52" i="80"/>
  <c r="D52" i="80"/>
  <c r="Q52" i="80" s="1"/>
  <c r="B52" i="80"/>
  <c r="Q51" i="80"/>
  <c r="B51" i="80"/>
  <c r="Q50" i="80"/>
  <c r="B50" i="80"/>
  <c r="O49" i="80"/>
  <c r="N49" i="80"/>
  <c r="M49" i="80"/>
  <c r="L49" i="80"/>
  <c r="K49" i="80"/>
  <c r="J49" i="80"/>
  <c r="I49" i="80"/>
  <c r="H49" i="80"/>
  <c r="G49" i="80"/>
  <c r="F49" i="80"/>
  <c r="E49" i="80"/>
  <c r="D49" i="80"/>
  <c r="B49" i="80"/>
  <c r="Q48" i="80"/>
  <c r="B48" i="80"/>
  <c r="O47" i="80"/>
  <c r="N47" i="80"/>
  <c r="M47" i="80"/>
  <c r="L47" i="80"/>
  <c r="K47" i="80"/>
  <c r="J47" i="80"/>
  <c r="I47" i="80"/>
  <c r="H47" i="80"/>
  <c r="H20" i="80" s="1"/>
  <c r="G47" i="80"/>
  <c r="F47" i="80"/>
  <c r="E47" i="80"/>
  <c r="D47" i="80"/>
  <c r="B47" i="80"/>
  <c r="Q46" i="80"/>
  <c r="B46" i="80"/>
  <c r="O45" i="80"/>
  <c r="N45" i="80"/>
  <c r="M45" i="80"/>
  <c r="L45" i="80"/>
  <c r="K45" i="80"/>
  <c r="J45" i="80"/>
  <c r="I45" i="80"/>
  <c r="H45" i="80"/>
  <c r="G45" i="80"/>
  <c r="F45" i="80"/>
  <c r="E45" i="80"/>
  <c r="D45" i="80"/>
  <c r="Q45" i="80" s="1"/>
  <c r="B45" i="80"/>
  <c r="Q44" i="80"/>
  <c r="B44" i="80"/>
  <c r="O43" i="80"/>
  <c r="N43" i="80"/>
  <c r="M43" i="80"/>
  <c r="L43" i="80"/>
  <c r="K43" i="80"/>
  <c r="J43" i="80"/>
  <c r="I43" i="80"/>
  <c r="H43" i="80"/>
  <c r="G43" i="80"/>
  <c r="F43" i="80"/>
  <c r="E43" i="80"/>
  <c r="D43" i="80"/>
  <c r="Q43" i="80" s="1"/>
  <c r="B43" i="80"/>
  <c r="Q42" i="80"/>
  <c r="B42" i="80"/>
  <c r="O41" i="80"/>
  <c r="N41" i="80"/>
  <c r="M41" i="80"/>
  <c r="L41" i="80"/>
  <c r="K41" i="80"/>
  <c r="J41" i="80"/>
  <c r="I41" i="80"/>
  <c r="I20" i="80" s="1"/>
  <c r="H41" i="80"/>
  <c r="G41" i="80"/>
  <c r="F41" i="80"/>
  <c r="E41" i="80"/>
  <c r="D41" i="80"/>
  <c r="B41" i="80"/>
  <c r="Q40" i="80"/>
  <c r="B40" i="80"/>
  <c r="Q39" i="80"/>
  <c r="B39" i="80"/>
  <c r="Q38" i="80"/>
  <c r="B38" i="80"/>
  <c r="Q37" i="80"/>
  <c r="B37" i="80"/>
  <c r="Q36" i="80"/>
  <c r="B36" i="80"/>
  <c r="Q35" i="80"/>
  <c r="B35" i="80"/>
  <c r="Q34" i="80"/>
  <c r="B34" i="80"/>
  <c r="Q33" i="80"/>
  <c r="B33" i="80"/>
  <c r="Q32" i="80"/>
  <c r="B32" i="80"/>
  <c r="Q31" i="80"/>
  <c r="B31" i="80"/>
  <c r="O30" i="80"/>
  <c r="N30" i="80"/>
  <c r="M30" i="80"/>
  <c r="L30" i="80"/>
  <c r="K30" i="80"/>
  <c r="J30" i="80"/>
  <c r="I30" i="80"/>
  <c r="H30" i="80"/>
  <c r="G30" i="80"/>
  <c r="F30" i="80"/>
  <c r="E30" i="80"/>
  <c r="D30" i="80"/>
  <c r="B30" i="80"/>
  <c r="Q29" i="80"/>
  <c r="B29" i="80"/>
  <c r="Q28" i="80"/>
  <c r="B28" i="80"/>
  <c r="Q27" i="80"/>
  <c r="B27" i="80"/>
  <c r="Q26" i="80"/>
  <c r="B26" i="80"/>
  <c r="Q25" i="80"/>
  <c r="B25" i="80"/>
  <c r="Q24" i="80"/>
  <c r="B24" i="80"/>
  <c r="Q23" i="80"/>
  <c r="B23" i="80"/>
  <c r="Q22" i="80"/>
  <c r="B22" i="80"/>
  <c r="O21" i="80"/>
  <c r="N21" i="80"/>
  <c r="M21" i="80"/>
  <c r="M20" i="80" s="1"/>
  <c r="L21" i="80"/>
  <c r="K21" i="80"/>
  <c r="J21" i="80"/>
  <c r="I21" i="80"/>
  <c r="H21" i="80"/>
  <c r="G21" i="80"/>
  <c r="F21" i="80"/>
  <c r="E21" i="80"/>
  <c r="E20" i="80" s="1"/>
  <c r="D21" i="80"/>
  <c r="B21" i="80"/>
  <c r="O20" i="80"/>
  <c r="N20" i="80"/>
  <c r="G20" i="80"/>
  <c r="E17" i="80"/>
  <c r="D17" i="80"/>
  <c r="Q15" i="80"/>
  <c r="B15" i="80"/>
  <c r="Q14" i="80"/>
  <c r="B14" i="80"/>
  <c r="Q13" i="80"/>
  <c r="O13" i="80"/>
  <c r="N13" i="80"/>
  <c r="M13" i="80"/>
  <c r="L13" i="80"/>
  <c r="K13" i="80"/>
  <c r="J13" i="80"/>
  <c r="I13" i="80"/>
  <c r="H13" i="80"/>
  <c r="G13" i="80"/>
  <c r="F13" i="80"/>
  <c r="E13" i="80"/>
  <c r="D13" i="80"/>
  <c r="Q11" i="80"/>
  <c r="G11" i="80"/>
  <c r="G10" i="80" s="1"/>
  <c r="G17" i="80" s="1"/>
  <c r="G18" i="80" s="1"/>
  <c r="F11" i="80"/>
  <c r="F10" i="80" s="1"/>
  <c r="F17" i="80" s="1"/>
  <c r="F18" i="80" s="1"/>
  <c r="E11" i="80"/>
  <c r="D11" i="80"/>
  <c r="B11" i="80"/>
  <c r="Q10" i="80"/>
  <c r="Q17" i="80" s="1"/>
  <c r="O10" i="80"/>
  <c r="O17" i="80" s="1"/>
  <c r="N10" i="80"/>
  <c r="N17" i="80" s="1"/>
  <c r="M10" i="80"/>
  <c r="M17" i="80" s="1"/>
  <c r="L10" i="80"/>
  <c r="L17" i="80" s="1"/>
  <c r="K10" i="80"/>
  <c r="K17" i="80" s="1"/>
  <c r="J10" i="80"/>
  <c r="J17" i="80" s="1"/>
  <c r="I10" i="80"/>
  <c r="I17" i="80" s="1"/>
  <c r="H10" i="80"/>
  <c r="H17" i="80" s="1"/>
  <c r="E10" i="80"/>
  <c r="D10" i="80"/>
  <c r="O8" i="80"/>
  <c r="N8" i="80"/>
  <c r="M8" i="80"/>
  <c r="L8" i="80"/>
  <c r="K8" i="80"/>
  <c r="J8" i="80"/>
  <c r="I8" i="80"/>
  <c r="H8" i="80"/>
  <c r="G8" i="80"/>
  <c r="F8" i="80"/>
  <c r="E8" i="80"/>
  <c r="D8" i="80"/>
  <c r="B5" i="80"/>
  <c r="Q74" i="79"/>
  <c r="G69" i="79"/>
  <c r="F69" i="79"/>
  <c r="E69" i="79"/>
  <c r="D69" i="79"/>
  <c r="Q67" i="79"/>
  <c r="B67" i="79"/>
  <c r="O66" i="79"/>
  <c r="N66" i="79"/>
  <c r="M66" i="79"/>
  <c r="L66" i="79"/>
  <c r="K66" i="79"/>
  <c r="J66" i="79"/>
  <c r="I66" i="79"/>
  <c r="H66" i="79"/>
  <c r="G66" i="79"/>
  <c r="F66" i="79"/>
  <c r="E66" i="79"/>
  <c r="D66" i="79"/>
  <c r="B66" i="79"/>
  <c r="Q65" i="79"/>
  <c r="B65" i="79"/>
  <c r="O64" i="79"/>
  <c r="N64" i="79"/>
  <c r="M64" i="79"/>
  <c r="L64" i="79"/>
  <c r="K64" i="79"/>
  <c r="J64" i="79"/>
  <c r="I64" i="79"/>
  <c r="H64" i="79"/>
  <c r="G64" i="79"/>
  <c r="F64" i="79"/>
  <c r="E64" i="79"/>
  <c r="D64" i="79"/>
  <c r="B64" i="79"/>
  <c r="Q63" i="79"/>
  <c r="B63" i="79"/>
  <c r="Q62" i="79"/>
  <c r="B62" i="79"/>
  <c r="O61" i="79"/>
  <c r="N61" i="79"/>
  <c r="M61" i="79"/>
  <c r="L61" i="79"/>
  <c r="K61" i="79"/>
  <c r="J61" i="79"/>
  <c r="I61" i="79"/>
  <c r="H61" i="79"/>
  <c r="G61" i="79"/>
  <c r="F61" i="79"/>
  <c r="E61" i="79"/>
  <c r="D61" i="79"/>
  <c r="B61" i="79"/>
  <c r="Q60" i="79"/>
  <c r="B60" i="79"/>
  <c r="Q59" i="79"/>
  <c r="B59" i="79"/>
  <c r="O58" i="79"/>
  <c r="N58" i="79"/>
  <c r="M58" i="79"/>
  <c r="L58" i="79"/>
  <c r="K58" i="79"/>
  <c r="J58" i="79"/>
  <c r="I58" i="79"/>
  <c r="H58" i="79"/>
  <c r="G58" i="79"/>
  <c r="F58" i="79"/>
  <c r="E58" i="79"/>
  <c r="D58" i="79"/>
  <c r="B58" i="79"/>
  <c r="Q57" i="79"/>
  <c r="B57" i="79"/>
  <c r="Q56" i="79"/>
  <c r="B56" i="79"/>
  <c r="O55" i="79"/>
  <c r="N55" i="79"/>
  <c r="M55" i="79"/>
  <c r="L55" i="79"/>
  <c r="K55" i="79"/>
  <c r="J55" i="79"/>
  <c r="I55" i="79"/>
  <c r="H55" i="79"/>
  <c r="G55" i="79"/>
  <c r="F55" i="79"/>
  <c r="E55" i="79"/>
  <c r="D55" i="79"/>
  <c r="B55" i="79"/>
  <c r="Q54" i="79"/>
  <c r="B54" i="79"/>
  <c r="O53" i="79"/>
  <c r="N53" i="79"/>
  <c r="M53" i="79"/>
  <c r="L53" i="79"/>
  <c r="K53" i="79"/>
  <c r="J53" i="79"/>
  <c r="I53" i="79"/>
  <c r="H53" i="79"/>
  <c r="G53" i="79"/>
  <c r="F53" i="79"/>
  <c r="E53" i="79"/>
  <c r="D53" i="79"/>
  <c r="Q53" i="79" s="1"/>
  <c r="B53" i="79"/>
  <c r="Q52" i="79"/>
  <c r="B52" i="79"/>
  <c r="Q51" i="79"/>
  <c r="B51" i="79"/>
  <c r="O50" i="79"/>
  <c r="N50" i="79"/>
  <c r="M50" i="79"/>
  <c r="L50" i="79"/>
  <c r="K50" i="79"/>
  <c r="J50" i="79"/>
  <c r="I50" i="79"/>
  <c r="H50" i="79"/>
  <c r="G50" i="79"/>
  <c r="F50" i="79"/>
  <c r="E50" i="79"/>
  <c r="D50" i="79"/>
  <c r="Q50" i="79" s="1"/>
  <c r="B50" i="79"/>
  <c r="Q49" i="79"/>
  <c r="B49" i="79"/>
  <c r="O48" i="79"/>
  <c r="N48" i="79"/>
  <c r="M48" i="79"/>
  <c r="L48" i="79"/>
  <c r="K48" i="79"/>
  <c r="J48" i="79"/>
  <c r="I48" i="79"/>
  <c r="H48" i="79"/>
  <c r="G48" i="79"/>
  <c r="F48" i="79"/>
  <c r="E48" i="79"/>
  <c r="D48" i="79"/>
  <c r="B48" i="79"/>
  <c r="Q47" i="79"/>
  <c r="B47" i="79"/>
  <c r="O46" i="79"/>
  <c r="N46" i="79"/>
  <c r="M46" i="79"/>
  <c r="L46" i="79"/>
  <c r="K46" i="79"/>
  <c r="J46" i="79"/>
  <c r="I46" i="79"/>
  <c r="H46" i="79"/>
  <c r="G46" i="79"/>
  <c r="F46" i="79"/>
  <c r="E46" i="79"/>
  <c r="D46" i="79"/>
  <c r="B46" i="79"/>
  <c r="Q45" i="79"/>
  <c r="B45" i="79"/>
  <c r="O44" i="79"/>
  <c r="N44" i="79"/>
  <c r="M44" i="79"/>
  <c r="L44" i="79"/>
  <c r="K44" i="79"/>
  <c r="J44" i="79"/>
  <c r="I44" i="79"/>
  <c r="H44" i="79"/>
  <c r="G44" i="79"/>
  <c r="F44" i="79"/>
  <c r="E44" i="79"/>
  <c r="E20" i="79" s="1"/>
  <c r="D44" i="79"/>
  <c r="Q44" i="79" s="1"/>
  <c r="B44" i="79"/>
  <c r="Q43" i="79"/>
  <c r="B43" i="79"/>
  <c r="O42" i="79"/>
  <c r="N42" i="79"/>
  <c r="M42" i="79"/>
  <c r="L42" i="79"/>
  <c r="K42" i="79"/>
  <c r="J42" i="79"/>
  <c r="I42" i="79"/>
  <c r="H42" i="79"/>
  <c r="G42" i="79"/>
  <c r="F42" i="79"/>
  <c r="E42" i="79"/>
  <c r="D42" i="79"/>
  <c r="Q42" i="79" s="1"/>
  <c r="B42" i="79"/>
  <c r="Q41" i="79"/>
  <c r="B41" i="79"/>
  <c r="Q40" i="79"/>
  <c r="B40" i="79"/>
  <c r="Q39" i="79"/>
  <c r="B39" i="79"/>
  <c r="Q38" i="79"/>
  <c r="B38" i="79"/>
  <c r="Q37" i="79"/>
  <c r="B37" i="79"/>
  <c r="Q36" i="79"/>
  <c r="B36" i="79"/>
  <c r="Q35" i="79"/>
  <c r="B35" i="79"/>
  <c r="Q34" i="79"/>
  <c r="B34" i="79"/>
  <c r="Q33" i="79"/>
  <c r="B33" i="79"/>
  <c r="Q32" i="79"/>
  <c r="B32" i="79"/>
  <c r="O31" i="79"/>
  <c r="N31" i="79"/>
  <c r="M31" i="79"/>
  <c r="M20" i="79" s="1"/>
  <c r="L31" i="79"/>
  <c r="K31" i="79"/>
  <c r="K20" i="79" s="1"/>
  <c r="J31" i="79"/>
  <c r="I31" i="79"/>
  <c r="H31" i="79"/>
  <c r="G31" i="79"/>
  <c r="F31" i="79"/>
  <c r="E31" i="79"/>
  <c r="D31" i="79"/>
  <c r="B31" i="79"/>
  <c r="Q30" i="79"/>
  <c r="B30" i="79"/>
  <c r="Q29" i="79"/>
  <c r="B29" i="79"/>
  <c r="Q28" i="79"/>
  <c r="B28" i="79"/>
  <c r="Q27" i="79"/>
  <c r="B27" i="79"/>
  <c r="Q26" i="79"/>
  <c r="B26" i="79"/>
  <c r="Q25" i="79"/>
  <c r="B25" i="79"/>
  <c r="Q24" i="79"/>
  <c r="B24" i="79"/>
  <c r="Q23" i="79"/>
  <c r="B23" i="79"/>
  <c r="Q22" i="79"/>
  <c r="B22" i="79"/>
  <c r="O21" i="79"/>
  <c r="O20" i="79" s="1"/>
  <c r="N21" i="79"/>
  <c r="M21" i="79"/>
  <c r="L21" i="79"/>
  <c r="K21" i="79"/>
  <c r="J21" i="79"/>
  <c r="I21" i="79"/>
  <c r="I20" i="79" s="1"/>
  <c r="H21" i="79"/>
  <c r="H20" i="79" s="1"/>
  <c r="G21" i="79"/>
  <c r="F21" i="79"/>
  <c r="E21" i="79"/>
  <c r="D21" i="79"/>
  <c r="B21" i="79"/>
  <c r="J20" i="79"/>
  <c r="D20" i="79"/>
  <c r="L18" i="79"/>
  <c r="K18" i="79"/>
  <c r="J18" i="79"/>
  <c r="M17" i="79"/>
  <c r="M18" i="79" s="1"/>
  <c r="L17" i="79"/>
  <c r="K17" i="79"/>
  <c r="G17" i="79"/>
  <c r="F17" i="79"/>
  <c r="F18" i="79" s="1"/>
  <c r="Q15" i="79"/>
  <c r="B15" i="79"/>
  <c r="Q14" i="79"/>
  <c r="O14" i="79"/>
  <c r="N14" i="79"/>
  <c r="N17" i="79" s="1"/>
  <c r="M14" i="79"/>
  <c r="L14" i="79"/>
  <c r="K14" i="79"/>
  <c r="J14" i="79"/>
  <c r="I14" i="79"/>
  <c r="H14" i="79"/>
  <c r="G14" i="79"/>
  <c r="F14" i="79"/>
  <c r="E14" i="79"/>
  <c r="D14" i="79"/>
  <c r="Q12" i="79"/>
  <c r="G12" i="79"/>
  <c r="G10" i="79" s="1"/>
  <c r="F12" i="79"/>
  <c r="E12" i="79"/>
  <c r="D12" i="79"/>
  <c r="B12" i="79"/>
  <c r="G11" i="79"/>
  <c r="F11" i="79"/>
  <c r="E11" i="79"/>
  <c r="D11" i="79"/>
  <c r="Q11" i="79" s="1"/>
  <c r="Q10" i="79" s="1"/>
  <c r="Q17" i="79" s="1"/>
  <c r="B11" i="79"/>
  <c r="O10" i="79"/>
  <c r="N10" i="79"/>
  <c r="M10" i="79"/>
  <c r="L10" i="79"/>
  <c r="K10" i="79"/>
  <c r="J10" i="79"/>
  <c r="J17" i="79" s="1"/>
  <c r="I10" i="79"/>
  <c r="I17" i="79" s="1"/>
  <c r="H10" i="79"/>
  <c r="H17" i="79" s="1"/>
  <c r="F10" i="79"/>
  <c r="E10" i="79"/>
  <c r="E17" i="79" s="1"/>
  <c r="E18" i="79" s="1"/>
  <c r="D10" i="79"/>
  <c r="D17" i="79" s="1"/>
  <c r="O8" i="79"/>
  <c r="N8" i="79"/>
  <c r="M8" i="79"/>
  <c r="L8" i="79"/>
  <c r="K8" i="79"/>
  <c r="J8" i="79"/>
  <c r="I8" i="79"/>
  <c r="H8" i="79"/>
  <c r="G8" i="79"/>
  <c r="F8" i="79"/>
  <c r="E8" i="79"/>
  <c r="D8" i="79"/>
  <c r="B5" i="79"/>
  <c r="Q100" i="76"/>
  <c r="G95" i="76"/>
  <c r="F95" i="76"/>
  <c r="E95" i="76"/>
  <c r="D95" i="76"/>
  <c r="Q95" i="76" s="1"/>
  <c r="Q93" i="76"/>
  <c r="B93" i="76"/>
  <c r="O92" i="76"/>
  <c r="N92" i="76"/>
  <c r="M92" i="76"/>
  <c r="L92" i="76"/>
  <c r="K92" i="76"/>
  <c r="J92" i="76"/>
  <c r="I92" i="76"/>
  <c r="H92" i="76"/>
  <c r="G92" i="76"/>
  <c r="F92" i="76"/>
  <c r="E92" i="76"/>
  <c r="D92" i="76"/>
  <c r="B92" i="76"/>
  <c r="Q91" i="76"/>
  <c r="B91" i="76"/>
  <c r="O90" i="76"/>
  <c r="N90" i="76"/>
  <c r="M90" i="76"/>
  <c r="L90" i="76"/>
  <c r="K90" i="76"/>
  <c r="J90" i="76"/>
  <c r="I90" i="76"/>
  <c r="H90" i="76"/>
  <c r="G90" i="76"/>
  <c r="F90" i="76"/>
  <c r="E90" i="76"/>
  <c r="D90" i="76"/>
  <c r="Q90" i="76" s="1"/>
  <c r="B90" i="76"/>
  <c r="Q89" i="76"/>
  <c r="B89" i="76"/>
  <c r="Q88" i="76"/>
  <c r="B88" i="76"/>
  <c r="Q87" i="76"/>
  <c r="B87" i="76"/>
  <c r="O86" i="76"/>
  <c r="N86" i="76"/>
  <c r="M86" i="76"/>
  <c r="L86" i="76"/>
  <c r="K86" i="76"/>
  <c r="J86" i="76"/>
  <c r="I86" i="76"/>
  <c r="H86" i="76"/>
  <c r="G86" i="76"/>
  <c r="F86" i="76"/>
  <c r="E86" i="76"/>
  <c r="D86" i="76"/>
  <c r="B86" i="76"/>
  <c r="Q85" i="76"/>
  <c r="B85" i="76"/>
  <c r="O84" i="76"/>
  <c r="N84" i="76"/>
  <c r="M84" i="76"/>
  <c r="L84" i="76"/>
  <c r="K84" i="76"/>
  <c r="J84" i="76"/>
  <c r="I84" i="76"/>
  <c r="H84" i="76"/>
  <c r="G84" i="76"/>
  <c r="F84" i="76"/>
  <c r="E84" i="76"/>
  <c r="D84" i="76"/>
  <c r="B84" i="76"/>
  <c r="Q83" i="76"/>
  <c r="B83" i="76"/>
  <c r="O82" i="76"/>
  <c r="N82" i="76"/>
  <c r="M82" i="76"/>
  <c r="L82" i="76"/>
  <c r="K82" i="76"/>
  <c r="J82" i="76"/>
  <c r="I82" i="76"/>
  <c r="H82" i="76"/>
  <c r="G82" i="76"/>
  <c r="F82" i="76"/>
  <c r="F46" i="76" s="1"/>
  <c r="E82" i="76"/>
  <c r="D82" i="76"/>
  <c r="B82" i="76"/>
  <c r="Q81" i="76"/>
  <c r="B81" i="76"/>
  <c r="O80" i="76"/>
  <c r="N80" i="76"/>
  <c r="M80" i="76"/>
  <c r="L80" i="76"/>
  <c r="K80" i="76"/>
  <c r="J80" i="76"/>
  <c r="I80" i="76"/>
  <c r="I46" i="76" s="1"/>
  <c r="H80" i="76"/>
  <c r="G80" i="76"/>
  <c r="F80" i="76"/>
  <c r="E80" i="76"/>
  <c r="D80" i="76"/>
  <c r="B80" i="76"/>
  <c r="Q79" i="76"/>
  <c r="B79" i="76"/>
  <c r="Q78" i="76"/>
  <c r="B78" i="76"/>
  <c r="O77" i="76"/>
  <c r="N77" i="76"/>
  <c r="M77" i="76"/>
  <c r="L77" i="76"/>
  <c r="K77" i="76"/>
  <c r="J77" i="76"/>
  <c r="I77" i="76"/>
  <c r="H77" i="76"/>
  <c r="G77" i="76"/>
  <c r="F77" i="76"/>
  <c r="E77" i="76"/>
  <c r="D77" i="76"/>
  <c r="B77" i="76"/>
  <c r="Q76" i="76"/>
  <c r="B76" i="76"/>
  <c r="O75" i="76"/>
  <c r="N75" i="76"/>
  <c r="M75" i="76"/>
  <c r="L75" i="76"/>
  <c r="K75" i="76"/>
  <c r="J75" i="76"/>
  <c r="I75" i="76"/>
  <c r="H75" i="76"/>
  <c r="G75" i="76"/>
  <c r="F75" i="76"/>
  <c r="E75" i="76"/>
  <c r="D75" i="76"/>
  <c r="B75" i="76"/>
  <c r="Q74" i="76"/>
  <c r="B74" i="76"/>
  <c r="O73" i="76"/>
  <c r="N73" i="76"/>
  <c r="M73" i="76"/>
  <c r="L73" i="76"/>
  <c r="K73" i="76"/>
  <c r="J73" i="76"/>
  <c r="I73" i="76"/>
  <c r="H73" i="76"/>
  <c r="G73" i="76"/>
  <c r="F73" i="76"/>
  <c r="E73" i="76"/>
  <c r="D73" i="76"/>
  <c r="B73" i="76"/>
  <c r="Q72" i="76"/>
  <c r="B72" i="76"/>
  <c r="O71" i="76"/>
  <c r="N71" i="76"/>
  <c r="M71" i="76"/>
  <c r="L71" i="76"/>
  <c r="K71" i="76"/>
  <c r="J71" i="76"/>
  <c r="I71" i="76"/>
  <c r="H71" i="76"/>
  <c r="G71" i="76"/>
  <c r="F71" i="76"/>
  <c r="E71" i="76"/>
  <c r="D71" i="76"/>
  <c r="Q71" i="76" s="1"/>
  <c r="B71" i="76"/>
  <c r="Q70" i="76"/>
  <c r="B70" i="76"/>
  <c r="O69" i="76"/>
  <c r="N69" i="76"/>
  <c r="M69" i="76"/>
  <c r="L69" i="76"/>
  <c r="K69" i="76"/>
  <c r="K46" i="76" s="1"/>
  <c r="J69" i="76"/>
  <c r="I69" i="76"/>
  <c r="H69" i="76"/>
  <c r="G69" i="76"/>
  <c r="F69" i="76"/>
  <c r="E69" i="76"/>
  <c r="D69" i="76"/>
  <c r="Q69" i="76" s="1"/>
  <c r="B69" i="76"/>
  <c r="Q68" i="76"/>
  <c r="B68" i="76"/>
  <c r="Q67" i="76"/>
  <c r="B67" i="76"/>
  <c r="Q66" i="76"/>
  <c r="B66" i="76"/>
  <c r="Q65" i="76"/>
  <c r="B65" i="76"/>
  <c r="Q64" i="76"/>
  <c r="B64" i="76"/>
  <c r="Q63" i="76"/>
  <c r="B63" i="76"/>
  <c r="Q62" i="76"/>
  <c r="B62" i="76"/>
  <c r="Q61" i="76"/>
  <c r="B61" i="76"/>
  <c r="Q60" i="76"/>
  <c r="B60" i="76"/>
  <c r="Q59" i="76"/>
  <c r="B59" i="76"/>
  <c r="O58" i="76"/>
  <c r="N58" i="76"/>
  <c r="M58" i="76"/>
  <c r="L58" i="76"/>
  <c r="K58" i="76"/>
  <c r="J58" i="76"/>
  <c r="I58" i="76"/>
  <c r="H58" i="76"/>
  <c r="G58" i="76"/>
  <c r="F58" i="76"/>
  <c r="E58" i="76"/>
  <c r="D58" i="76"/>
  <c r="Q58" i="76" s="1"/>
  <c r="B58" i="76"/>
  <c r="Q57" i="76"/>
  <c r="B57" i="76"/>
  <c r="Q56" i="76"/>
  <c r="B56" i="76"/>
  <c r="Q55" i="76"/>
  <c r="B55" i="76"/>
  <c r="Q54" i="76"/>
  <c r="B54" i="76"/>
  <c r="Q53" i="76"/>
  <c r="B53" i="76"/>
  <c r="Q52" i="76"/>
  <c r="B52" i="76"/>
  <c r="Q51" i="76"/>
  <c r="B51" i="76"/>
  <c r="Q50" i="76"/>
  <c r="B50" i="76"/>
  <c r="Q49" i="76"/>
  <c r="B49" i="76"/>
  <c r="Q48" i="76"/>
  <c r="B48" i="76"/>
  <c r="O47" i="76"/>
  <c r="N47" i="76"/>
  <c r="M47" i="76"/>
  <c r="M46" i="76" s="1"/>
  <c r="L47" i="76"/>
  <c r="K47" i="76"/>
  <c r="J47" i="76"/>
  <c r="J46" i="76" s="1"/>
  <c r="I47" i="76"/>
  <c r="H47" i="76"/>
  <c r="H46" i="76" s="1"/>
  <c r="G47" i="76"/>
  <c r="F47" i="76"/>
  <c r="E47" i="76"/>
  <c r="D47" i="76"/>
  <c r="B47" i="76"/>
  <c r="L46" i="76"/>
  <c r="E46" i="76"/>
  <c r="Q41" i="76"/>
  <c r="B41" i="76"/>
  <c r="Q40" i="76"/>
  <c r="B40" i="76"/>
  <c r="Q39" i="76"/>
  <c r="B39" i="76"/>
  <c r="Q38" i="76"/>
  <c r="B38" i="76"/>
  <c r="Q37" i="76"/>
  <c r="B37" i="76"/>
  <c r="Q36" i="76"/>
  <c r="B36" i="76"/>
  <c r="Q35" i="76"/>
  <c r="B35" i="76"/>
  <c r="Q34" i="76"/>
  <c r="B34" i="76"/>
  <c r="Q33" i="76"/>
  <c r="B33" i="76"/>
  <c r="Q32" i="76"/>
  <c r="B32" i="76"/>
  <c r="Q31" i="76"/>
  <c r="Q30" i="76" s="1"/>
  <c r="B31" i="76"/>
  <c r="O30" i="76"/>
  <c r="N30" i="76"/>
  <c r="M30" i="76"/>
  <c r="L30" i="76"/>
  <c r="K30" i="76"/>
  <c r="J30" i="76"/>
  <c r="I30" i="76"/>
  <c r="H30" i="76"/>
  <c r="G30" i="76"/>
  <c r="F30" i="76"/>
  <c r="E30" i="76"/>
  <c r="D30" i="76"/>
  <c r="G28" i="76"/>
  <c r="F28" i="76"/>
  <c r="E28" i="76"/>
  <c r="D28" i="76"/>
  <c r="Q28" i="76" s="1"/>
  <c r="B28" i="76"/>
  <c r="G27" i="76"/>
  <c r="F27" i="76"/>
  <c r="E27" i="76"/>
  <c r="D27" i="76"/>
  <c r="B27" i="76"/>
  <c r="G26" i="76"/>
  <c r="F26" i="76"/>
  <c r="E26" i="76"/>
  <c r="D26" i="76"/>
  <c r="Q26" i="76" s="1"/>
  <c r="B26" i="76"/>
  <c r="G25" i="76"/>
  <c r="F25" i="76"/>
  <c r="E25" i="76"/>
  <c r="D25" i="76"/>
  <c r="B25" i="76"/>
  <c r="G24" i="76"/>
  <c r="F24" i="76"/>
  <c r="E24" i="76"/>
  <c r="D24" i="76"/>
  <c r="Q24" i="76" s="1"/>
  <c r="B24" i="76"/>
  <c r="G23" i="76"/>
  <c r="F23" i="76"/>
  <c r="E23" i="76"/>
  <c r="D23" i="76"/>
  <c r="B23" i="76"/>
  <c r="G22" i="76"/>
  <c r="F22" i="76"/>
  <c r="E22" i="76"/>
  <c r="D22" i="76"/>
  <c r="Q22" i="76" s="1"/>
  <c r="B22" i="76"/>
  <c r="G21" i="76"/>
  <c r="F21" i="76"/>
  <c r="E21" i="76"/>
  <c r="D21" i="76"/>
  <c r="Q21" i="76" s="1"/>
  <c r="B21" i="76"/>
  <c r="G20" i="76"/>
  <c r="F20" i="76"/>
  <c r="E20" i="76"/>
  <c r="D20" i="76"/>
  <c r="Q20" i="76" s="1"/>
  <c r="B20" i="76"/>
  <c r="G19" i="76"/>
  <c r="F19" i="76"/>
  <c r="E19" i="76"/>
  <c r="D19" i="76"/>
  <c r="B19" i="76"/>
  <c r="G18" i="76"/>
  <c r="F18" i="76"/>
  <c r="E18" i="76"/>
  <c r="D18" i="76"/>
  <c r="Q18" i="76" s="1"/>
  <c r="B18" i="76"/>
  <c r="G17" i="76"/>
  <c r="F17" i="76"/>
  <c r="E17" i="76"/>
  <c r="D17" i="76"/>
  <c r="B17" i="76"/>
  <c r="G16" i="76"/>
  <c r="F16" i="76"/>
  <c r="E16" i="76"/>
  <c r="D16" i="76"/>
  <c r="Q16" i="76" s="1"/>
  <c r="B16" i="76"/>
  <c r="G15" i="76"/>
  <c r="F15" i="76"/>
  <c r="E15" i="76"/>
  <c r="D15" i="76"/>
  <c r="B15" i="76"/>
  <c r="G14" i="76"/>
  <c r="F14" i="76"/>
  <c r="E14" i="76"/>
  <c r="D14" i="76"/>
  <c r="Q14" i="76" s="1"/>
  <c r="B14" i="76"/>
  <c r="G13" i="76"/>
  <c r="F13" i="76"/>
  <c r="E13" i="76"/>
  <c r="D13" i="76"/>
  <c r="B13" i="76"/>
  <c r="G12" i="76"/>
  <c r="F12" i="76"/>
  <c r="E12" i="76"/>
  <c r="D12" i="76"/>
  <c r="Q12" i="76" s="1"/>
  <c r="B12" i="76"/>
  <c r="G11" i="76"/>
  <c r="F11" i="76"/>
  <c r="F10" i="76" s="1"/>
  <c r="F43" i="76" s="1"/>
  <c r="E11" i="76"/>
  <c r="E10" i="76" s="1"/>
  <c r="E43" i="76" s="1"/>
  <c r="D11" i="76"/>
  <c r="B11" i="76"/>
  <c r="O10" i="76"/>
  <c r="O43" i="76" s="1"/>
  <c r="N10" i="76"/>
  <c r="N43" i="76" s="1"/>
  <c r="M10" i="76"/>
  <c r="M43" i="76" s="1"/>
  <c r="L10" i="76"/>
  <c r="L43" i="76" s="1"/>
  <c r="K10" i="76"/>
  <c r="K43" i="76" s="1"/>
  <c r="K44" i="76" s="1"/>
  <c r="J10" i="76"/>
  <c r="J43" i="76" s="1"/>
  <c r="I10" i="76"/>
  <c r="I43" i="76" s="1"/>
  <c r="H10" i="76"/>
  <c r="H43" i="76" s="1"/>
  <c r="G10" i="76"/>
  <c r="G43" i="76" s="1"/>
  <c r="O8" i="76"/>
  <c r="N8" i="76"/>
  <c r="M8" i="76"/>
  <c r="L8" i="76"/>
  <c r="K8" i="76"/>
  <c r="J8" i="76"/>
  <c r="I8" i="76"/>
  <c r="H8" i="76"/>
  <c r="G8" i="76"/>
  <c r="F8" i="76"/>
  <c r="E8" i="76"/>
  <c r="D8" i="76"/>
  <c r="B5" i="76"/>
  <c r="Q81" i="75"/>
  <c r="Q76" i="75"/>
  <c r="G76" i="75"/>
  <c r="F76" i="75"/>
  <c r="E76" i="75"/>
  <c r="D76" i="75"/>
  <c r="Q74" i="75"/>
  <c r="B74" i="75"/>
  <c r="O73" i="75"/>
  <c r="N73" i="75"/>
  <c r="M73" i="75"/>
  <c r="L73" i="75"/>
  <c r="K73" i="75"/>
  <c r="J73" i="75"/>
  <c r="I73" i="75"/>
  <c r="H73" i="75"/>
  <c r="G73" i="75"/>
  <c r="F73" i="75"/>
  <c r="E73" i="75"/>
  <c r="D73" i="75"/>
  <c r="Q73" i="75" s="1"/>
  <c r="B73" i="75"/>
  <c r="Q72" i="75"/>
  <c r="B72" i="75"/>
  <c r="O71" i="75"/>
  <c r="N71" i="75"/>
  <c r="M71" i="75"/>
  <c r="L71" i="75"/>
  <c r="K71" i="75"/>
  <c r="J71" i="75"/>
  <c r="I71" i="75"/>
  <c r="H71" i="75"/>
  <c r="G71" i="75"/>
  <c r="F71" i="75"/>
  <c r="E71" i="75"/>
  <c r="D71" i="75"/>
  <c r="B71" i="75"/>
  <c r="Q70" i="75"/>
  <c r="B70" i="75"/>
  <c r="Q69" i="75"/>
  <c r="B69" i="75"/>
  <c r="Q68" i="75"/>
  <c r="B68" i="75"/>
  <c r="Q67" i="75"/>
  <c r="B67" i="75"/>
  <c r="Q66" i="75"/>
  <c r="B66" i="75"/>
  <c r="O65" i="75"/>
  <c r="N65" i="75"/>
  <c r="M65" i="75"/>
  <c r="L65" i="75"/>
  <c r="K65" i="75"/>
  <c r="J65" i="75"/>
  <c r="I65" i="75"/>
  <c r="H65" i="75"/>
  <c r="G65" i="75"/>
  <c r="F65" i="75"/>
  <c r="E65" i="75"/>
  <c r="D65" i="75"/>
  <c r="Q65" i="75" s="1"/>
  <c r="B65" i="75"/>
  <c r="Q64" i="75"/>
  <c r="B64" i="75"/>
  <c r="O63" i="75"/>
  <c r="N63" i="75"/>
  <c r="M63" i="75"/>
  <c r="L63" i="75"/>
  <c r="K63" i="75"/>
  <c r="J63" i="75"/>
  <c r="I63" i="75"/>
  <c r="H63" i="75"/>
  <c r="G63" i="75"/>
  <c r="F63" i="75"/>
  <c r="E63" i="75"/>
  <c r="D63" i="75"/>
  <c r="B63" i="75"/>
  <c r="Q62" i="75"/>
  <c r="B62" i="75"/>
  <c r="Q61" i="75"/>
  <c r="B61" i="75"/>
  <c r="O60" i="75"/>
  <c r="N60" i="75"/>
  <c r="M60" i="75"/>
  <c r="L60" i="75"/>
  <c r="K60" i="75"/>
  <c r="J60" i="75"/>
  <c r="I60" i="75"/>
  <c r="H60" i="75"/>
  <c r="G60" i="75"/>
  <c r="F60" i="75"/>
  <c r="E60" i="75"/>
  <c r="D60" i="75"/>
  <c r="Q60" i="75" s="1"/>
  <c r="B60" i="75"/>
  <c r="Q59" i="75"/>
  <c r="B59" i="75"/>
  <c r="Q58" i="75"/>
  <c r="B58" i="75"/>
  <c r="O57" i="75"/>
  <c r="N57" i="75"/>
  <c r="M57" i="75"/>
  <c r="L57" i="75"/>
  <c r="K57" i="75"/>
  <c r="J57" i="75"/>
  <c r="I57" i="75"/>
  <c r="H57" i="75"/>
  <c r="G57" i="75"/>
  <c r="F57" i="75"/>
  <c r="E57" i="75"/>
  <c r="D57" i="75"/>
  <c r="B57" i="75"/>
  <c r="Q56" i="75"/>
  <c r="B56" i="75"/>
  <c r="O55" i="75"/>
  <c r="N55" i="75"/>
  <c r="M55" i="75"/>
  <c r="L55" i="75"/>
  <c r="K55" i="75"/>
  <c r="J55" i="75"/>
  <c r="I55" i="75"/>
  <c r="H55" i="75"/>
  <c r="G55" i="75"/>
  <c r="F55" i="75"/>
  <c r="E55" i="75"/>
  <c r="D55" i="75"/>
  <c r="Q55" i="75" s="1"/>
  <c r="B55" i="75"/>
  <c r="Q54" i="75"/>
  <c r="B54" i="75"/>
  <c r="O53" i="75"/>
  <c r="N53" i="75"/>
  <c r="M53" i="75"/>
  <c r="L53" i="75"/>
  <c r="K53" i="75"/>
  <c r="J53" i="75"/>
  <c r="I53" i="75"/>
  <c r="H53" i="75"/>
  <c r="G53" i="75"/>
  <c r="F53" i="75"/>
  <c r="E53" i="75"/>
  <c r="D53" i="75"/>
  <c r="B53" i="75"/>
  <c r="Q52" i="75"/>
  <c r="B52" i="75"/>
  <c r="O51" i="75"/>
  <c r="N51" i="75"/>
  <c r="M51" i="75"/>
  <c r="L51" i="75"/>
  <c r="K51" i="75"/>
  <c r="J51" i="75"/>
  <c r="I51" i="75"/>
  <c r="H51" i="75"/>
  <c r="G51" i="75"/>
  <c r="G27" i="75" s="1"/>
  <c r="F51" i="75"/>
  <c r="E51" i="75"/>
  <c r="D51" i="75"/>
  <c r="B51" i="75"/>
  <c r="Q50" i="75"/>
  <c r="B50" i="75"/>
  <c r="O49" i="75"/>
  <c r="N49" i="75"/>
  <c r="M49" i="75"/>
  <c r="L49" i="75"/>
  <c r="K49" i="75"/>
  <c r="J49" i="75"/>
  <c r="I49" i="75"/>
  <c r="H49" i="75"/>
  <c r="G49" i="75"/>
  <c r="F49" i="75"/>
  <c r="E49" i="75"/>
  <c r="D49" i="75"/>
  <c r="B49" i="75"/>
  <c r="Q48" i="75"/>
  <c r="B48" i="75"/>
  <c r="Q47" i="75"/>
  <c r="B47" i="75"/>
  <c r="Q46" i="75"/>
  <c r="B46" i="75"/>
  <c r="Q45" i="75"/>
  <c r="B45" i="75"/>
  <c r="Q44" i="75"/>
  <c r="B44" i="75"/>
  <c r="Q43" i="75"/>
  <c r="B43" i="75"/>
  <c r="Q42" i="75"/>
  <c r="B42" i="75"/>
  <c r="Q41" i="75"/>
  <c r="B41" i="75"/>
  <c r="Q40" i="75"/>
  <c r="B40" i="75"/>
  <c r="Q39" i="75"/>
  <c r="B39" i="75"/>
  <c r="O38" i="75"/>
  <c r="N38" i="75"/>
  <c r="M38" i="75"/>
  <c r="M27" i="75" s="1"/>
  <c r="L38" i="75"/>
  <c r="K38" i="75"/>
  <c r="J38" i="75"/>
  <c r="I38" i="75"/>
  <c r="H38" i="75"/>
  <c r="G38" i="75"/>
  <c r="F38" i="75"/>
  <c r="E38" i="75"/>
  <c r="D38" i="75"/>
  <c r="Q38" i="75" s="1"/>
  <c r="B38" i="75"/>
  <c r="Q37" i="75"/>
  <c r="B37" i="75"/>
  <c r="Q36" i="75"/>
  <c r="B36" i="75"/>
  <c r="Q35" i="75"/>
  <c r="B35" i="75"/>
  <c r="Q34" i="75"/>
  <c r="B34" i="75"/>
  <c r="Q33" i="75"/>
  <c r="B33" i="75"/>
  <c r="Q32" i="75"/>
  <c r="B32" i="75"/>
  <c r="Q31" i="75"/>
  <c r="B31" i="75"/>
  <c r="Q30" i="75"/>
  <c r="B30" i="75"/>
  <c r="Q29" i="75"/>
  <c r="B29" i="75"/>
  <c r="O28" i="75"/>
  <c r="N28" i="75"/>
  <c r="M28" i="75"/>
  <c r="L28" i="75"/>
  <c r="L27" i="75" s="1"/>
  <c r="K28" i="75"/>
  <c r="J28" i="75"/>
  <c r="J27" i="75" s="1"/>
  <c r="I28" i="75"/>
  <c r="I27" i="75" s="1"/>
  <c r="H28" i="75"/>
  <c r="G28" i="75"/>
  <c r="F28" i="75"/>
  <c r="E28" i="75"/>
  <c r="D28" i="75"/>
  <c r="B28" i="75"/>
  <c r="N27" i="75"/>
  <c r="K27" i="75"/>
  <c r="H27" i="75"/>
  <c r="F27" i="75"/>
  <c r="L25" i="75"/>
  <c r="H25" i="75"/>
  <c r="M24" i="75"/>
  <c r="I24" i="75"/>
  <c r="H24" i="75"/>
  <c r="H78" i="75" s="1"/>
  <c r="Q22" i="75"/>
  <c r="O22" i="75"/>
  <c r="N22" i="75"/>
  <c r="N24" i="75" s="1"/>
  <c r="M22" i="75"/>
  <c r="L22" i="75"/>
  <c r="K22" i="75"/>
  <c r="J22" i="75"/>
  <c r="I22" i="75"/>
  <c r="H22" i="75"/>
  <c r="G22" i="75"/>
  <c r="F22" i="75"/>
  <c r="E22" i="75"/>
  <c r="D22" i="75"/>
  <c r="G20" i="75"/>
  <c r="F20" i="75"/>
  <c r="E20" i="75"/>
  <c r="D20" i="75"/>
  <c r="Q20" i="75" s="1"/>
  <c r="B20" i="75"/>
  <c r="G19" i="75"/>
  <c r="F19" i="75"/>
  <c r="E19" i="75"/>
  <c r="D19" i="75"/>
  <c r="Q19" i="75" s="1"/>
  <c r="B19" i="75"/>
  <c r="G18" i="75"/>
  <c r="F18" i="75"/>
  <c r="E18" i="75"/>
  <c r="D18" i="75"/>
  <c r="Q18" i="75" s="1"/>
  <c r="B18" i="75"/>
  <c r="Q17" i="75"/>
  <c r="G17" i="75"/>
  <c r="F17" i="75"/>
  <c r="E17" i="75"/>
  <c r="D17" i="75"/>
  <c r="B17" i="75"/>
  <c r="G16" i="75"/>
  <c r="F16" i="75"/>
  <c r="E16" i="75"/>
  <c r="D16" i="75"/>
  <c r="Q16" i="75" s="1"/>
  <c r="B16" i="75"/>
  <c r="Q15" i="75"/>
  <c r="G15" i="75"/>
  <c r="F15" i="75"/>
  <c r="E15" i="75"/>
  <c r="D15" i="75"/>
  <c r="B15" i="75"/>
  <c r="G14" i="75"/>
  <c r="F14" i="75"/>
  <c r="E14" i="75"/>
  <c r="D14" i="75"/>
  <c r="B14" i="75"/>
  <c r="Q13" i="75"/>
  <c r="G13" i="75"/>
  <c r="F13" i="75"/>
  <c r="E13" i="75"/>
  <c r="D13" i="75"/>
  <c r="B13" i="75"/>
  <c r="G12" i="75"/>
  <c r="F12" i="75"/>
  <c r="E12" i="75"/>
  <c r="D12" i="75"/>
  <c r="Q12" i="75" s="1"/>
  <c r="B12" i="75"/>
  <c r="Q11" i="75"/>
  <c r="G11" i="75"/>
  <c r="G10" i="75" s="1"/>
  <c r="G24" i="75" s="1"/>
  <c r="F11" i="75"/>
  <c r="E11" i="75"/>
  <c r="D11" i="75"/>
  <c r="D10" i="75" s="1"/>
  <c r="D24" i="75" s="1"/>
  <c r="B11" i="75"/>
  <c r="O10" i="75"/>
  <c r="O24" i="75" s="1"/>
  <c r="O25" i="75" s="1"/>
  <c r="N10" i="75"/>
  <c r="M10" i="75"/>
  <c r="L10" i="75"/>
  <c r="L24" i="75" s="1"/>
  <c r="K10" i="75"/>
  <c r="K24" i="75" s="1"/>
  <c r="J10" i="75"/>
  <c r="I10" i="75"/>
  <c r="H10" i="75"/>
  <c r="F10" i="75"/>
  <c r="F24" i="75" s="1"/>
  <c r="E10" i="75"/>
  <c r="E24" i="75" s="1"/>
  <c r="O8" i="75"/>
  <c r="N8" i="75"/>
  <c r="M8" i="75"/>
  <c r="L8" i="75"/>
  <c r="K8" i="75"/>
  <c r="J8" i="75"/>
  <c r="I8" i="75"/>
  <c r="H8" i="75"/>
  <c r="G8" i="75"/>
  <c r="F8" i="75"/>
  <c r="E8" i="75"/>
  <c r="D8" i="75"/>
  <c r="B5" i="75"/>
  <c r="Q145" i="74"/>
  <c r="G140" i="74"/>
  <c r="F140" i="74"/>
  <c r="E140" i="74"/>
  <c r="D140" i="74"/>
  <c r="Q140" i="74" s="1"/>
  <c r="Q138" i="74"/>
  <c r="B138" i="74"/>
  <c r="Q137" i="74"/>
  <c r="B137" i="74"/>
  <c r="O136" i="74"/>
  <c r="N136" i="74"/>
  <c r="M136" i="74"/>
  <c r="L136" i="74"/>
  <c r="K136" i="74"/>
  <c r="J136" i="74"/>
  <c r="I136" i="74"/>
  <c r="H136" i="74"/>
  <c r="G136" i="74"/>
  <c r="F136" i="74"/>
  <c r="E136" i="74"/>
  <c r="D136" i="74"/>
  <c r="Q136" i="74" s="1"/>
  <c r="B136" i="74"/>
  <c r="Q135" i="74"/>
  <c r="B135" i="74"/>
  <c r="O134" i="74"/>
  <c r="N134" i="74"/>
  <c r="M134" i="74"/>
  <c r="L134" i="74"/>
  <c r="K134" i="74"/>
  <c r="J134" i="74"/>
  <c r="I134" i="74"/>
  <c r="H134" i="74"/>
  <c r="G134" i="74"/>
  <c r="F134" i="74"/>
  <c r="E134" i="74"/>
  <c r="D134" i="74"/>
  <c r="B134" i="74"/>
  <c r="Q133" i="74"/>
  <c r="B133" i="74"/>
  <c r="O132" i="74"/>
  <c r="N132" i="74"/>
  <c r="M132" i="74"/>
  <c r="L132" i="74"/>
  <c r="K132" i="74"/>
  <c r="J132" i="74"/>
  <c r="I132" i="74"/>
  <c r="H132" i="74"/>
  <c r="G132" i="74"/>
  <c r="F132" i="74"/>
  <c r="E132" i="74"/>
  <c r="D132" i="74"/>
  <c r="Q132" i="74" s="1"/>
  <c r="B132" i="74"/>
  <c r="Q131" i="74"/>
  <c r="B131" i="74"/>
  <c r="Q130" i="74"/>
  <c r="B130" i="74"/>
  <c r="Q129" i="74"/>
  <c r="B129" i="74"/>
  <c r="Q128" i="74"/>
  <c r="B128" i="74"/>
  <c r="Q127" i="74"/>
  <c r="B127" i="74"/>
  <c r="Q126" i="74"/>
  <c r="B126" i="74"/>
  <c r="Q125" i="74"/>
  <c r="B125" i="74"/>
  <c r="O124" i="74"/>
  <c r="N124" i="74"/>
  <c r="M124" i="74"/>
  <c r="L124" i="74"/>
  <c r="K124" i="74"/>
  <c r="J124" i="74"/>
  <c r="I124" i="74"/>
  <c r="H124" i="74"/>
  <c r="G124" i="74"/>
  <c r="F124" i="74"/>
  <c r="E124" i="74"/>
  <c r="D124" i="74"/>
  <c r="B124" i="74"/>
  <c r="Q123" i="74"/>
  <c r="B123" i="74"/>
  <c r="Q122" i="74"/>
  <c r="B122" i="74"/>
  <c r="O121" i="74"/>
  <c r="N121" i="74"/>
  <c r="M121" i="74"/>
  <c r="L121" i="74"/>
  <c r="K121" i="74"/>
  <c r="J121" i="74"/>
  <c r="I121" i="74"/>
  <c r="H121" i="74"/>
  <c r="G121" i="74"/>
  <c r="F121" i="74"/>
  <c r="E121" i="74"/>
  <c r="D121" i="74"/>
  <c r="Q121" i="74" s="1"/>
  <c r="B121" i="74"/>
  <c r="Q120" i="74"/>
  <c r="B120" i="74"/>
  <c r="Q119" i="74"/>
  <c r="B119" i="74"/>
  <c r="Q118" i="74"/>
  <c r="B118" i="74"/>
  <c r="O117" i="74"/>
  <c r="N117" i="74"/>
  <c r="M117" i="74"/>
  <c r="L117" i="74"/>
  <c r="K117" i="74"/>
  <c r="J117" i="74"/>
  <c r="I117" i="74"/>
  <c r="H117" i="74"/>
  <c r="G117" i="74"/>
  <c r="F117" i="74"/>
  <c r="E117" i="74"/>
  <c r="D117" i="74"/>
  <c r="B117" i="74"/>
  <c r="Q116" i="74"/>
  <c r="B116" i="74"/>
  <c r="O115" i="74"/>
  <c r="N115" i="74"/>
  <c r="M115" i="74"/>
  <c r="L115" i="74"/>
  <c r="K115" i="74"/>
  <c r="J115" i="74"/>
  <c r="I115" i="74"/>
  <c r="H115" i="74"/>
  <c r="G115" i="74"/>
  <c r="F115" i="74"/>
  <c r="E115" i="74"/>
  <c r="D115" i="74"/>
  <c r="Q115" i="74" s="1"/>
  <c r="B115" i="74"/>
  <c r="Q114" i="74"/>
  <c r="B114" i="74"/>
  <c r="O113" i="74"/>
  <c r="N113" i="74"/>
  <c r="M113" i="74"/>
  <c r="L113" i="74"/>
  <c r="K113" i="74"/>
  <c r="J113" i="74"/>
  <c r="I113" i="74"/>
  <c r="H113" i="74"/>
  <c r="G113" i="74"/>
  <c r="G74" i="74" s="1"/>
  <c r="F113" i="74"/>
  <c r="E113" i="74"/>
  <c r="D113" i="74"/>
  <c r="B113" i="74"/>
  <c r="Q112" i="74"/>
  <c r="B112" i="74"/>
  <c r="O111" i="74"/>
  <c r="N111" i="74"/>
  <c r="M111" i="74"/>
  <c r="L111" i="74"/>
  <c r="K111" i="74"/>
  <c r="J111" i="74"/>
  <c r="I111" i="74"/>
  <c r="H111" i="74"/>
  <c r="G111" i="74"/>
  <c r="F111" i="74"/>
  <c r="E111" i="74"/>
  <c r="D111" i="74"/>
  <c r="B111" i="74"/>
  <c r="Q110" i="74"/>
  <c r="B110" i="74"/>
  <c r="O109" i="74"/>
  <c r="N109" i="74"/>
  <c r="M109" i="74"/>
  <c r="L109" i="74"/>
  <c r="K109" i="74"/>
  <c r="J109" i="74"/>
  <c r="I109" i="74"/>
  <c r="H109" i="74"/>
  <c r="G109" i="74"/>
  <c r="F109" i="74"/>
  <c r="E109" i="74"/>
  <c r="D109" i="74"/>
  <c r="B109" i="74"/>
  <c r="Q108" i="74"/>
  <c r="B108" i="74"/>
  <c r="Q107" i="74"/>
  <c r="B107" i="74"/>
  <c r="O106" i="74"/>
  <c r="N106" i="74"/>
  <c r="M106" i="74"/>
  <c r="L106" i="74"/>
  <c r="K106" i="74"/>
  <c r="J106" i="74"/>
  <c r="I106" i="74"/>
  <c r="H106" i="74"/>
  <c r="G106" i="74"/>
  <c r="F106" i="74"/>
  <c r="E106" i="74"/>
  <c r="D106" i="74"/>
  <c r="B106" i="74"/>
  <c r="Q105" i="74"/>
  <c r="B105" i="74"/>
  <c r="O104" i="74"/>
  <c r="N104" i="74"/>
  <c r="M104" i="74"/>
  <c r="L104" i="74"/>
  <c r="K104" i="74"/>
  <c r="J104" i="74"/>
  <c r="I104" i="74"/>
  <c r="I74" i="74" s="1"/>
  <c r="H104" i="74"/>
  <c r="G104" i="74"/>
  <c r="F104" i="74"/>
  <c r="E104" i="74"/>
  <c r="D104" i="74"/>
  <c r="B104" i="74"/>
  <c r="Q103" i="74"/>
  <c r="B103" i="74"/>
  <c r="O102" i="74"/>
  <c r="N102" i="74"/>
  <c r="M102" i="74"/>
  <c r="M74" i="74" s="1"/>
  <c r="L102" i="74"/>
  <c r="K102" i="74"/>
  <c r="J102" i="74"/>
  <c r="I102" i="74"/>
  <c r="H102" i="74"/>
  <c r="G102" i="74"/>
  <c r="F102" i="74"/>
  <c r="E102" i="74"/>
  <c r="D102" i="74"/>
  <c r="B102" i="74"/>
  <c r="Q101" i="74"/>
  <c r="B101" i="74"/>
  <c r="O100" i="74"/>
  <c r="N100" i="74"/>
  <c r="M100" i="74"/>
  <c r="L100" i="74"/>
  <c r="K100" i="74"/>
  <c r="J100" i="74"/>
  <c r="I100" i="74"/>
  <c r="H100" i="74"/>
  <c r="G100" i="74"/>
  <c r="F100" i="74"/>
  <c r="E100" i="74"/>
  <c r="D100" i="74"/>
  <c r="D74" i="74" s="1"/>
  <c r="B100" i="74"/>
  <c r="Q99" i="74"/>
  <c r="B99" i="74"/>
  <c r="O98" i="74"/>
  <c r="N98" i="74"/>
  <c r="M98" i="74"/>
  <c r="L98" i="74"/>
  <c r="K98" i="74"/>
  <c r="J98" i="74"/>
  <c r="I98" i="74"/>
  <c r="H98" i="74"/>
  <c r="H74" i="74" s="1"/>
  <c r="G98" i="74"/>
  <c r="F98" i="74"/>
  <c r="E98" i="74"/>
  <c r="D98" i="74"/>
  <c r="B98" i="74"/>
  <c r="Q97" i="74"/>
  <c r="B97" i="74"/>
  <c r="O96" i="74"/>
  <c r="N96" i="74"/>
  <c r="M96" i="74"/>
  <c r="L96" i="74"/>
  <c r="K96" i="74"/>
  <c r="J96" i="74"/>
  <c r="I96" i="74"/>
  <c r="H96" i="74"/>
  <c r="G96" i="74"/>
  <c r="F96" i="74"/>
  <c r="E96" i="74"/>
  <c r="D96" i="74"/>
  <c r="Q96" i="74" s="1"/>
  <c r="B96" i="74"/>
  <c r="Q95" i="74"/>
  <c r="B95" i="74"/>
  <c r="Q94" i="74"/>
  <c r="B94" i="74"/>
  <c r="Q93" i="74"/>
  <c r="B93" i="74"/>
  <c r="Q92" i="74"/>
  <c r="B92" i="74"/>
  <c r="Q91" i="74"/>
  <c r="B91" i="74"/>
  <c r="Q90" i="74"/>
  <c r="B90" i="74"/>
  <c r="Q89" i="74"/>
  <c r="B89" i="74"/>
  <c r="Q88" i="74"/>
  <c r="B88" i="74"/>
  <c r="Q87" i="74"/>
  <c r="B87" i="74"/>
  <c r="Q86" i="74"/>
  <c r="B86" i="74"/>
  <c r="O85" i="74"/>
  <c r="N85" i="74"/>
  <c r="M85" i="74"/>
  <c r="L85" i="74"/>
  <c r="K85" i="74"/>
  <c r="J85" i="74"/>
  <c r="I85" i="74"/>
  <c r="H85" i="74"/>
  <c r="G85" i="74"/>
  <c r="F85" i="74"/>
  <c r="E85" i="74"/>
  <c r="D85" i="74"/>
  <c r="B85" i="74"/>
  <c r="Q84" i="74"/>
  <c r="B84" i="74"/>
  <c r="Q83" i="74"/>
  <c r="B83" i="74"/>
  <c r="Q82" i="74"/>
  <c r="B82" i="74"/>
  <c r="Q81" i="74"/>
  <c r="B81" i="74"/>
  <c r="Q80" i="74"/>
  <c r="B80" i="74"/>
  <c r="Q79" i="74"/>
  <c r="B79" i="74"/>
  <c r="Q78" i="74"/>
  <c r="B78" i="74"/>
  <c r="Q77" i="74"/>
  <c r="B77" i="74"/>
  <c r="Q76" i="74"/>
  <c r="B76" i="74"/>
  <c r="O75" i="74"/>
  <c r="N75" i="74"/>
  <c r="N74" i="74" s="1"/>
  <c r="M75" i="74"/>
  <c r="L75" i="74"/>
  <c r="K75" i="74"/>
  <c r="J75" i="74"/>
  <c r="I75" i="74"/>
  <c r="H75" i="74"/>
  <c r="G75" i="74"/>
  <c r="F75" i="74"/>
  <c r="F74" i="74" s="1"/>
  <c r="E75" i="74"/>
  <c r="D75" i="74"/>
  <c r="B75" i="74"/>
  <c r="J74" i="74"/>
  <c r="H72" i="74"/>
  <c r="O71" i="74"/>
  <c r="L71" i="74"/>
  <c r="J71" i="74"/>
  <c r="J72" i="74" s="1"/>
  <c r="I71" i="74"/>
  <c r="I72" i="74" s="1"/>
  <c r="Q69" i="74"/>
  <c r="B69" i="74"/>
  <c r="Q68" i="74"/>
  <c r="B68" i="74"/>
  <c r="Q67" i="74"/>
  <c r="B67" i="74"/>
  <c r="Q66" i="74"/>
  <c r="B66" i="74"/>
  <c r="Q65" i="74"/>
  <c r="B65" i="74"/>
  <c r="Q64" i="74"/>
  <c r="B64" i="74"/>
  <c r="Q63" i="74"/>
  <c r="B63" i="74"/>
  <c r="Q62" i="74"/>
  <c r="B62" i="74"/>
  <c r="Q61" i="74"/>
  <c r="B61" i="74"/>
  <c r="Q60" i="74"/>
  <c r="B60" i="74"/>
  <c r="Q59" i="74"/>
  <c r="B59" i="74"/>
  <c r="Q58" i="74"/>
  <c r="B58" i="74"/>
  <c r="Q57" i="74"/>
  <c r="B57" i="74"/>
  <c r="Q56" i="74"/>
  <c r="B56" i="74"/>
  <c r="Q55" i="74"/>
  <c r="B55" i="74"/>
  <c r="Q54" i="74"/>
  <c r="B54" i="74"/>
  <c r="Q53" i="74"/>
  <c r="B53" i="74"/>
  <c r="Q52" i="74"/>
  <c r="B52" i="74"/>
  <c r="Q51" i="74"/>
  <c r="B51" i="74"/>
  <c r="Q50" i="74"/>
  <c r="B50" i="74"/>
  <c r="Q49" i="74"/>
  <c r="Q48" i="74" s="1"/>
  <c r="B49" i="74"/>
  <c r="O48" i="74"/>
  <c r="N48" i="74"/>
  <c r="M48" i="74"/>
  <c r="L48" i="74"/>
  <c r="K48" i="74"/>
  <c r="J48" i="74"/>
  <c r="I48" i="74"/>
  <c r="H48" i="74"/>
  <c r="G48" i="74"/>
  <c r="F48" i="74"/>
  <c r="E48" i="74"/>
  <c r="D48" i="74"/>
  <c r="G46" i="74"/>
  <c r="F46" i="74"/>
  <c r="E46" i="74"/>
  <c r="D46" i="74"/>
  <c r="B46" i="74"/>
  <c r="G45" i="74"/>
  <c r="F45" i="74"/>
  <c r="E45" i="74"/>
  <c r="D45" i="74"/>
  <c r="B45" i="74"/>
  <c r="G44" i="74"/>
  <c r="F44" i="74"/>
  <c r="E44" i="74"/>
  <c r="D44" i="74"/>
  <c r="B44" i="74"/>
  <c r="G43" i="74"/>
  <c r="F43" i="74"/>
  <c r="E43" i="74"/>
  <c r="D43" i="74"/>
  <c r="Q43" i="74" s="1"/>
  <c r="B43" i="74"/>
  <c r="G42" i="74"/>
  <c r="F42" i="74"/>
  <c r="E42" i="74"/>
  <c r="D42" i="74"/>
  <c r="B42" i="74"/>
  <c r="G41" i="74"/>
  <c r="F41" i="74"/>
  <c r="E41" i="74"/>
  <c r="D41" i="74"/>
  <c r="B41" i="74"/>
  <c r="G40" i="74"/>
  <c r="F40" i="74"/>
  <c r="E40" i="74"/>
  <c r="D40" i="74"/>
  <c r="Q40" i="74" s="1"/>
  <c r="B40" i="74"/>
  <c r="G39" i="74"/>
  <c r="F39" i="74"/>
  <c r="E39" i="74"/>
  <c r="D39" i="74"/>
  <c r="Q39" i="74" s="1"/>
  <c r="B39" i="74"/>
  <c r="G38" i="74"/>
  <c r="F38" i="74"/>
  <c r="E38" i="74"/>
  <c r="D38" i="74"/>
  <c r="B38" i="74"/>
  <c r="G37" i="74"/>
  <c r="F37" i="74"/>
  <c r="E37" i="74"/>
  <c r="D37" i="74"/>
  <c r="B37" i="74"/>
  <c r="G36" i="74"/>
  <c r="F36" i="74"/>
  <c r="E36" i="74"/>
  <c r="D36" i="74"/>
  <c r="B36" i="74"/>
  <c r="G35" i="74"/>
  <c r="F35" i="74"/>
  <c r="E35" i="74"/>
  <c r="D35" i="74"/>
  <c r="Q35" i="74" s="1"/>
  <c r="B35" i="74"/>
  <c r="G34" i="74"/>
  <c r="F34" i="74"/>
  <c r="E34" i="74"/>
  <c r="D34" i="74"/>
  <c r="B34" i="74"/>
  <c r="G33" i="74"/>
  <c r="F33" i="74"/>
  <c r="E33" i="74"/>
  <c r="D33" i="74"/>
  <c r="B33" i="74"/>
  <c r="G32" i="74"/>
  <c r="F32" i="74"/>
  <c r="E32" i="74"/>
  <c r="D32" i="74"/>
  <c r="B32" i="74"/>
  <c r="G31" i="74"/>
  <c r="F31" i="74"/>
  <c r="E31" i="74"/>
  <c r="D31" i="74"/>
  <c r="Q31" i="74" s="1"/>
  <c r="B31" i="74"/>
  <c r="G30" i="74"/>
  <c r="F30" i="74"/>
  <c r="E30" i="74"/>
  <c r="D30" i="74"/>
  <c r="B30" i="74"/>
  <c r="G29" i="74"/>
  <c r="F29" i="74"/>
  <c r="E29" i="74"/>
  <c r="D29" i="74"/>
  <c r="B29" i="74"/>
  <c r="G28" i="74"/>
  <c r="F28" i="74"/>
  <c r="E28" i="74"/>
  <c r="D28" i="74"/>
  <c r="Q28" i="74" s="1"/>
  <c r="B28" i="74"/>
  <c r="G27" i="74"/>
  <c r="F27" i="74"/>
  <c r="E27" i="74"/>
  <c r="D27" i="74"/>
  <c r="Q27" i="74" s="1"/>
  <c r="B27" i="74"/>
  <c r="G26" i="74"/>
  <c r="F26" i="74"/>
  <c r="E26" i="74"/>
  <c r="D26" i="74"/>
  <c r="B26" i="74"/>
  <c r="G25" i="74"/>
  <c r="F25" i="74"/>
  <c r="E25" i="74"/>
  <c r="D25" i="74"/>
  <c r="B25" i="74"/>
  <c r="G24" i="74"/>
  <c r="F24" i="74"/>
  <c r="E24" i="74"/>
  <c r="D24" i="74"/>
  <c r="B24" i="74"/>
  <c r="G23" i="74"/>
  <c r="F23" i="74"/>
  <c r="E23" i="74"/>
  <c r="D23" i="74"/>
  <c r="Q23" i="74" s="1"/>
  <c r="B23" i="74"/>
  <c r="G22" i="74"/>
  <c r="F22" i="74"/>
  <c r="E22" i="74"/>
  <c r="D22" i="74"/>
  <c r="B22" i="74"/>
  <c r="G21" i="74"/>
  <c r="F21" i="74"/>
  <c r="E21" i="74"/>
  <c r="D21" i="74"/>
  <c r="B21" i="74"/>
  <c r="G20" i="74"/>
  <c r="F20" i="74"/>
  <c r="E20" i="74"/>
  <c r="D20" i="74"/>
  <c r="B20" i="74"/>
  <c r="G19" i="74"/>
  <c r="F19" i="74"/>
  <c r="E19" i="74"/>
  <c r="D19" i="74"/>
  <c r="Q19" i="74" s="1"/>
  <c r="B19" i="74"/>
  <c r="G18" i="74"/>
  <c r="F18" i="74"/>
  <c r="E18" i="74"/>
  <c r="D18" i="74"/>
  <c r="B18" i="74"/>
  <c r="G17" i="74"/>
  <c r="F17" i="74"/>
  <c r="E17" i="74"/>
  <c r="D17" i="74"/>
  <c r="B17" i="74"/>
  <c r="G16" i="74"/>
  <c r="F16" i="74"/>
  <c r="E16" i="74"/>
  <c r="D16" i="74"/>
  <c r="B16" i="74"/>
  <c r="G15" i="74"/>
  <c r="F15" i="74"/>
  <c r="E15" i="74"/>
  <c r="D15" i="74"/>
  <c r="Q15" i="74" s="1"/>
  <c r="B15" i="74"/>
  <c r="G14" i="74"/>
  <c r="F14" i="74"/>
  <c r="E14" i="74"/>
  <c r="Q14" i="74" s="1"/>
  <c r="D14" i="74"/>
  <c r="B14" i="74"/>
  <c r="G13" i="74"/>
  <c r="F13" i="74"/>
  <c r="F10" i="74" s="1"/>
  <c r="F71" i="74" s="1"/>
  <c r="E13" i="74"/>
  <c r="D13" i="74"/>
  <c r="B13" i="74"/>
  <c r="G12" i="74"/>
  <c r="F12" i="74"/>
  <c r="E12" i="74"/>
  <c r="Q12" i="74" s="1"/>
  <c r="D12" i="74"/>
  <c r="B12" i="74"/>
  <c r="G11" i="74"/>
  <c r="F11" i="74"/>
  <c r="E11" i="74"/>
  <c r="D11" i="74"/>
  <c r="B11" i="74"/>
  <c r="O10" i="74"/>
  <c r="N10" i="74"/>
  <c r="N71" i="74" s="1"/>
  <c r="N72" i="74" s="1"/>
  <c r="M10" i="74"/>
  <c r="M71" i="74" s="1"/>
  <c r="L10" i="74"/>
  <c r="K10" i="74"/>
  <c r="K71" i="74" s="1"/>
  <c r="J10" i="74"/>
  <c r="I10" i="74"/>
  <c r="H10" i="74"/>
  <c r="H71" i="74" s="1"/>
  <c r="G10" i="74"/>
  <c r="G71" i="74" s="1"/>
  <c r="G72" i="74" s="1"/>
  <c r="E10" i="74"/>
  <c r="E71" i="74" s="1"/>
  <c r="E72" i="74" s="1"/>
  <c r="O8" i="74"/>
  <c r="N8" i="74"/>
  <c r="M8" i="74"/>
  <c r="L8" i="74"/>
  <c r="K8" i="74"/>
  <c r="J8" i="74"/>
  <c r="I8" i="74"/>
  <c r="H8" i="74"/>
  <c r="G8" i="74"/>
  <c r="F8" i="74"/>
  <c r="E8" i="74"/>
  <c r="D8" i="74"/>
  <c r="B5" i="74"/>
  <c r="Q58" i="72"/>
  <c r="I56" i="72"/>
  <c r="G53" i="72"/>
  <c r="F53" i="72"/>
  <c r="Q53" i="72" s="1"/>
  <c r="E53" i="72"/>
  <c r="D53" i="72"/>
  <c r="Q51" i="72"/>
  <c r="B51" i="72"/>
  <c r="O50" i="72"/>
  <c r="N50" i="72"/>
  <c r="M50" i="72"/>
  <c r="L50" i="72"/>
  <c r="K50" i="72"/>
  <c r="J50" i="72"/>
  <c r="I50" i="72"/>
  <c r="H50" i="72"/>
  <c r="G50" i="72"/>
  <c r="F50" i="72"/>
  <c r="E50" i="72"/>
  <c r="D50" i="72"/>
  <c r="B50" i="72"/>
  <c r="Q49" i="72"/>
  <c r="B49" i="72"/>
  <c r="O48" i="72"/>
  <c r="N48" i="72"/>
  <c r="M48" i="72"/>
  <c r="L48" i="72"/>
  <c r="K48" i="72"/>
  <c r="J48" i="72"/>
  <c r="I48" i="72"/>
  <c r="H48" i="72"/>
  <c r="G48" i="72"/>
  <c r="F48" i="72"/>
  <c r="E48" i="72"/>
  <c r="D48" i="72"/>
  <c r="Q48" i="72" s="1"/>
  <c r="B48" i="72"/>
  <c r="Q47" i="72"/>
  <c r="B47" i="72"/>
  <c r="O46" i="72"/>
  <c r="N46" i="72"/>
  <c r="M46" i="72"/>
  <c r="L46" i="72"/>
  <c r="K46" i="72"/>
  <c r="J46" i="72"/>
  <c r="I46" i="72"/>
  <c r="H46" i="72"/>
  <c r="G46" i="72"/>
  <c r="F46" i="72"/>
  <c r="E46" i="72"/>
  <c r="D46" i="72"/>
  <c r="Q46" i="72" s="1"/>
  <c r="B46" i="72"/>
  <c r="Q45" i="72"/>
  <c r="B45" i="72"/>
  <c r="O44" i="72"/>
  <c r="N44" i="72"/>
  <c r="M44" i="72"/>
  <c r="L44" i="72"/>
  <c r="K44" i="72"/>
  <c r="J44" i="72"/>
  <c r="I44" i="72"/>
  <c r="H44" i="72"/>
  <c r="G44" i="72"/>
  <c r="F44" i="72"/>
  <c r="E44" i="72"/>
  <c r="D44" i="72"/>
  <c r="D18" i="72" s="1"/>
  <c r="B44" i="72"/>
  <c r="Q43" i="72"/>
  <c r="B43" i="72"/>
  <c r="O42" i="72"/>
  <c r="N42" i="72"/>
  <c r="M42" i="72"/>
  <c r="L42" i="72"/>
  <c r="K42" i="72"/>
  <c r="J42" i="72"/>
  <c r="J18" i="72" s="1"/>
  <c r="J55" i="72" s="1"/>
  <c r="I42" i="72"/>
  <c r="I18" i="72" s="1"/>
  <c r="I55" i="72" s="1"/>
  <c r="I60" i="72" s="1"/>
  <c r="H42" i="72"/>
  <c r="G42" i="72"/>
  <c r="F42" i="72"/>
  <c r="E42" i="72"/>
  <c r="D42" i="72"/>
  <c r="B42" i="72"/>
  <c r="Q41" i="72"/>
  <c r="B41" i="72"/>
  <c r="O40" i="72"/>
  <c r="N40" i="72"/>
  <c r="N18" i="72" s="1"/>
  <c r="M40" i="72"/>
  <c r="M18" i="72" s="1"/>
  <c r="L40" i="72"/>
  <c r="K40" i="72"/>
  <c r="J40" i="72"/>
  <c r="I40" i="72"/>
  <c r="H40" i="72"/>
  <c r="G40" i="72"/>
  <c r="F40" i="72"/>
  <c r="E40" i="72"/>
  <c r="D40" i="72"/>
  <c r="Q40" i="72" s="1"/>
  <c r="B40" i="72"/>
  <c r="Q39" i="72"/>
  <c r="B39" i="72"/>
  <c r="Q38" i="72"/>
  <c r="B38" i="72"/>
  <c r="Q37" i="72"/>
  <c r="B37" i="72"/>
  <c r="Q36" i="72"/>
  <c r="B36" i="72"/>
  <c r="Q35" i="72"/>
  <c r="B35" i="72"/>
  <c r="Q34" i="72"/>
  <c r="B34" i="72"/>
  <c r="Q33" i="72"/>
  <c r="B33" i="72"/>
  <c r="Q32" i="72"/>
  <c r="B32" i="72"/>
  <c r="Q31" i="72"/>
  <c r="B31" i="72"/>
  <c r="Q30" i="72"/>
  <c r="B30" i="72"/>
  <c r="O29" i="72"/>
  <c r="N29" i="72"/>
  <c r="M29" i="72"/>
  <c r="L29" i="72"/>
  <c r="L18" i="72" s="1"/>
  <c r="K29" i="72"/>
  <c r="J29" i="72"/>
  <c r="I29" i="72"/>
  <c r="H29" i="72"/>
  <c r="G29" i="72"/>
  <c r="F29" i="72"/>
  <c r="E29" i="72"/>
  <c r="D29" i="72"/>
  <c r="B29" i="72"/>
  <c r="Q28" i="72"/>
  <c r="B28" i="72"/>
  <c r="Q27" i="72"/>
  <c r="B27" i="72"/>
  <c r="Q26" i="72"/>
  <c r="B26" i="72"/>
  <c r="Q25" i="72"/>
  <c r="B25" i="72"/>
  <c r="Q24" i="72"/>
  <c r="B24" i="72"/>
  <c r="Q23" i="72"/>
  <c r="B23" i="72"/>
  <c r="Q22" i="72"/>
  <c r="B22" i="72"/>
  <c r="Q21" i="72"/>
  <c r="B21" i="72"/>
  <c r="Q20" i="72"/>
  <c r="B20" i="72"/>
  <c r="O19" i="72"/>
  <c r="O18" i="72" s="1"/>
  <c r="N19" i="72"/>
  <c r="M19" i="72"/>
  <c r="L19" i="72"/>
  <c r="K19" i="72"/>
  <c r="J19" i="72"/>
  <c r="I19" i="72"/>
  <c r="H19" i="72"/>
  <c r="H18" i="72" s="1"/>
  <c r="G19" i="72"/>
  <c r="G18" i="72" s="1"/>
  <c r="F19" i="72"/>
  <c r="F18" i="72" s="1"/>
  <c r="E19" i="72"/>
  <c r="D19" i="72"/>
  <c r="B19" i="72"/>
  <c r="J16" i="72"/>
  <c r="L15" i="72"/>
  <c r="K15" i="72"/>
  <c r="E15" i="72"/>
  <c r="Q13" i="72"/>
  <c r="Q12" i="72" s="1"/>
  <c r="B13" i="72"/>
  <c r="O12" i="72"/>
  <c r="N12" i="72"/>
  <c r="M12" i="72"/>
  <c r="L12" i="72"/>
  <c r="K12" i="72"/>
  <c r="J12" i="72"/>
  <c r="J15" i="72" s="1"/>
  <c r="I12" i="72"/>
  <c r="H12" i="72"/>
  <c r="H15" i="72" s="1"/>
  <c r="G12" i="72"/>
  <c r="F12" i="72"/>
  <c r="E12" i="72"/>
  <c r="D12" i="72"/>
  <c r="Q10" i="72"/>
  <c r="Q15" i="72" s="1"/>
  <c r="O10" i="72"/>
  <c r="O15" i="72" s="1"/>
  <c r="N10" i="72"/>
  <c r="M10" i="72"/>
  <c r="M15" i="72" s="1"/>
  <c r="L10" i="72"/>
  <c r="K10" i="72"/>
  <c r="J10" i="72"/>
  <c r="I10" i="72"/>
  <c r="I15" i="72" s="1"/>
  <c r="I16" i="72" s="1"/>
  <c r="H10" i="72"/>
  <c r="G10" i="72"/>
  <c r="G15" i="72" s="1"/>
  <c r="F10" i="72"/>
  <c r="F15" i="72" s="1"/>
  <c r="E10" i="72"/>
  <c r="D10" i="72"/>
  <c r="D15" i="72" s="1"/>
  <c r="O8" i="72"/>
  <c r="N8" i="72"/>
  <c r="M8" i="72"/>
  <c r="L8" i="72"/>
  <c r="K8" i="72"/>
  <c r="J8" i="72"/>
  <c r="I8" i="72"/>
  <c r="H8" i="72"/>
  <c r="G8" i="72"/>
  <c r="F8" i="72"/>
  <c r="E8" i="72"/>
  <c r="D8" i="72"/>
  <c r="B5" i="72"/>
  <c r="Q112" i="70"/>
  <c r="G107" i="70"/>
  <c r="F107" i="70"/>
  <c r="E107" i="70"/>
  <c r="D107" i="70"/>
  <c r="Q107" i="70" s="1"/>
  <c r="Q105" i="70"/>
  <c r="B105" i="70"/>
  <c r="O104" i="70"/>
  <c r="N104" i="70"/>
  <c r="M104" i="70"/>
  <c r="L104" i="70"/>
  <c r="K104" i="70"/>
  <c r="J104" i="70"/>
  <c r="I104" i="70"/>
  <c r="H104" i="70"/>
  <c r="G104" i="70"/>
  <c r="F104" i="70"/>
  <c r="E104" i="70"/>
  <c r="D104" i="70"/>
  <c r="Q104" i="70" s="1"/>
  <c r="B104" i="70"/>
  <c r="Q103" i="70"/>
  <c r="B103" i="70"/>
  <c r="O102" i="70"/>
  <c r="N102" i="70"/>
  <c r="M102" i="70"/>
  <c r="L102" i="70"/>
  <c r="K102" i="70"/>
  <c r="J102" i="70"/>
  <c r="I102" i="70"/>
  <c r="H102" i="70"/>
  <c r="G102" i="70"/>
  <c r="F102" i="70"/>
  <c r="E102" i="70"/>
  <c r="D102" i="70"/>
  <c r="B102" i="70"/>
  <c r="Q101" i="70"/>
  <c r="B101" i="70"/>
  <c r="Q100" i="70"/>
  <c r="B100" i="70"/>
  <c r="O99" i="70"/>
  <c r="N99" i="70"/>
  <c r="M99" i="70"/>
  <c r="L99" i="70"/>
  <c r="K99" i="70"/>
  <c r="J99" i="70"/>
  <c r="I99" i="70"/>
  <c r="H99" i="70"/>
  <c r="G99" i="70"/>
  <c r="F99" i="70"/>
  <c r="E99" i="70"/>
  <c r="D99" i="70"/>
  <c r="B99" i="70"/>
  <c r="Q98" i="70"/>
  <c r="B98" i="70"/>
  <c r="Q97" i="70"/>
  <c r="B97" i="70"/>
  <c r="Q96" i="70"/>
  <c r="B96" i="70"/>
  <c r="O95" i="70"/>
  <c r="N95" i="70"/>
  <c r="M95" i="70"/>
  <c r="L95" i="70"/>
  <c r="K95" i="70"/>
  <c r="J95" i="70"/>
  <c r="I95" i="70"/>
  <c r="H95" i="70"/>
  <c r="G95" i="70"/>
  <c r="F95" i="70"/>
  <c r="E95" i="70"/>
  <c r="D95" i="70"/>
  <c r="B95" i="70"/>
  <c r="Q94" i="70"/>
  <c r="B94" i="70"/>
  <c r="Q93" i="70"/>
  <c r="B93" i="70"/>
  <c r="O92" i="70"/>
  <c r="N92" i="70"/>
  <c r="N50" i="70" s="1"/>
  <c r="M92" i="70"/>
  <c r="L92" i="70"/>
  <c r="K92" i="70"/>
  <c r="J92" i="70"/>
  <c r="I92" i="70"/>
  <c r="H92" i="70"/>
  <c r="G92" i="70"/>
  <c r="F92" i="70"/>
  <c r="E92" i="70"/>
  <c r="D92" i="70"/>
  <c r="B92" i="70"/>
  <c r="Q91" i="70"/>
  <c r="B91" i="70"/>
  <c r="Q90" i="70"/>
  <c r="B90" i="70"/>
  <c r="Q89" i="70"/>
  <c r="B89" i="70"/>
  <c r="O88" i="70"/>
  <c r="N88" i="70"/>
  <c r="M88" i="70"/>
  <c r="L88" i="70"/>
  <c r="K88" i="70"/>
  <c r="J88" i="70"/>
  <c r="I88" i="70"/>
  <c r="I50" i="70" s="1"/>
  <c r="I109" i="70" s="1"/>
  <c r="H88" i="70"/>
  <c r="G88" i="70"/>
  <c r="F88" i="70"/>
  <c r="E88" i="70"/>
  <c r="D88" i="70"/>
  <c r="B88" i="70"/>
  <c r="Q87" i="70"/>
  <c r="B87" i="70"/>
  <c r="O86" i="70"/>
  <c r="N86" i="70"/>
  <c r="M86" i="70"/>
  <c r="L86" i="70"/>
  <c r="K86" i="70"/>
  <c r="J86" i="70"/>
  <c r="I86" i="70"/>
  <c r="H86" i="70"/>
  <c r="G86" i="70"/>
  <c r="F86" i="70"/>
  <c r="E86" i="70"/>
  <c r="D86" i="70"/>
  <c r="B86" i="70"/>
  <c r="Q85" i="70"/>
  <c r="B85" i="70"/>
  <c r="Q84" i="70"/>
  <c r="B84" i="70"/>
  <c r="O83" i="70"/>
  <c r="N83" i="70"/>
  <c r="M83" i="70"/>
  <c r="L83" i="70"/>
  <c r="K83" i="70"/>
  <c r="J83" i="70"/>
  <c r="I83" i="70"/>
  <c r="H83" i="70"/>
  <c r="G83" i="70"/>
  <c r="F83" i="70"/>
  <c r="E83" i="70"/>
  <c r="D83" i="70"/>
  <c r="Q83" i="70" s="1"/>
  <c r="B83" i="70"/>
  <c r="Q82" i="70"/>
  <c r="B82" i="70"/>
  <c r="O81" i="70"/>
  <c r="N81" i="70"/>
  <c r="M81" i="70"/>
  <c r="L81" i="70"/>
  <c r="K81" i="70"/>
  <c r="J81" i="70"/>
  <c r="I81" i="70"/>
  <c r="H81" i="70"/>
  <c r="G81" i="70"/>
  <c r="F81" i="70"/>
  <c r="E81" i="70"/>
  <c r="D81" i="70"/>
  <c r="B81" i="70"/>
  <c r="Q80" i="70"/>
  <c r="B80" i="70"/>
  <c r="O79" i="70"/>
  <c r="N79" i="70"/>
  <c r="M79" i="70"/>
  <c r="L79" i="70"/>
  <c r="K79" i="70"/>
  <c r="J79" i="70"/>
  <c r="I79" i="70"/>
  <c r="H79" i="70"/>
  <c r="G79" i="70"/>
  <c r="F79" i="70"/>
  <c r="E79" i="70"/>
  <c r="D79" i="70"/>
  <c r="B79" i="70"/>
  <c r="Q78" i="70"/>
  <c r="B78" i="70"/>
  <c r="O77" i="70"/>
  <c r="N77" i="70"/>
  <c r="M77" i="70"/>
  <c r="L77" i="70"/>
  <c r="K77" i="70"/>
  <c r="J77" i="70"/>
  <c r="I77" i="70"/>
  <c r="H77" i="70"/>
  <c r="G77" i="70"/>
  <c r="F77" i="70"/>
  <c r="F50" i="70" s="1"/>
  <c r="E77" i="70"/>
  <c r="D77" i="70"/>
  <c r="Q77" i="70" s="1"/>
  <c r="B77" i="70"/>
  <c r="Q76" i="70"/>
  <c r="B76" i="70"/>
  <c r="O75" i="70"/>
  <c r="N75" i="70"/>
  <c r="M75" i="70"/>
  <c r="L75" i="70"/>
  <c r="K75" i="70"/>
  <c r="J75" i="70"/>
  <c r="I75" i="70"/>
  <c r="H75" i="70"/>
  <c r="G75" i="70"/>
  <c r="F75" i="70"/>
  <c r="E75" i="70"/>
  <c r="D75" i="70"/>
  <c r="B75" i="70"/>
  <c r="Q74" i="70"/>
  <c r="B74" i="70"/>
  <c r="O73" i="70"/>
  <c r="N73" i="70"/>
  <c r="M73" i="70"/>
  <c r="L73" i="70"/>
  <c r="K73" i="70"/>
  <c r="J73" i="70"/>
  <c r="I73" i="70"/>
  <c r="H73" i="70"/>
  <c r="G73" i="70"/>
  <c r="G50" i="70" s="1"/>
  <c r="F73" i="70"/>
  <c r="E73" i="70"/>
  <c r="D73" i="70"/>
  <c r="D50" i="70" s="1"/>
  <c r="B73" i="70"/>
  <c r="Q72" i="70"/>
  <c r="B72" i="70"/>
  <c r="Q71" i="70"/>
  <c r="B71" i="70"/>
  <c r="Q70" i="70"/>
  <c r="B70" i="70"/>
  <c r="Q69" i="70"/>
  <c r="B69" i="70"/>
  <c r="Q68" i="70"/>
  <c r="B68" i="70"/>
  <c r="Q67" i="70"/>
  <c r="B67" i="70"/>
  <c r="Q66" i="70"/>
  <c r="B66" i="70"/>
  <c r="Q65" i="70"/>
  <c r="B65" i="70"/>
  <c r="Q64" i="70"/>
  <c r="B64" i="70"/>
  <c r="Q63" i="70"/>
  <c r="B63" i="70"/>
  <c r="O62" i="70"/>
  <c r="N62" i="70"/>
  <c r="M62" i="70"/>
  <c r="L62" i="70"/>
  <c r="K62" i="70"/>
  <c r="J62" i="70"/>
  <c r="I62" i="70"/>
  <c r="H62" i="70"/>
  <c r="G62" i="70"/>
  <c r="F62" i="70"/>
  <c r="E62" i="70"/>
  <c r="E50" i="70" s="1"/>
  <c r="D62" i="70"/>
  <c r="Q62" i="70" s="1"/>
  <c r="B62" i="70"/>
  <c r="Q61" i="70"/>
  <c r="B61" i="70"/>
  <c r="Q60" i="70"/>
  <c r="B60" i="70"/>
  <c r="Q59" i="70"/>
  <c r="B59" i="70"/>
  <c r="Q58" i="70"/>
  <c r="B58" i="70"/>
  <c r="Q57" i="70"/>
  <c r="B57" i="70"/>
  <c r="Q56" i="70"/>
  <c r="B56" i="70"/>
  <c r="Q55" i="70"/>
  <c r="B55" i="70"/>
  <c r="Q54" i="70"/>
  <c r="B54" i="70"/>
  <c r="Q53" i="70"/>
  <c r="B53" i="70"/>
  <c r="Q52" i="70"/>
  <c r="B52" i="70"/>
  <c r="O51" i="70"/>
  <c r="N51" i="70"/>
  <c r="M51" i="70"/>
  <c r="L51" i="70"/>
  <c r="K51" i="70"/>
  <c r="J51" i="70"/>
  <c r="I51" i="70"/>
  <c r="H51" i="70"/>
  <c r="G51" i="70"/>
  <c r="F51" i="70"/>
  <c r="E51" i="70"/>
  <c r="D51" i="70"/>
  <c r="B51" i="70"/>
  <c r="O47" i="70"/>
  <c r="I47" i="70"/>
  <c r="I48" i="70" s="1"/>
  <c r="D47" i="70"/>
  <c r="Q45" i="70"/>
  <c r="B45" i="70"/>
  <c r="Q44" i="70"/>
  <c r="B44" i="70"/>
  <c r="Q43" i="70"/>
  <c r="B43" i="70"/>
  <c r="Q42" i="70"/>
  <c r="B42" i="70"/>
  <c r="Q41" i="70"/>
  <c r="B41" i="70"/>
  <c r="Q40" i="70"/>
  <c r="B40" i="70"/>
  <c r="Q39" i="70"/>
  <c r="B39" i="70"/>
  <c r="Q38" i="70"/>
  <c r="B38" i="70"/>
  <c r="Q37" i="70"/>
  <c r="B37" i="70"/>
  <c r="Q36" i="70"/>
  <c r="B36" i="70"/>
  <c r="Q35" i="70"/>
  <c r="B35" i="70"/>
  <c r="Q34" i="70"/>
  <c r="B34" i="70"/>
  <c r="Q33" i="70"/>
  <c r="Q32" i="70" s="1"/>
  <c r="B33" i="70"/>
  <c r="O32" i="70"/>
  <c r="N32" i="70"/>
  <c r="N47" i="70" s="1"/>
  <c r="N48" i="70" s="1"/>
  <c r="M32" i="70"/>
  <c r="L32" i="70"/>
  <c r="K32" i="70"/>
  <c r="J32" i="70"/>
  <c r="I32" i="70"/>
  <c r="H32" i="70"/>
  <c r="G32" i="70"/>
  <c r="G47" i="70" s="1"/>
  <c r="F32" i="70"/>
  <c r="E32" i="70"/>
  <c r="D32" i="70"/>
  <c r="G30" i="70"/>
  <c r="F30" i="70"/>
  <c r="E30" i="70"/>
  <c r="Q30" i="70" s="1"/>
  <c r="D30" i="70"/>
  <c r="B30" i="70"/>
  <c r="G29" i="70"/>
  <c r="F29" i="70"/>
  <c r="E29" i="70"/>
  <c r="D29" i="70"/>
  <c r="B29" i="70"/>
  <c r="G28" i="70"/>
  <c r="F28" i="70"/>
  <c r="E28" i="70"/>
  <c r="Q28" i="70" s="1"/>
  <c r="D28" i="70"/>
  <c r="B28" i="70"/>
  <c r="G27" i="70"/>
  <c r="F27" i="70"/>
  <c r="E27" i="70"/>
  <c r="D27" i="70"/>
  <c r="Q27" i="70" s="1"/>
  <c r="B27" i="70"/>
  <c r="G26" i="70"/>
  <c r="F26" i="70"/>
  <c r="E26" i="70"/>
  <c r="Q26" i="70" s="1"/>
  <c r="D26" i="70"/>
  <c r="B26" i="70"/>
  <c r="G25" i="70"/>
  <c r="F25" i="70"/>
  <c r="E25" i="70"/>
  <c r="D25" i="70"/>
  <c r="Q25" i="70" s="1"/>
  <c r="B25" i="70"/>
  <c r="G24" i="70"/>
  <c r="F24" i="70"/>
  <c r="E24" i="70"/>
  <c r="Q24" i="70" s="1"/>
  <c r="D24" i="70"/>
  <c r="B24" i="70"/>
  <c r="G23" i="70"/>
  <c r="F23" i="70"/>
  <c r="E23" i="70"/>
  <c r="D23" i="70"/>
  <c r="B23" i="70"/>
  <c r="G22" i="70"/>
  <c r="F22" i="70"/>
  <c r="E22" i="70"/>
  <c r="Q22" i="70" s="1"/>
  <c r="D22" i="70"/>
  <c r="B22" i="70"/>
  <c r="G21" i="70"/>
  <c r="F21" i="70"/>
  <c r="E21" i="70"/>
  <c r="D21" i="70"/>
  <c r="B21" i="70"/>
  <c r="G20" i="70"/>
  <c r="F20" i="70"/>
  <c r="E20" i="70"/>
  <c r="Q20" i="70" s="1"/>
  <c r="D20" i="70"/>
  <c r="B20" i="70"/>
  <c r="G19" i="70"/>
  <c r="F19" i="70"/>
  <c r="E19" i="70"/>
  <c r="D19" i="70"/>
  <c r="Q19" i="70" s="1"/>
  <c r="B19" i="70"/>
  <c r="G18" i="70"/>
  <c r="F18" i="70"/>
  <c r="E18" i="70"/>
  <c r="Q18" i="70" s="1"/>
  <c r="D18" i="70"/>
  <c r="B18" i="70"/>
  <c r="G17" i="70"/>
  <c r="F17" i="70"/>
  <c r="E17" i="70"/>
  <c r="D17" i="70"/>
  <c r="B17" i="70"/>
  <c r="G16" i="70"/>
  <c r="F16" i="70"/>
  <c r="E16" i="70"/>
  <c r="Q16" i="70" s="1"/>
  <c r="D16" i="70"/>
  <c r="B16" i="70"/>
  <c r="G15" i="70"/>
  <c r="F15" i="70"/>
  <c r="E15" i="70"/>
  <c r="D15" i="70"/>
  <c r="Q15" i="70" s="1"/>
  <c r="B15" i="70"/>
  <c r="G14" i="70"/>
  <c r="F14" i="70"/>
  <c r="E14" i="70"/>
  <c r="Q14" i="70" s="1"/>
  <c r="D14" i="70"/>
  <c r="B14" i="70"/>
  <c r="G13" i="70"/>
  <c r="F13" i="70"/>
  <c r="E13" i="70"/>
  <c r="D13" i="70"/>
  <c r="Q13" i="70" s="1"/>
  <c r="B13" i="70"/>
  <c r="G12" i="70"/>
  <c r="F12" i="70"/>
  <c r="E12" i="70"/>
  <c r="Q12" i="70" s="1"/>
  <c r="D12" i="70"/>
  <c r="B12" i="70"/>
  <c r="G11" i="70"/>
  <c r="F11" i="70"/>
  <c r="E11" i="70"/>
  <c r="D11" i="70"/>
  <c r="D10" i="70" s="1"/>
  <c r="B11" i="70"/>
  <c r="O10" i="70"/>
  <c r="N10" i="70"/>
  <c r="M10" i="70"/>
  <c r="M47" i="70" s="1"/>
  <c r="L10" i="70"/>
  <c r="L47" i="70" s="1"/>
  <c r="K10" i="70"/>
  <c r="K47" i="70" s="1"/>
  <c r="J10" i="70"/>
  <c r="J47" i="70" s="1"/>
  <c r="I10" i="70"/>
  <c r="H10" i="70"/>
  <c r="H47" i="70" s="1"/>
  <c r="G10" i="70"/>
  <c r="O8" i="70"/>
  <c r="N8" i="70"/>
  <c r="M8" i="70"/>
  <c r="L8" i="70"/>
  <c r="K8" i="70"/>
  <c r="J8" i="70"/>
  <c r="I8" i="70"/>
  <c r="H8" i="70"/>
  <c r="G8" i="70"/>
  <c r="F8" i="70"/>
  <c r="E8" i="70"/>
  <c r="D8" i="70"/>
  <c r="B5" i="70"/>
  <c r="O67" i="69"/>
  <c r="Q64" i="69"/>
  <c r="O61" i="69"/>
  <c r="O66" i="69" s="1"/>
  <c r="Q59" i="69"/>
  <c r="G59" i="69"/>
  <c r="F59" i="69"/>
  <c r="E59" i="69"/>
  <c r="D59" i="69"/>
  <c r="Q57" i="69"/>
  <c r="B57" i="69"/>
  <c r="O56" i="69"/>
  <c r="N56" i="69"/>
  <c r="M56" i="69"/>
  <c r="L56" i="69"/>
  <c r="K56" i="69"/>
  <c r="J56" i="69"/>
  <c r="I56" i="69"/>
  <c r="H56" i="69"/>
  <c r="G56" i="69"/>
  <c r="F56" i="69"/>
  <c r="E56" i="69"/>
  <c r="D56" i="69"/>
  <c r="Q56" i="69" s="1"/>
  <c r="B56" i="69"/>
  <c r="Q55" i="69"/>
  <c r="B55" i="69"/>
  <c r="Q54" i="69"/>
  <c r="B54" i="69"/>
  <c r="Q53" i="69"/>
  <c r="B53" i="69"/>
  <c r="O52" i="69"/>
  <c r="N52" i="69"/>
  <c r="M52" i="69"/>
  <c r="L52" i="69"/>
  <c r="K52" i="69"/>
  <c r="J52" i="69"/>
  <c r="I52" i="69"/>
  <c r="H52" i="69"/>
  <c r="G52" i="69"/>
  <c r="F52" i="69"/>
  <c r="E52" i="69"/>
  <c r="D52" i="69"/>
  <c r="B52" i="69"/>
  <c r="Q51" i="69"/>
  <c r="B51" i="69"/>
  <c r="Q50" i="69"/>
  <c r="B50" i="69"/>
  <c r="O49" i="69"/>
  <c r="N49" i="69"/>
  <c r="N19" i="69" s="1"/>
  <c r="M49" i="69"/>
  <c r="L49" i="69"/>
  <c r="K49" i="69"/>
  <c r="J49" i="69"/>
  <c r="I49" i="69"/>
  <c r="H49" i="69"/>
  <c r="G49" i="69"/>
  <c r="F49" i="69"/>
  <c r="E49" i="69"/>
  <c r="D49" i="69"/>
  <c r="Q49" i="69" s="1"/>
  <c r="B49" i="69"/>
  <c r="Q48" i="69"/>
  <c r="B48" i="69"/>
  <c r="Q47" i="69"/>
  <c r="B47" i="69"/>
  <c r="O46" i="69"/>
  <c r="N46" i="69"/>
  <c r="M46" i="69"/>
  <c r="L46" i="69"/>
  <c r="K46" i="69"/>
  <c r="J46" i="69"/>
  <c r="I46" i="69"/>
  <c r="H46" i="69"/>
  <c r="G46" i="69"/>
  <c r="F46" i="69"/>
  <c r="E46" i="69"/>
  <c r="D46" i="69"/>
  <c r="B46" i="69"/>
  <c r="Q45" i="69"/>
  <c r="B45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B44" i="69"/>
  <c r="Q43" i="69"/>
  <c r="B43" i="69"/>
  <c r="O42" i="69"/>
  <c r="N42" i="69"/>
  <c r="M42" i="69"/>
  <c r="L42" i="69"/>
  <c r="K42" i="69"/>
  <c r="J42" i="69"/>
  <c r="I42" i="69"/>
  <c r="H42" i="69"/>
  <c r="G42" i="69"/>
  <c r="F42" i="69"/>
  <c r="E42" i="69"/>
  <c r="D42" i="69"/>
  <c r="Q42" i="69" s="1"/>
  <c r="B42" i="69"/>
  <c r="Q41" i="69"/>
  <c r="B41" i="69"/>
  <c r="O40" i="69"/>
  <c r="N40" i="69"/>
  <c r="M40" i="69"/>
  <c r="L40" i="69"/>
  <c r="K40" i="69"/>
  <c r="J40" i="69"/>
  <c r="I40" i="69"/>
  <c r="H40" i="69"/>
  <c r="H19" i="69" s="1"/>
  <c r="G40" i="69"/>
  <c r="F40" i="69"/>
  <c r="E40" i="69"/>
  <c r="D40" i="69"/>
  <c r="B40" i="69"/>
  <c r="Q39" i="69"/>
  <c r="B39" i="69"/>
  <c r="Q38" i="69"/>
  <c r="B38" i="69"/>
  <c r="Q37" i="69"/>
  <c r="B37" i="69"/>
  <c r="Q36" i="69"/>
  <c r="B36" i="69"/>
  <c r="Q35" i="69"/>
  <c r="B35" i="69"/>
  <c r="Q34" i="69"/>
  <c r="B34" i="69"/>
  <c r="Q33" i="69"/>
  <c r="B33" i="69"/>
  <c r="Q32" i="69"/>
  <c r="B32" i="69"/>
  <c r="Q31" i="69"/>
  <c r="B31" i="69"/>
  <c r="Q30" i="69"/>
  <c r="B30" i="69"/>
  <c r="O29" i="69"/>
  <c r="N29" i="69"/>
  <c r="M29" i="69"/>
  <c r="L29" i="69"/>
  <c r="K29" i="69"/>
  <c r="J29" i="69"/>
  <c r="I29" i="69"/>
  <c r="H29" i="69"/>
  <c r="G29" i="69"/>
  <c r="F29" i="69"/>
  <c r="F19" i="69" s="1"/>
  <c r="E29" i="69"/>
  <c r="D29" i="69"/>
  <c r="D19" i="69" s="1"/>
  <c r="B29" i="69"/>
  <c r="Q28" i="69"/>
  <c r="B28" i="69"/>
  <c r="Q27" i="69"/>
  <c r="B27" i="69"/>
  <c r="Q26" i="69"/>
  <c r="B26" i="69"/>
  <c r="Q25" i="69"/>
  <c r="B25" i="69"/>
  <c r="Q24" i="69"/>
  <c r="B24" i="69"/>
  <c r="Q23" i="69"/>
  <c r="B23" i="69"/>
  <c r="Q22" i="69"/>
  <c r="B22" i="69"/>
  <c r="Q21" i="69"/>
  <c r="B21" i="69"/>
  <c r="O20" i="69"/>
  <c r="O19" i="69" s="1"/>
  <c r="N20" i="69"/>
  <c r="M20" i="69"/>
  <c r="L20" i="69"/>
  <c r="K20" i="69"/>
  <c r="K19" i="69" s="1"/>
  <c r="J20" i="69"/>
  <c r="J19" i="69" s="1"/>
  <c r="I20" i="69"/>
  <c r="H20" i="69"/>
  <c r="G20" i="69"/>
  <c r="F20" i="69"/>
  <c r="E20" i="69"/>
  <c r="D20" i="69"/>
  <c r="B20" i="69"/>
  <c r="M19" i="69"/>
  <c r="I19" i="69"/>
  <c r="G19" i="69"/>
  <c r="E19" i="69"/>
  <c r="O17" i="69"/>
  <c r="O16" i="69"/>
  <c r="N16" i="69"/>
  <c r="K16" i="69"/>
  <c r="I16" i="69"/>
  <c r="D16" i="69"/>
  <c r="Q14" i="69"/>
  <c r="Q13" i="69" s="1"/>
  <c r="B14" i="69"/>
  <c r="O13" i="69"/>
  <c r="N13" i="69"/>
  <c r="M13" i="69"/>
  <c r="L13" i="69"/>
  <c r="K13" i="69"/>
  <c r="J13" i="69"/>
  <c r="I13" i="69"/>
  <c r="H13" i="69"/>
  <c r="G13" i="69"/>
  <c r="G16" i="69" s="1"/>
  <c r="F13" i="69"/>
  <c r="E13" i="69"/>
  <c r="D13" i="69"/>
  <c r="G11" i="69"/>
  <c r="G10" i="69" s="1"/>
  <c r="F11" i="69"/>
  <c r="F10" i="69" s="1"/>
  <c r="E11" i="69"/>
  <c r="D11" i="69"/>
  <c r="B11" i="69"/>
  <c r="O10" i="69"/>
  <c r="N10" i="69"/>
  <c r="M10" i="69"/>
  <c r="M16" i="69" s="1"/>
  <c r="L10" i="69"/>
  <c r="L16" i="69" s="1"/>
  <c r="K10" i="69"/>
  <c r="J10" i="69"/>
  <c r="I10" i="69"/>
  <c r="H10" i="69"/>
  <c r="H16" i="69" s="1"/>
  <c r="H17" i="69" s="1"/>
  <c r="E10" i="69"/>
  <c r="D10" i="69"/>
  <c r="O8" i="69"/>
  <c r="N8" i="69"/>
  <c r="M8" i="69"/>
  <c r="L8" i="69"/>
  <c r="K8" i="69"/>
  <c r="J8" i="69"/>
  <c r="I8" i="69"/>
  <c r="H8" i="69"/>
  <c r="G8" i="69"/>
  <c r="F8" i="69"/>
  <c r="E8" i="69"/>
  <c r="D8" i="69"/>
  <c r="B5" i="69"/>
  <c r="Q93" i="68"/>
  <c r="Q88" i="68"/>
  <c r="G88" i="68"/>
  <c r="F88" i="68"/>
  <c r="E88" i="68"/>
  <c r="D88" i="68"/>
  <c r="Q86" i="68"/>
  <c r="B86" i="68"/>
  <c r="O85" i="68"/>
  <c r="N85" i="68"/>
  <c r="M85" i="68"/>
  <c r="L85" i="68"/>
  <c r="K85" i="68"/>
  <c r="J85" i="68"/>
  <c r="I85" i="68"/>
  <c r="H85" i="68"/>
  <c r="G85" i="68"/>
  <c r="F85" i="68"/>
  <c r="E85" i="68"/>
  <c r="D85" i="68"/>
  <c r="Q85" i="68" s="1"/>
  <c r="B85" i="68"/>
  <c r="Q84" i="68"/>
  <c r="B84" i="68"/>
  <c r="Q83" i="68"/>
  <c r="B83" i="68"/>
  <c r="O82" i="68"/>
  <c r="N82" i="68"/>
  <c r="M82" i="68"/>
  <c r="L82" i="68"/>
  <c r="K82" i="68"/>
  <c r="J82" i="68"/>
  <c r="I82" i="68"/>
  <c r="H82" i="68"/>
  <c r="G82" i="68"/>
  <c r="F82" i="68"/>
  <c r="E82" i="68"/>
  <c r="D82" i="68"/>
  <c r="B82" i="68"/>
  <c r="Q81" i="68"/>
  <c r="B81" i="68"/>
  <c r="Q80" i="68"/>
  <c r="B80" i="68"/>
  <c r="Q79" i="68"/>
  <c r="B79" i="68"/>
  <c r="Q78" i="68"/>
  <c r="B78" i="68"/>
  <c r="O77" i="68"/>
  <c r="N77" i="68"/>
  <c r="M77" i="68"/>
  <c r="L77" i="68"/>
  <c r="K77" i="68"/>
  <c r="J77" i="68"/>
  <c r="I77" i="68"/>
  <c r="H77" i="68"/>
  <c r="G77" i="68"/>
  <c r="F77" i="68"/>
  <c r="E77" i="68"/>
  <c r="D77" i="68"/>
  <c r="B77" i="68"/>
  <c r="Q76" i="68"/>
  <c r="B76" i="68"/>
  <c r="Q75" i="68"/>
  <c r="B75" i="68"/>
  <c r="O74" i="68"/>
  <c r="N74" i="68"/>
  <c r="M74" i="68"/>
  <c r="L74" i="68"/>
  <c r="K74" i="68"/>
  <c r="J74" i="68"/>
  <c r="I74" i="68"/>
  <c r="H74" i="68"/>
  <c r="G74" i="68"/>
  <c r="F74" i="68"/>
  <c r="E74" i="68"/>
  <c r="D74" i="68"/>
  <c r="Q74" i="68" s="1"/>
  <c r="B74" i="68"/>
  <c r="Q73" i="68"/>
  <c r="B73" i="68"/>
  <c r="Q72" i="68"/>
  <c r="B72" i="68"/>
  <c r="O71" i="68"/>
  <c r="N71" i="68"/>
  <c r="M71" i="68"/>
  <c r="L71" i="68"/>
  <c r="K71" i="68"/>
  <c r="J71" i="68"/>
  <c r="I71" i="68"/>
  <c r="H71" i="68"/>
  <c r="G71" i="68"/>
  <c r="F71" i="68"/>
  <c r="E71" i="68"/>
  <c r="D71" i="68"/>
  <c r="B71" i="68"/>
  <c r="Q70" i="68"/>
  <c r="B70" i="68"/>
  <c r="O69" i="68"/>
  <c r="N69" i="68"/>
  <c r="M69" i="68"/>
  <c r="L69" i="68"/>
  <c r="K69" i="68"/>
  <c r="J69" i="68"/>
  <c r="I69" i="68"/>
  <c r="H69" i="68"/>
  <c r="G69" i="68"/>
  <c r="F69" i="68"/>
  <c r="E69" i="68"/>
  <c r="D69" i="68"/>
  <c r="Q69" i="68" s="1"/>
  <c r="B69" i="68"/>
  <c r="Q68" i="68"/>
  <c r="B68" i="68"/>
  <c r="Q67" i="68"/>
  <c r="B67" i="68"/>
  <c r="O66" i="68"/>
  <c r="N66" i="68"/>
  <c r="M66" i="68"/>
  <c r="L66" i="68"/>
  <c r="K66" i="68"/>
  <c r="J66" i="68"/>
  <c r="I66" i="68"/>
  <c r="H66" i="68"/>
  <c r="G66" i="68"/>
  <c r="F66" i="68"/>
  <c r="E66" i="68"/>
  <c r="D66" i="68"/>
  <c r="B66" i="68"/>
  <c r="Q65" i="68"/>
  <c r="B65" i="68"/>
  <c r="Q64" i="68"/>
  <c r="B64" i="68"/>
  <c r="O63" i="68"/>
  <c r="N63" i="68"/>
  <c r="M63" i="68"/>
  <c r="L63" i="68"/>
  <c r="K63" i="68"/>
  <c r="J63" i="68"/>
  <c r="I63" i="68"/>
  <c r="H63" i="68"/>
  <c r="G63" i="68"/>
  <c r="F63" i="68"/>
  <c r="E63" i="68"/>
  <c r="D63" i="68"/>
  <c r="B63" i="68"/>
  <c r="Q62" i="68"/>
  <c r="B62" i="68"/>
  <c r="O61" i="68"/>
  <c r="N61" i="68"/>
  <c r="M61" i="68"/>
  <c r="L61" i="68"/>
  <c r="K61" i="68"/>
  <c r="J61" i="68"/>
  <c r="I61" i="68"/>
  <c r="H61" i="68"/>
  <c r="G61" i="68"/>
  <c r="F61" i="68"/>
  <c r="F36" i="68" s="1"/>
  <c r="E61" i="68"/>
  <c r="D61" i="68"/>
  <c r="B61" i="68"/>
  <c r="Q60" i="68"/>
  <c r="B60" i="68"/>
  <c r="O59" i="68"/>
  <c r="N59" i="68"/>
  <c r="M59" i="68"/>
  <c r="L59" i="68"/>
  <c r="K59" i="68"/>
  <c r="J59" i="68"/>
  <c r="I59" i="68"/>
  <c r="H59" i="68"/>
  <c r="H36" i="68" s="1"/>
  <c r="G59" i="68"/>
  <c r="F59" i="68"/>
  <c r="E59" i="68"/>
  <c r="D59" i="68"/>
  <c r="B59" i="68"/>
  <c r="Q58" i="68"/>
  <c r="B58" i="68"/>
  <c r="O57" i="68"/>
  <c r="N57" i="68"/>
  <c r="M57" i="68"/>
  <c r="L57" i="68"/>
  <c r="K57" i="68"/>
  <c r="J57" i="68"/>
  <c r="I57" i="68"/>
  <c r="H57" i="68"/>
  <c r="G57" i="68"/>
  <c r="F57" i="68"/>
  <c r="E57" i="68"/>
  <c r="D57" i="68"/>
  <c r="B57" i="68"/>
  <c r="Q56" i="68"/>
  <c r="B56" i="68"/>
  <c r="Q55" i="68"/>
  <c r="B55" i="68"/>
  <c r="Q54" i="68"/>
  <c r="B54" i="68"/>
  <c r="Q53" i="68"/>
  <c r="B53" i="68"/>
  <c r="Q52" i="68"/>
  <c r="B52" i="68"/>
  <c r="Q51" i="68"/>
  <c r="B51" i="68"/>
  <c r="Q50" i="68"/>
  <c r="B50" i="68"/>
  <c r="Q49" i="68"/>
  <c r="B49" i="68"/>
  <c r="Q48" i="68"/>
  <c r="B48" i="68"/>
  <c r="Q47" i="68"/>
  <c r="B47" i="68"/>
  <c r="O46" i="68"/>
  <c r="N46" i="68"/>
  <c r="M46" i="68"/>
  <c r="L46" i="68"/>
  <c r="K46" i="68"/>
  <c r="K36" i="68" s="1"/>
  <c r="J46" i="68"/>
  <c r="J36" i="68" s="1"/>
  <c r="I46" i="68"/>
  <c r="H46" i="68"/>
  <c r="G46" i="68"/>
  <c r="F46" i="68"/>
  <c r="E46" i="68"/>
  <c r="D46" i="68"/>
  <c r="B46" i="68"/>
  <c r="Q45" i="68"/>
  <c r="B45" i="68"/>
  <c r="Q44" i="68"/>
  <c r="B44" i="68"/>
  <c r="Q43" i="68"/>
  <c r="B43" i="68"/>
  <c r="Q42" i="68"/>
  <c r="B42" i="68"/>
  <c r="Q41" i="68"/>
  <c r="B41" i="68"/>
  <c r="Q40" i="68"/>
  <c r="B40" i="68"/>
  <c r="Q39" i="68"/>
  <c r="B39" i="68"/>
  <c r="Q38" i="68"/>
  <c r="B38" i="68"/>
  <c r="O37" i="68"/>
  <c r="O36" i="68" s="1"/>
  <c r="N37" i="68"/>
  <c r="M37" i="68"/>
  <c r="L37" i="68"/>
  <c r="K37" i="68"/>
  <c r="J37" i="68"/>
  <c r="I37" i="68"/>
  <c r="H37" i="68"/>
  <c r="G37" i="68"/>
  <c r="F37" i="68"/>
  <c r="E37" i="68"/>
  <c r="E36" i="68" s="1"/>
  <c r="D37" i="68"/>
  <c r="D36" i="68" s="1"/>
  <c r="B37" i="68"/>
  <c r="Q31" i="68"/>
  <c r="B31" i="68"/>
  <c r="Q30" i="68"/>
  <c r="B30" i="68"/>
  <c r="Q29" i="68"/>
  <c r="B29" i="68"/>
  <c r="Q28" i="68"/>
  <c r="B28" i="68"/>
  <c r="Q27" i="68"/>
  <c r="B27" i="68"/>
  <c r="Q26" i="68"/>
  <c r="B26" i="68"/>
  <c r="Q25" i="68"/>
  <c r="B25" i="68"/>
  <c r="Q24" i="68"/>
  <c r="B24" i="68"/>
  <c r="O23" i="68"/>
  <c r="N23" i="68"/>
  <c r="M23" i="68"/>
  <c r="M33" i="68" s="1"/>
  <c r="M34" i="68" s="1"/>
  <c r="L23" i="68"/>
  <c r="K23" i="68"/>
  <c r="J23" i="68"/>
  <c r="I23" i="68"/>
  <c r="H23" i="68"/>
  <c r="G23" i="68"/>
  <c r="F23" i="68"/>
  <c r="E23" i="68"/>
  <c r="D23" i="68"/>
  <c r="G21" i="68"/>
  <c r="F21" i="68"/>
  <c r="E21" i="68"/>
  <c r="Q21" i="68" s="1"/>
  <c r="D21" i="68"/>
  <c r="B21" i="68"/>
  <c r="G20" i="68"/>
  <c r="F20" i="68"/>
  <c r="E20" i="68"/>
  <c r="D20" i="68"/>
  <c r="B20" i="68"/>
  <c r="Q19" i="68"/>
  <c r="G19" i="68"/>
  <c r="F19" i="68"/>
  <c r="E19" i="68"/>
  <c r="D19" i="68"/>
  <c r="B19" i="68"/>
  <c r="G18" i="68"/>
  <c r="F18" i="68"/>
  <c r="E18" i="68"/>
  <c r="D18" i="68"/>
  <c r="Q18" i="68" s="1"/>
  <c r="B18" i="68"/>
  <c r="G17" i="68"/>
  <c r="Q17" i="68" s="1"/>
  <c r="F17" i="68"/>
  <c r="E17" i="68"/>
  <c r="D17" i="68"/>
  <c r="B17" i="68"/>
  <c r="G16" i="68"/>
  <c r="F16" i="68"/>
  <c r="E16" i="68"/>
  <c r="D16" i="68"/>
  <c r="Q16" i="68" s="1"/>
  <c r="B16" i="68"/>
  <c r="Q15" i="68"/>
  <c r="G15" i="68"/>
  <c r="F15" i="68"/>
  <c r="E15" i="68"/>
  <c r="D15" i="68"/>
  <c r="B15" i="68"/>
  <c r="G14" i="68"/>
  <c r="F14" i="68"/>
  <c r="E14" i="68"/>
  <c r="D14" i="68"/>
  <c r="B14" i="68"/>
  <c r="G13" i="68"/>
  <c r="Q13" i="68" s="1"/>
  <c r="F13" i="68"/>
  <c r="E13" i="68"/>
  <c r="D13" i="68"/>
  <c r="B13" i="68"/>
  <c r="G12" i="68"/>
  <c r="F12" i="68"/>
  <c r="E12" i="68"/>
  <c r="D12" i="68"/>
  <c r="Q12" i="68" s="1"/>
  <c r="B12" i="68"/>
  <c r="G11" i="68"/>
  <c r="F11" i="68"/>
  <c r="F10" i="68" s="1"/>
  <c r="F33" i="68" s="1"/>
  <c r="E11" i="68"/>
  <c r="D11" i="68"/>
  <c r="B11" i="68"/>
  <c r="O10" i="68"/>
  <c r="O33" i="68" s="1"/>
  <c r="N10" i="68"/>
  <c r="N33" i="68" s="1"/>
  <c r="N34" i="68" s="1"/>
  <c r="M10" i="68"/>
  <c r="L10" i="68"/>
  <c r="L33" i="68" s="1"/>
  <c r="L34" i="68" s="1"/>
  <c r="K10" i="68"/>
  <c r="K33" i="68" s="1"/>
  <c r="J10" i="68"/>
  <c r="J33" i="68" s="1"/>
  <c r="I10" i="68"/>
  <c r="I33" i="68" s="1"/>
  <c r="H10" i="68"/>
  <c r="H33" i="68" s="1"/>
  <c r="O8" i="68"/>
  <c r="N8" i="68"/>
  <c r="M8" i="68"/>
  <c r="L8" i="68"/>
  <c r="K8" i="68"/>
  <c r="J8" i="68"/>
  <c r="I8" i="68"/>
  <c r="H8" i="68"/>
  <c r="G8" i="68"/>
  <c r="F8" i="68"/>
  <c r="E8" i="68"/>
  <c r="D8" i="68"/>
  <c r="B5" i="68"/>
  <c r="Q96" i="63"/>
  <c r="G91" i="63"/>
  <c r="F91" i="63"/>
  <c r="E91" i="63"/>
  <c r="Q91" i="63" s="1"/>
  <c r="D91" i="63"/>
  <c r="Q89" i="63"/>
  <c r="B89" i="63"/>
  <c r="O88" i="63"/>
  <c r="N88" i="63"/>
  <c r="M88" i="63"/>
  <c r="L88" i="63"/>
  <c r="K88" i="63"/>
  <c r="J88" i="63"/>
  <c r="I88" i="63"/>
  <c r="H88" i="63"/>
  <c r="G88" i="63"/>
  <c r="F88" i="63"/>
  <c r="E88" i="63"/>
  <c r="D88" i="63"/>
  <c r="B88" i="63"/>
  <c r="Q87" i="63"/>
  <c r="B87" i="63"/>
  <c r="O86" i="63"/>
  <c r="N86" i="63"/>
  <c r="M86" i="63"/>
  <c r="L86" i="63"/>
  <c r="K86" i="63"/>
  <c r="J86" i="63"/>
  <c r="I86" i="63"/>
  <c r="H86" i="63"/>
  <c r="G86" i="63"/>
  <c r="F86" i="63"/>
  <c r="E86" i="63"/>
  <c r="D86" i="63"/>
  <c r="Q86" i="63" s="1"/>
  <c r="B86" i="63"/>
  <c r="Q85" i="63"/>
  <c r="B85" i="63"/>
  <c r="O84" i="63"/>
  <c r="N84" i="63"/>
  <c r="M84" i="63"/>
  <c r="L84" i="63"/>
  <c r="K84" i="63"/>
  <c r="J84" i="63"/>
  <c r="I84" i="63"/>
  <c r="H84" i="63"/>
  <c r="G84" i="63"/>
  <c r="F84" i="63"/>
  <c r="E84" i="63"/>
  <c r="D84" i="63"/>
  <c r="Q84" i="63" s="1"/>
  <c r="B84" i="63"/>
  <c r="Q83" i="63"/>
  <c r="B83" i="63"/>
  <c r="O82" i="63"/>
  <c r="N82" i="63"/>
  <c r="M82" i="63"/>
  <c r="L82" i="63"/>
  <c r="K82" i="63"/>
  <c r="J82" i="63"/>
  <c r="I82" i="63"/>
  <c r="H82" i="63"/>
  <c r="G82" i="63"/>
  <c r="F82" i="63"/>
  <c r="E82" i="63"/>
  <c r="D82" i="63"/>
  <c r="B82" i="63"/>
  <c r="Q81" i="63"/>
  <c r="B81" i="63"/>
  <c r="Q80" i="63"/>
  <c r="B80" i="63"/>
  <c r="Q79" i="63"/>
  <c r="B79" i="63"/>
  <c r="Q78" i="63"/>
  <c r="B78" i="63"/>
  <c r="Q77" i="63"/>
  <c r="B77" i="63"/>
  <c r="Q76" i="63"/>
  <c r="B76" i="63"/>
  <c r="Q75" i="63"/>
  <c r="B75" i="63"/>
  <c r="O74" i="63"/>
  <c r="N74" i="63"/>
  <c r="M74" i="63"/>
  <c r="L74" i="63"/>
  <c r="K74" i="63"/>
  <c r="J74" i="63"/>
  <c r="I74" i="63"/>
  <c r="H74" i="63"/>
  <c r="G74" i="63"/>
  <c r="F74" i="63"/>
  <c r="E74" i="63"/>
  <c r="D74" i="63"/>
  <c r="Q74" i="63" s="1"/>
  <c r="B74" i="63"/>
  <c r="Q73" i="63"/>
  <c r="B73" i="63"/>
  <c r="O72" i="63"/>
  <c r="N72" i="63"/>
  <c r="M72" i="63"/>
  <c r="L72" i="63"/>
  <c r="K72" i="63"/>
  <c r="J72" i="63"/>
  <c r="I72" i="63"/>
  <c r="H72" i="63"/>
  <c r="G72" i="63"/>
  <c r="F72" i="63"/>
  <c r="E72" i="63"/>
  <c r="D72" i="63"/>
  <c r="B72" i="63"/>
  <c r="Q71" i="63"/>
  <c r="B71" i="63"/>
  <c r="Q70" i="63"/>
  <c r="B70" i="63"/>
  <c r="Q69" i="63"/>
  <c r="B69" i="63"/>
  <c r="O68" i="63"/>
  <c r="N68" i="63"/>
  <c r="M68" i="63"/>
  <c r="L68" i="63"/>
  <c r="K68" i="63"/>
  <c r="J68" i="63"/>
  <c r="I68" i="63"/>
  <c r="H68" i="63"/>
  <c r="G68" i="63"/>
  <c r="F68" i="63"/>
  <c r="E68" i="63"/>
  <c r="D68" i="63"/>
  <c r="Q68" i="63" s="1"/>
  <c r="B68" i="63"/>
  <c r="Q67" i="63"/>
  <c r="B67" i="63"/>
  <c r="Q66" i="63"/>
  <c r="B66" i="63"/>
  <c r="Q65" i="63"/>
  <c r="B65" i="63"/>
  <c r="Q64" i="63"/>
  <c r="B64" i="63"/>
  <c r="O63" i="63"/>
  <c r="N63" i="63"/>
  <c r="M63" i="63"/>
  <c r="L63" i="63"/>
  <c r="K63" i="63"/>
  <c r="J63" i="63"/>
  <c r="I63" i="63"/>
  <c r="H63" i="63"/>
  <c r="G63" i="63"/>
  <c r="F63" i="63"/>
  <c r="E63" i="63"/>
  <c r="D63" i="63"/>
  <c r="Q63" i="63" s="1"/>
  <c r="B63" i="63"/>
  <c r="Q62" i="63"/>
  <c r="B62" i="63"/>
  <c r="O61" i="63"/>
  <c r="N61" i="63"/>
  <c r="M61" i="63"/>
  <c r="L61" i="63"/>
  <c r="K61" i="63"/>
  <c r="J61" i="63"/>
  <c r="I61" i="63"/>
  <c r="H61" i="63"/>
  <c r="G61" i="63"/>
  <c r="F61" i="63"/>
  <c r="E61" i="63"/>
  <c r="D61" i="63"/>
  <c r="Q61" i="63" s="1"/>
  <c r="B61" i="63"/>
  <c r="Q60" i="63"/>
  <c r="B60" i="63"/>
  <c r="O59" i="63"/>
  <c r="N59" i="63"/>
  <c r="M59" i="63"/>
  <c r="L59" i="63"/>
  <c r="K59" i="63"/>
  <c r="J59" i="63"/>
  <c r="I59" i="63"/>
  <c r="H59" i="63"/>
  <c r="G59" i="63"/>
  <c r="F59" i="63"/>
  <c r="E59" i="63"/>
  <c r="D59" i="63"/>
  <c r="B59" i="63"/>
  <c r="Q58" i="63"/>
  <c r="B58" i="63"/>
  <c r="O57" i="63"/>
  <c r="N57" i="63"/>
  <c r="M57" i="63"/>
  <c r="L57" i="63"/>
  <c r="K57" i="63"/>
  <c r="J57" i="63"/>
  <c r="I57" i="63"/>
  <c r="H57" i="63"/>
  <c r="G57" i="63"/>
  <c r="F57" i="63"/>
  <c r="E57" i="63"/>
  <c r="D57" i="63"/>
  <c r="Q57" i="63" s="1"/>
  <c r="B57" i="63"/>
  <c r="Q56" i="63"/>
  <c r="B56" i="63"/>
  <c r="O55" i="63"/>
  <c r="N55" i="63"/>
  <c r="M55" i="63"/>
  <c r="L55" i="63"/>
  <c r="K55" i="63"/>
  <c r="J55" i="63"/>
  <c r="I55" i="63"/>
  <c r="H55" i="63"/>
  <c r="G55" i="63"/>
  <c r="F55" i="63"/>
  <c r="E55" i="63"/>
  <c r="D55" i="63"/>
  <c r="Q55" i="63" s="1"/>
  <c r="B55" i="63"/>
  <c r="Q54" i="63"/>
  <c r="B54" i="63"/>
  <c r="O53" i="63"/>
  <c r="N53" i="63"/>
  <c r="M53" i="63"/>
  <c r="L53" i="63"/>
  <c r="K53" i="63"/>
  <c r="J53" i="63"/>
  <c r="I53" i="63"/>
  <c r="H53" i="63"/>
  <c r="G53" i="63"/>
  <c r="F53" i="63"/>
  <c r="E53" i="63"/>
  <c r="D53" i="63"/>
  <c r="B53" i="63"/>
  <c r="Q52" i="63"/>
  <c r="B52" i="63"/>
  <c r="O51" i="63"/>
  <c r="N51" i="63"/>
  <c r="M51" i="63"/>
  <c r="L51" i="63"/>
  <c r="K51" i="63"/>
  <c r="J51" i="63"/>
  <c r="I51" i="63"/>
  <c r="H51" i="63"/>
  <c r="G51" i="63"/>
  <c r="F51" i="63"/>
  <c r="E51" i="63"/>
  <c r="D51" i="63"/>
  <c r="Q51" i="63" s="1"/>
  <c r="B51" i="63"/>
  <c r="Q50" i="63"/>
  <c r="B50" i="63"/>
  <c r="O49" i="63"/>
  <c r="N49" i="63"/>
  <c r="M49" i="63"/>
  <c r="L49" i="63"/>
  <c r="K49" i="63"/>
  <c r="J49" i="63"/>
  <c r="I49" i="63"/>
  <c r="H49" i="63"/>
  <c r="G49" i="63"/>
  <c r="F49" i="63"/>
  <c r="E49" i="63"/>
  <c r="D49" i="63"/>
  <c r="B49" i="63"/>
  <c r="Q48" i="63"/>
  <c r="B48" i="63"/>
  <c r="O47" i="63"/>
  <c r="N47" i="63"/>
  <c r="M47" i="63"/>
  <c r="L47" i="63"/>
  <c r="K47" i="63"/>
  <c r="J47" i="63"/>
  <c r="I47" i="63"/>
  <c r="H47" i="63"/>
  <c r="G47" i="63"/>
  <c r="F47" i="63"/>
  <c r="E47" i="63"/>
  <c r="D47" i="63"/>
  <c r="B47" i="63"/>
  <c r="Q46" i="63"/>
  <c r="B46" i="63"/>
  <c r="Q45" i="63"/>
  <c r="B45" i="63"/>
  <c r="O44" i="63"/>
  <c r="N44" i="63"/>
  <c r="N17" i="63" s="1"/>
  <c r="M44" i="63"/>
  <c r="L44" i="63"/>
  <c r="K44" i="63"/>
  <c r="J44" i="63"/>
  <c r="I44" i="63"/>
  <c r="H44" i="63"/>
  <c r="G44" i="63"/>
  <c r="F44" i="63"/>
  <c r="E44" i="63"/>
  <c r="D44" i="63"/>
  <c r="B44" i="63"/>
  <c r="Q43" i="63"/>
  <c r="B43" i="63"/>
  <c r="O42" i="63"/>
  <c r="N42" i="63"/>
  <c r="M42" i="63"/>
  <c r="L42" i="63"/>
  <c r="K42" i="63"/>
  <c r="J42" i="63"/>
  <c r="I42" i="63"/>
  <c r="H42" i="63"/>
  <c r="G42" i="63"/>
  <c r="F42" i="63"/>
  <c r="E42" i="63"/>
  <c r="D42" i="63"/>
  <c r="B42" i="63"/>
  <c r="Q41" i="63"/>
  <c r="B41" i="63"/>
  <c r="Q40" i="63"/>
  <c r="B40" i="63"/>
  <c r="O39" i="63"/>
  <c r="N39" i="63"/>
  <c r="M39" i="63"/>
  <c r="L39" i="63"/>
  <c r="K39" i="63"/>
  <c r="J39" i="63"/>
  <c r="I39" i="63"/>
  <c r="H39" i="63"/>
  <c r="G39" i="63"/>
  <c r="F39" i="63"/>
  <c r="E39" i="63"/>
  <c r="D39" i="63"/>
  <c r="B39" i="63"/>
  <c r="Q38" i="63"/>
  <c r="B38" i="63"/>
  <c r="Q37" i="63"/>
  <c r="B37" i="63"/>
  <c r="Q36" i="63"/>
  <c r="B36" i="63"/>
  <c r="Q35" i="63"/>
  <c r="B35" i="63"/>
  <c r="Q34" i="63"/>
  <c r="B34" i="63"/>
  <c r="Q33" i="63"/>
  <c r="B33" i="63"/>
  <c r="Q32" i="63"/>
  <c r="B32" i="63"/>
  <c r="Q31" i="63"/>
  <c r="B31" i="63"/>
  <c r="Q30" i="63"/>
  <c r="B30" i="63"/>
  <c r="Q29" i="63"/>
  <c r="B29" i="63"/>
  <c r="O28" i="63"/>
  <c r="N28" i="63"/>
  <c r="M28" i="63"/>
  <c r="L28" i="63"/>
  <c r="K28" i="63"/>
  <c r="K17" i="63" s="1"/>
  <c r="J28" i="63"/>
  <c r="I28" i="63"/>
  <c r="H28" i="63"/>
  <c r="H17" i="63" s="1"/>
  <c r="G28" i="63"/>
  <c r="F28" i="63"/>
  <c r="E28" i="63"/>
  <c r="D28" i="63"/>
  <c r="B28" i="63"/>
  <c r="Q27" i="63"/>
  <c r="B27" i="63"/>
  <c r="Q26" i="63"/>
  <c r="B26" i="63"/>
  <c r="Q25" i="63"/>
  <c r="B25" i="63"/>
  <c r="Q24" i="63"/>
  <c r="B24" i="63"/>
  <c r="Q23" i="63"/>
  <c r="B23" i="63"/>
  <c r="Q22" i="63"/>
  <c r="B22" i="63"/>
  <c r="Q21" i="63"/>
  <c r="B21" i="63"/>
  <c r="Q20" i="63"/>
  <c r="B20" i="63"/>
  <c r="Q19" i="63"/>
  <c r="B19" i="63"/>
  <c r="O18" i="63"/>
  <c r="N18" i="63"/>
  <c r="M18" i="63"/>
  <c r="L18" i="63"/>
  <c r="K18" i="63"/>
  <c r="J18" i="63"/>
  <c r="I18" i="63"/>
  <c r="H18" i="63"/>
  <c r="G18" i="63"/>
  <c r="F18" i="63"/>
  <c r="E18" i="63"/>
  <c r="D18" i="63"/>
  <c r="D17" i="63" s="1"/>
  <c r="D93" i="63" s="1"/>
  <c r="B18" i="63"/>
  <c r="H15" i="63"/>
  <c r="G15" i="63"/>
  <c r="L14" i="63"/>
  <c r="L15" i="63" s="1"/>
  <c r="J14" i="63"/>
  <c r="I14" i="63"/>
  <c r="H14" i="63"/>
  <c r="G14" i="63"/>
  <c r="Q12" i="63"/>
  <c r="O12" i="63"/>
  <c r="N12" i="63"/>
  <c r="M12" i="63"/>
  <c r="L12" i="63"/>
  <c r="K12" i="63"/>
  <c r="J12" i="63"/>
  <c r="I12" i="63"/>
  <c r="H12" i="63"/>
  <c r="G12" i="63"/>
  <c r="F12" i="63"/>
  <c r="E12" i="63"/>
  <c r="E14" i="63" s="1"/>
  <c r="D12" i="63"/>
  <c r="Q10" i="63"/>
  <c r="Q14" i="63" s="1"/>
  <c r="O10" i="63"/>
  <c r="N10" i="63"/>
  <c r="N14" i="63" s="1"/>
  <c r="N15" i="63" s="1"/>
  <c r="M10" i="63"/>
  <c r="M14" i="63" s="1"/>
  <c r="L10" i="63"/>
  <c r="K10" i="63"/>
  <c r="K14" i="63" s="1"/>
  <c r="J10" i="63"/>
  <c r="I10" i="63"/>
  <c r="H10" i="63"/>
  <c r="G10" i="63"/>
  <c r="F10" i="63"/>
  <c r="F14" i="63" s="1"/>
  <c r="F15" i="63" s="1"/>
  <c r="E10" i="63"/>
  <c r="D10" i="63"/>
  <c r="D14" i="63" s="1"/>
  <c r="D15" i="63" s="1"/>
  <c r="O8" i="63"/>
  <c r="N8" i="63"/>
  <c r="M8" i="63"/>
  <c r="L8" i="63"/>
  <c r="K8" i="63"/>
  <c r="J8" i="63"/>
  <c r="I8" i="63"/>
  <c r="H8" i="63"/>
  <c r="G8" i="63"/>
  <c r="F8" i="63"/>
  <c r="E8" i="63"/>
  <c r="D8" i="63"/>
  <c r="B5" i="63"/>
  <c r="Q55" i="61"/>
  <c r="G50" i="61"/>
  <c r="F50" i="61"/>
  <c r="E50" i="61"/>
  <c r="D50" i="61"/>
  <c r="Q48" i="61"/>
  <c r="B48" i="61"/>
  <c r="O47" i="61"/>
  <c r="N47" i="61"/>
  <c r="M47" i="61"/>
  <c r="L47" i="61"/>
  <c r="K47" i="61"/>
  <c r="J47" i="61"/>
  <c r="I47" i="61"/>
  <c r="H47" i="61"/>
  <c r="G47" i="61"/>
  <c r="G17" i="61" s="1"/>
  <c r="F47" i="61"/>
  <c r="E47" i="61"/>
  <c r="D47" i="61"/>
  <c r="B47" i="61"/>
  <c r="Q46" i="61"/>
  <c r="B46" i="61"/>
  <c r="O45" i="61"/>
  <c r="N45" i="61"/>
  <c r="M45" i="61"/>
  <c r="L45" i="61"/>
  <c r="K45" i="61"/>
  <c r="J45" i="61"/>
  <c r="I45" i="61"/>
  <c r="H45" i="61"/>
  <c r="G45" i="61"/>
  <c r="F45" i="61"/>
  <c r="E45" i="61"/>
  <c r="D45" i="61"/>
  <c r="Q45" i="61" s="1"/>
  <c r="B45" i="61"/>
  <c r="Q44" i="61"/>
  <c r="B44" i="61"/>
  <c r="O43" i="61"/>
  <c r="N43" i="61"/>
  <c r="M43" i="61"/>
  <c r="M17" i="61" s="1"/>
  <c r="L43" i="61"/>
  <c r="K43" i="61"/>
  <c r="J43" i="61"/>
  <c r="I43" i="61"/>
  <c r="H43" i="61"/>
  <c r="G43" i="61"/>
  <c r="F43" i="61"/>
  <c r="E43" i="61"/>
  <c r="D43" i="61"/>
  <c r="Q43" i="61" s="1"/>
  <c r="B43" i="61"/>
  <c r="Q42" i="61"/>
  <c r="B42" i="61"/>
  <c r="O41" i="61"/>
  <c r="N41" i="61"/>
  <c r="M41" i="61"/>
  <c r="L41" i="61"/>
  <c r="K41" i="61"/>
  <c r="J41" i="61"/>
  <c r="I41" i="61"/>
  <c r="H41" i="61"/>
  <c r="G41" i="61"/>
  <c r="F41" i="61"/>
  <c r="E41" i="61"/>
  <c r="E17" i="61" s="1"/>
  <c r="D41" i="61"/>
  <c r="B41" i="61"/>
  <c r="Q40" i="61"/>
  <c r="B40" i="61"/>
  <c r="O39" i="61"/>
  <c r="N39" i="61"/>
  <c r="M39" i="61"/>
  <c r="L39" i="61"/>
  <c r="K39" i="61"/>
  <c r="J39" i="61"/>
  <c r="I39" i="61"/>
  <c r="H39" i="61"/>
  <c r="G39" i="61"/>
  <c r="F39" i="61"/>
  <c r="E39" i="61"/>
  <c r="D39" i="61"/>
  <c r="B39" i="61"/>
  <c r="Q38" i="61"/>
  <c r="B38" i="61"/>
  <c r="Q37" i="61"/>
  <c r="B37" i="61"/>
  <c r="Q36" i="61"/>
  <c r="B36" i="61"/>
  <c r="Q35" i="61"/>
  <c r="B35" i="61"/>
  <c r="Q34" i="61"/>
  <c r="B34" i="61"/>
  <c r="Q33" i="61"/>
  <c r="B33" i="61"/>
  <c r="Q32" i="61"/>
  <c r="B32" i="61"/>
  <c r="Q31" i="61"/>
  <c r="B31" i="61"/>
  <c r="Q30" i="61"/>
  <c r="B30" i="61"/>
  <c r="Q29" i="61"/>
  <c r="B29" i="61"/>
  <c r="O28" i="61"/>
  <c r="N28" i="61"/>
  <c r="M28" i="61"/>
  <c r="L28" i="61"/>
  <c r="L17" i="61" s="1"/>
  <c r="K28" i="61"/>
  <c r="J28" i="61"/>
  <c r="J17" i="61" s="1"/>
  <c r="I28" i="61"/>
  <c r="H28" i="61"/>
  <c r="G28" i="61"/>
  <c r="F28" i="61"/>
  <c r="E28" i="61"/>
  <c r="D28" i="61"/>
  <c r="B28" i="61"/>
  <c r="Q27" i="61"/>
  <c r="B27" i="61"/>
  <c r="Q26" i="61"/>
  <c r="B26" i="61"/>
  <c r="Q25" i="61"/>
  <c r="B25" i="61"/>
  <c r="Q24" i="61"/>
  <c r="B24" i="61"/>
  <c r="Q23" i="61"/>
  <c r="B23" i="61"/>
  <c r="Q22" i="61"/>
  <c r="B22" i="61"/>
  <c r="Q21" i="61"/>
  <c r="B21" i="61"/>
  <c r="Q20" i="61"/>
  <c r="B20" i="61"/>
  <c r="Q19" i="61"/>
  <c r="B19" i="61"/>
  <c r="O18" i="61"/>
  <c r="N18" i="61"/>
  <c r="M18" i="61"/>
  <c r="L18" i="61"/>
  <c r="K18" i="61"/>
  <c r="K17" i="61" s="1"/>
  <c r="J18" i="61"/>
  <c r="I18" i="61"/>
  <c r="I17" i="61" s="1"/>
  <c r="H18" i="61"/>
  <c r="H17" i="61" s="1"/>
  <c r="G18" i="61"/>
  <c r="F18" i="61"/>
  <c r="F17" i="61" s="1"/>
  <c r="E18" i="61"/>
  <c r="D18" i="61"/>
  <c r="D17" i="61" s="1"/>
  <c r="B18" i="61"/>
  <c r="K15" i="61"/>
  <c r="I15" i="61"/>
  <c r="H15" i="61"/>
  <c r="G15" i="61"/>
  <c r="O14" i="61"/>
  <c r="O15" i="61" s="1"/>
  <c r="L14" i="61"/>
  <c r="L15" i="61" s="1"/>
  <c r="J14" i="61"/>
  <c r="I14" i="61"/>
  <c r="G14" i="61"/>
  <c r="Q12" i="61"/>
  <c r="O12" i="61"/>
  <c r="N12" i="61"/>
  <c r="M12" i="61"/>
  <c r="M14" i="61" s="1"/>
  <c r="M15" i="61" s="1"/>
  <c r="L12" i="61"/>
  <c r="K12" i="61"/>
  <c r="J12" i="61"/>
  <c r="I12" i="61"/>
  <c r="H12" i="61"/>
  <c r="H14" i="61" s="1"/>
  <c r="H52" i="61" s="1"/>
  <c r="G12" i="61"/>
  <c r="F12" i="61"/>
  <c r="E12" i="61"/>
  <c r="D12" i="61"/>
  <c r="Q10" i="61"/>
  <c r="Q14" i="61" s="1"/>
  <c r="O10" i="61"/>
  <c r="N10" i="61"/>
  <c r="N14" i="61" s="1"/>
  <c r="N15" i="61" s="1"/>
  <c r="M10" i="61"/>
  <c r="L10" i="61"/>
  <c r="K10" i="61"/>
  <c r="K14" i="61" s="1"/>
  <c r="K52" i="61" s="1"/>
  <c r="J10" i="61"/>
  <c r="I10" i="61"/>
  <c r="H10" i="61"/>
  <c r="G10" i="61"/>
  <c r="F10" i="61"/>
  <c r="F14" i="61" s="1"/>
  <c r="E10" i="61"/>
  <c r="E14" i="61" s="1"/>
  <c r="D10" i="61"/>
  <c r="D14" i="61" s="1"/>
  <c r="O8" i="61"/>
  <c r="N8" i="61"/>
  <c r="M8" i="61"/>
  <c r="L8" i="61"/>
  <c r="K8" i="61"/>
  <c r="J8" i="61"/>
  <c r="I8" i="61"/>
  <c r="H8" i="61"/>
  <c r="G8" i="61"/>
  <c r="F8" i="61"/>
  <c r="E8" i="61"/>
  <c r="D8" i="61"/>
  <c r="B5" i="61"/>
  <c r="Q59" i="60"/>
  <c r="G54" i="60"/>
  <c r="F54" i="60"/>
  <c r="E54" i="60"/>
  <c r="Q54" i="60" s="1"/>
  <c r="D54" i="60"/>
  <c r="Q52" i="60"/>
  <c r="B52" i="60"/>
  <c r="O51" i="60"/>
  <c r="N51" i="60"/>
  <c r="M51" i="60"/>
  <c r="L51" i="60"/>
  <c r="K51" i="60"/>
  <c r="J51" i="60"/>
  <c r="I51" i="60"/>
  <c r="H51" i="60"/>
  <c r="G51" i="60"/>
  <c r="F51" i="60"/>
  <c r="E51" i="60"/>
  <c r="D51" i="60"/>
  <c r="Q51" i="60" s="1"/>
  <c r="B51" i="60"/>
  <c r="Q50" i="60"/>
  <c r="B50" i="60"/>
  <c r="O49" i="60"/>
  <c r="N49" i="60"/>
  <c r="M49" i="60"/>
  <c r="L49" i="60"/>
  <c r="K49" i="60"/>
  <c r="J49" i="60"/>
  <c r="I49" i="60"/>
  <c r="H49" i="60"/>
  <c r="G49" i="60"/>
  <c r="F49" i="60"/>
  <c r="E49" i="60"/>
  <c r="D49" i="60"/>
  <c r="B49" i="60"/>
  <c r="Q48" i="60"/>
  <c r="B48" i="60"/>
  <c r="O47" i="60"/>
  <c r="N47" i="60"/>
  <c r="M47" i="60"/>
  <c r="L47" i="60"/>
  <c r="K47" i="60"/>
  <c r="J47" i="60"/>
  <c r="I47" i="60"/>
  <c r="H47" i="60"/>
  <c r="G47" i="60"/>
  <c r="F47" i="60"/>
  <c r="E47" i="60"/>
  <c r="D47" i="60"/>
  <c r="B47" i="60"/>
  <c r="Q46" i="60"/>
  <c r="B46" i="60"/>
  <c r="Q45" i="60"/>
  <c r="B45" i="60"/>
  <c r="Q44" i="60"/>
  <c r="B44" i="60"/>
  <c r="O43" i="60"/>
  <c r="N43" i="60"/>
  <c r="M43" i="60"/>
  <c r="L43" i="60"/>
  <c r="K43" i="60"/>
  <c r="J43" i="60"/>
  <c r="I43" i="60"/>
  <c r="H43" i="60"/>
  <c r="G43" i="60"/>
  <c r="F43" i="60"/>
  <c r="E43" i="60"/>
  <c r="E17" i="60" s="1"/>
  <c r="D43" i="60"/>
  <c r="B43" i="60"/>
  <c r="Q42" i="60"/>
  <c r="B42" i="60"/>
  <c r="O41" i="60"/>
  <c r="N41" i="60"/>
  <c r="M41" i="60"/>
  <c r="L41" i="60"/>
  <c r="K41" i="60"/>
  <c r="J41" i="60"/>
  <c r="I41" i="60"/>
  <c r="H41" i="60"/>
  <c r="G41" i="60"/>
  <c r="F41" i="60"/>
  <c r="E41" i="60"/>
  <c r="D41" i="60"/>
  <c r="B41" i="60"/>
  <c r="Q40" i="60"/>
  <c r="B40" i="60"/>
  <c r="O39" i="60"/>
  <c r="N39" i="60"/>
  <c r="M39" i="60"/>
  <c r="L39" i="60"/>
  <c r="K39" i="60"/>
  <c r="J39" i="60"/>
  <c r="I39" i="60"/>
  <c r="H39" i="60"/>
  <c r="G39" i="60"/>
  <c r="F39" i="60"/>
  <c r="E39" i="60"/>
  <c r="D39" i="60"/>
  <c r="Q39" i="60" s="1"/>
  <c r="B39" i="60"/>
  <c r="Q38" i="60"/>
  <c r="B38" i="60"/>
  <c r="Q37" i="60"/>
  <c r="B37" i="60"/>
  <c r="Q36" i="60"/>
  <c r="B36" i="60"/>
  <c r="Q35" i="60"/>
  <c r="B35" i="60"/>
  <c r="Q34" i="60"/>
  <c r="B34" i="60"/>
  <c r="Q33" i="60"/>
  <c r="B33" i="60"/>
  <c r="Q32" i="60"/>
  <c r="B32" i="60"/>
  <c r="Q31" i="60"/>
  <c r="B31" i="60"/>
  <c r="Q30" i="60"/>
  <c r="B30" i="60"/>
  <c r="Q29" i="60"/>
  <c r="B29" i="60"/>
  <c r="O28" i="60"/>
  <c r="N28" i="60"/>
  <c r="N17" i="60" s="1"/>
  <c r="M28" i="60"/>
  <c r="L28" i="60"/>
  <c r="K28" i="60"/>
  <c r="J28" i="60"/>
  <c r="I28" i="60"/>
  <c r="H28" i="60"/>
  <c r="G28" i="60"/>
  <c r="F28" i="60"/>
  <c r="E28" i="60"/>
  <c r="D28" i="60"/>
  <c r="D17" i="60" s="1"/>
  <c r="B28" i="60"/>
  <c r="Q27" i="60"/>
  <c r="B27" i="60"/>
  <c r="Q26" i="60"/>
  <c r="B26" i="60"/>
  <c r="Q25" i="60"/>
  <c r="B25" i="60"/>
  <c r="Q24" i="60"/>
  <c r="B24" i="60"/>
  <c r="Q23" i="60"/>
  <c r="B23" i="60"/>
  <c r="Q22" i="60"/>
  <c r="B22" i="60"/>
  <c r="Q21" i="60"/>
  <c r="B21" i="60"/>
  <c r="Q20" i="60"/>
  <c r="B20" i="60"/>
  <c r="Q19" i="60"/>
  <c r="B19" i="60"/>
  <c r="O18" i="60"/>
  <c r="N18" i="60"/>
  <c r="M18" i="60"/>
  <c r="L18" i="60"/>
  <c r="L17" i="60" s="1"/>
  <c r="K18" i="60"/>
  <c r="J18" i="60"/>
  <c r="J17" i="60" s="1"/>
  <c r="J56" i="60" s="1"/>
  <c r="I18" i="60"/>
  <c r="H18" i="60"/>
  <c r="H17" i="60" s="1"/>
  <c r="G18" i="60"/>
  <c r="F18" i="60"/>
  <c r="E18" i="60"/>
  <c r="D18" i="60"/>
  <c r="B18" i="60"/>
  <c r="K17" i="60"/>
  <c r="I17" i="60"/>
  <c r="O15" i="60"/>
  <c r="J15" i="60"/>
  <c r="N14" i="60"/>
  <c r="L14" i="60"/>
  <c r="K14" i="60"/>
  <c r="G14" i="60"/>
  <c r="D14" i="60"/>
  <c r="Q12" i="60"/>
  <c r="O12" i="60"/>
  <c r="N12" i="60"/>
  <c r="M12" i="60"/>
  <c r="L12" i="60"/>
  <c r="K12" i="60"/>
  <c r="J12" i="60"/>
  <c r="I12" i="60"/>
  <c r="H12" i="60"/>
  <c r="G12" i="60"/>
  <c r="F12" i="60"/>
  <c r="E12" i="60"/>
  <c r="E14" i="60" s="1"/>
  <c r="D12" i="60"/>
  <c r="Q10" i="60"/>
  <c r="Q14" i="60" s="1"/>
  <c r="O10" i="60"/>
  <c r="O14" i="60" s="1"/>
  <c r="N10" i="60"/>
  <c r="M10" i="60"/>
  <c r="M14" i="60" s="1"/>
  <c r="L10" i="60"/>
  <c r="K10" i="60"/>
  <c r="J10" i="60"/>
  <c r="J14" i="60" s="1"/>
  <c r="I10" i="60"/>
  <c r="I14" i="60" s="1"/>
  <c r="H10" i="60"/>
  <c r="H14" i="60" s="1"/>
  <c r="G10" i="60"/>
  <c r="F10" i="60"/>
  <c r="F14" i="60" s="1"/>
  <c r="E10" i="60"/>
  <c r="D10" i="60"/>
  <c r="O8" i="60"/>
  <c r="N8" i="60"/>
  <c r="M8" i="60"/>
  <c r="L8" i="60"/>
  <c r="K8" i="60"/>
  <c r="J8" i="60"/>
  <c r="I8" i="60"/>
  <c r="H8" i="60"/>
  <c r="G8" i="60"/>
  <c r="F8" i="60"/>
  <c r="E8" i="60"/>
  <c r="D8" i="60"/>
  <c r="B5" i="60"/>
  <c r="Q63" i="59"/>
  <c r="G58" i="59"/>
  <c r="F58" i="59"/>
  <c r="E58" i="59"/>
  <c r="D58" i="59"/>
  <c r="Q56" i="59"/>
  <c r="B56" i="59"/>
  <c r="O55" i="59"/>
  <c r="N55" i="59"/>
  <c r="M55" i="59"/>
  <c r="L55" i="59"/>
  <c r="K55" i="59"/>
  <c r="J55" i="59"/>
  <c r="I55" i="59"/>
  <c r="H55" i="59"/>
  <c r="G55" i="59"/>
  <c r="F55" i="59"/>
  <c r="E55" i="59"/>
  <c r="D55" i="59"/>
  <c r="B55" i="59"/>
  <c r="Q54" i="59"/>
  <c r="B54" i="59"/>
  <c r="Q53" i="59"/>
  <c r="B53" i="59"/>
  <c r="O52" i="59"/>
  <c r="N52" i="59"/>
  <c r="M52" i="59"/>
  <c r="L52" i="59"/>
  <c r="K52" i="59"/>
  <c r="J52" i="59"/>
  <c r="I52" i="59"/>
  <c r="H52" i="59"/>
  <c r="G52" i="59"/>
  <c r="F52" i="59"/>
  <c r="E52" i="59"/>
  <c r="D52" i="59"/>
  <c r="B52" i="59"/>
  <c r="Q51" i="59"/>
  <c r="B51" i="59"/>
  <c r="O50" i="59"/>
  <c r="N50" i="59"/>
  <c r="M50" i="59"/>
  <c r="L50" i="59"/>
  <c r="K50" i="59"/>
  <c r="J50" i="59"/>
  <c r="I50" i="59"/>
  <c r="H50" i="59"/>
  <c r="G50" i="59"/>
  <c r="F50" i="59"/>
  <c r="E50" i="59"/>
  <c r="D50" i="59"/>
  <c r="Q50" i="59" s="1"/>
  <c r="B50" i="59"/>
  <c r="Q49" i="59"/>
  <c r="B49" i="59"/>
  <c r="O48" i="59"/>
  <c r="N48" i="59"/>
  <c r="M48" i="59"/>
  <c r="L48" i="59"/>
  <c r="K48" i="59"/>
  <c r="J48" i="59"/>
  <c r="I48" i="59"/>
  <c r="H48" i="59"/>
  <c r="G48" i="59"/>
  <c r="F48" i="59"/>
  <c r="E48" i="59"/>
  <c r="D48" i="59"/>
  <c r="B48" i="59"/>
  <c r="Q47" i="59"/>
  <c r="B47" i="59"/>
  <c r="Q46" i="59"/>
  <c r="B46" i="59"/>
  <c r="Q45" i="59"/>
  <c r="B45" i="59"/>
  <c r="O44" i="59"/>
  <c r="N44" i="59"/>
  <c r="M44" i="59"/>
  <c r="L44" i="59"/>
  <c r="K44" i="59"/>
  <c r="J44" i="59"/>
  <c r="I44" i="59"/>
  <c r="H44" i="59"/>
  <c r="G44" i="59"/>
  <c r="F44" i="59"/>
  <c r="E44" i="59"/>
  <c r="D44" i="59"/>
  <c r="Q44" i="59" s="1"/>
  <c r="B44" i="59"/>
  <c r="Q43" i="59"/>
  <c r="B43" i="59"/>
  <c r="O42" i="59"/>
  <c r="N42" i="59"/>
  <c r="M42" i="59"/>
  <c r="L42" i="59"/>
  <c r="K42" i="59"/>
  <c r="J42" i="59"/>
  <c r="I42" i="59"/>
  <c r="H42" i="59"/>
  <c r="G42" i="59"/>
  <c r="F42" i="59"/>
  <c r="E42" i="59"/>
  <c r="D42" i="59"/>
  <c r="B42" i="59"/>
  <c r="Q41" i="59"/>
  <c r="B41" i="59"/>
  <c r="O40" i="59"/>
  <c r="N40" i="59"/>
  <c r="M40" i="59"/>
  <c r="L40" i="59"/>
  <c r="K40" i="59"/>
  <c r="J40" i="59"/>
  <c r="I40" i="59"/>
  <c r="H40" i="59"/>
  <c r="G40" i="59"/>
  <c r="F40" i="59"/>
  <c r="E40" i="59"/>
  <c r="D40" i="59"/>
  <c r="B40" i="59"/>
  <c r="Q39" i="59"/>
  <c r="B39" i="59"/>
  <c r="Q38" i="59"/>
  <c r="B38" i="59"/>
  <c r="Q37" i="59"/>
  <c r="B37" i="59"/>
  <c r="Q36" i="59"/>
  <c r="B36" i="59"/>
  <c r="Q35" i="59"/>
  <c r="B35" i="59"/>
  <c r="Q34" i="59"/>
  <c r="B34" i="59"/>
  <c r="Q33" i="59"/>
  <c r="B33" i="59"/>
  <c r="Q32" i="59"/>
  <c r="B32" i="59"/>
  <c r="Q31" i="59"/>
  <c r="B31" i="59"/>
  <c r="Q30" i="59"/>
  <c r="B30" i="59"/>
  <c r="O29" i="59"/>
  <c r="N29" i="59"/>
  <c r="M29" i="59"/>
  <c r="L29" i="59"/>
  <c r="K29" i="59"/>
  <c r="J29" i="59"/>
  <c r="I29" i="59"/>
  <c r="H29" i="59"/>
  <c r="G29" i="59"/>
  <c r="F29" i="59"/>
  <c r="E29" i="59"/>
  <c r="D29" i="59"/>
  <c r="B29" i="59"/>
  <c r="Q28" i="59"/>
  <c r="B28" i="59"/>
  <c r="Q27" i="59"/>
  <c r="B27" i="59"/>
  <c r="Q26" i="59"/>
  <c r="B26" i="59"/>
  <c r="Q25" i="59"/>
  <c r="B25" i="59"/>
  <c r="Q24" i="59"/>
  <c r="B24" i="59"/>
  <c r="Q23" i="59"/>
  <c r="B23" i="59"/>
  <c r="Q22" i="59"/>
  <c r="B22" i="59"/>
  <c r="Q21" i="59"/>
  <c r="B21" i="59"/>
  <c r="Q20" i="59"/>
  <c r="B20" i="59"/>
  <c r="Q19" i="59"/>
  <c r="B19" i="59"/>
  <c r="O18" i="59"/>
  <c r="O17" i="59" s="1"/>
  <c r="N18" i="59"/>
  <c r="M18" i="59"/>
  <c r="L18" i="59"/>
  <c r="K18" i="59"/>
  <c r="J18" i="59"/>
  <c r="J17" i="59" s="1"/>
  <c r="J60" i="59" s="1"/>
  <c r="I18" i="59"/>
  <c r="H18" i="59"/>
  <c r="G18" i="59"/>
  <c r="F18" i="59"/>
  <c r="E18" i="59"/>
  <c r="E17" i="59" s="1"/>
  <c r="D18" i="59"/>
  <c r="B18" i="59"/>
  <c r="J15" i="59"/>
  <c r="Q14" i="59"/>
  <c r="N14" i="59"/>
  <c r="N15" i="59" s="1"/>
  <c r="D14" i="59"/>
  <c r="Q12" i="59"/>
  <c r="O12" i="59"/>
  <c r="N12" i="59"/>
  <c r="M12" i="59"/>
  <c r="L12" i="59"/>
  <c r="L14" i="59" s="1"/>
  <c r="K12" i="59"/>
  <c r="J12" i="59"/>
  <c r="J14" i="59" s="1"/>
  <c r="I12" i="59"/>
  <c r="H12" i="59"/>
  <c r="G12" i="59"/>
  <c r="G14" i="59" s="1"/>
  <c r="F12" i="59"/>
  <c r="E12" i="59"/>
  <c r="E14" i="59" s="1"/>
  <c r="D12" i="59"/>
  <c r="Q10" i="59"/>
  <c r="O10" i="59"/>
  <c r="N10" i="59"/>
  <c r="M10" i="59"/>
  <c r="M14" i="59" s="1"/>
  <c r="L10" i="59"/>
  <c r="K10" i="59"/>
  <c r="K14" i="59" s="1"/>
  <c r="J10" i="59"/>
  <c r="I10" i="59"/>
  <c r="I14" i="59" s="1"/>
  <c r="H10" i="59"/>
  <c r="G10" i="59"/>
  <c r="F10" i="59"/>
  <c r="F14" i="59" s="1"/>
  <c r="E10" i="59"/>
  <c r="D10" i="59"/>
  <c r="O8" i="59"/>
  <c r="N8" i="59"/>
  <c r="M8" i="59"/>
  <c r="L8" i="59"/>
  <c r="K8" i="59"/>
  <c r="J8" i="59"/>
  <c r="I8" i="59"/>
  <c r="H8" i="59"/>
  <c r="G8" i="59"/>
  <c r="F8" i="59"/>
  <c r="E8" i="59"/>
  <c r="D8" i="59"/>
  <c r="B5" i="59"/>
  <c r="Q74" i="58"/>
  <c r="G69" i="58"/>
  <c r="F69" i="58"/>
  <c r="E69" i="58"/>
  <c r="D69" i="58"/>
  <c r="Q67" i="58"/>
  <c r="B67" i="58"/>
  <c r="O66" i="58"/>
  <c r="N66" i="58"/>
  <c r="M66" i="58"/>
  <c r="L66" i="58"/>
  <c r="K66" i="58"/>
  <c r="J66" i="58"/>
  <c r="I66" i="58"/>
  <c r="H66" i="58"/>
  <c r="G66" i="58"/>
  <c r="F66" i="58"/>
  <c r="E66" i="58"/>
  <c r="D66" i="58"/>
  <c r="B66" i="58"/>
  <c r="Q65" i="58"/>
  <c r="B65" i="58"/>
  <c r="O64" i="58"/>
  <c r="N64" i="58"/>
  <c r="M64" i="58"/>
  <c r="L64" i="58"/>
  <c r="K64" i="58"/>
  <c r="J64" i="58"/>
  <c r="I64" i="58"/>
  <c r="H64" i="58"/>
  <c r="G64" i="58"/>
  <c r="F64" i="58"/>
  <c r="E64" i="58"/>
  <c r="D64" i="58"/>
  <c r="B64" i="58"/>
  <c r="Q63" i="58"/>
  <c r="B63" i="58"/>
  <c r="Q62" i="58"/>
  <c r="B62" i="58"/>
  <c r="Q61" i="58"/>
  <c r="B61" i="58"/>
  <c r="O60" i="58"/>
  <c r="N60" i="58"/>
  <c r="M60" i="58"/>
  <c r="L60" i="58"/>
  <c r="K60" i="58"/>
  <c r="J60" i="58"/>
  <c r="I60" i="58"/>
  <c r="H60" i="58"/>
  <c r="G60" i="58"/>
  <c r="F60" i="58"/>
  <c r="E60" i="58"/>
  <c r="D60" i="58"/>
  <c r="B60" i="58"/>
  <c r="Q59" i="58"/>
  <c r="B59" i="58"/>
  <c r="O58" i="58"/>
  <c r="N58" i="58"/>
  <c r="M58" i="58"/>
  <c r="L58" i="58"/>
  <c r="K58" i="58"/>
  <c r="J58" i="58"/>
  <c r="I58" i="58"/>
  <c r="H58" i="58"/>
  <c r="G58" i="58"/>
  <c r="F58" i="58"/>
  <c r="E58" i="58"/>
  <c r="D58" i="58"/>
  <c r="B58" i="58"/>
  <c r="Q57" i="58"/>
  <c r="B57" i="58"/>
  <c r="O56" i="58"/>
  <c r="N56" i="58"/>
  <c r="M56" i="58"/>
  <c r="L56" i="58"/>
  <c r="K56" i="58"/>
  <c r="J56" i="58"/>
  <c r="I56" i="58"/>
  <c r="H56" i="58"/>
  <c r="G56" i="58"/>
  <c r="F56" i="58"/>
  <c r="E56" i="58"/>
  <c r="D56" i="58"/>
  <c r="Q56" i="58" s="1"/>
  <c r="B56" i="58"/>
  <c r="Q55" i="58"/>
  <c r="B55" i="58"/>
  <c r="Q54" i="58"/>
  <c r="B54" i="58"/>
  <c r="Q53" i="58"/>
  <c r="B53" i="58"/>
  <c r="O52" i="58"/>
  <c r="N52" i="58"/>
  <c r="M52" i="58"/>
  <c r="L52" i="58"/>
  <c r="K52" i="58"/>
  <c r="J52" i="58"/>
  <c r="I52" i="58"/>
  <c r="H52" i="58"/>
  <c r="G52" i="58"/>
  <c r="F52" i="58"/>
  <c r="E52" i="58"/>
  <c r="D52" i="58"/>
  <c r="B52" i="58"/>
  <c r="Q51" i="58"/>
  <c r="B51" i="58"/>
  <c r="O50" i="58"/>
  <c r="O17" i="58" s="1"/>
  <c r="N50" i="58"/>
  <c r="M50" i="58"/>
  <c r="L50" i="58"/>
  <c r="K50" i="58"/>
  <c r="J50" i="58"/>
  <c r="I50" i="58"/>
  <c r="H50" i="58"/>
  <c r="G50" i="58"/>
  <c r="F50" i="58"/>
  <c r="E50" i="58"/>
  <c r="D50" i="58"/>
  <c r="Q50" i="58" s="1"/>
  <c r="B50" i="58"/>
  <c r="Q49" i="58"/>
  <c r="B49" i="58"/>
  <c r="O48" i="58"/>
  <c r="N48" i="58"/>
  <c r="M48" i="58"/>
  <c r="L48" i="58"/>
  <c r="K48" i="58"/>
  <c r="J48" i="58"/>
  <c r="I48" i="58"/>
  <c r="H48" i="58"/>
  <c r="G48" i="58"/>
  <c r="F48" i="58"/>
  <c r="E48" i="58"/>
  <c r="D48" i="58"/>
  <c r="B48" i="58"/>
  <c r="Q47" i="58"/>
  <c r="B47" i="58"/>
  <c r="O46" i="58"/>
  <c r="N46" i="58"/>
  <c r="M46" i="58"/>
  <c r="L46" i="58"/>
  <c r="K46" i="58"/>
  <c r="J46" i="58"/>
  <c r="I46" i="58"/>
  <c r="H46" i="58"/>
  <c r="G46" i="58"/>
  <c r="F46" i="58"/>
  <c r="E46" i="58"/>
  <c r="D46" i="58"/>
  <c r="B46" i="58"/>
  <c r="Q45" i="58"/>
  <c r="B45" i="58"/>
  <c r="O44" i="58"/>
  <c r="N44" i="58"/>
  <c r="M44" i="58"/>
  <c r="L44" i="58"/>
  <c r="K44" i="58"/>
  <c r="J44" i="58"/>
  <c r="I44" i="58"/>
  <c r="H44" i="58"/>
  <c r="G44" i="58"/>
  <c r="F44" i="58"/>
  <c r="E44" i="58"/>
  <c r="D44" i="58"/>
  <c r="B44" i="58"/>
  <c r="Q43" i="58"/>
  <c r="B43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Q42" i="58" s="1"/>
  <c r="B42" i="58"/>
  <c r="Q41" i="58"/>
  <c r="B41" i="58"/>
  <c r="O40" i="58"/>
  <c r="N40" i="58"/>
  <c r="M40" i="58"/>
  <c r="L40" i="58"/>
  <c r="K40" i="58"/>
  <c r="J40" i="58"/>
  <c r="I40" i="58"/>
  <c r="H40" i="58"/>
  <c r="G40" i="58"/>
  <c r="F40" i="58"/>
  <c r="E40" i="58"/>
  <c r="D40" i="58"/>
  <c r="B40" i="58"/>
  <c r="Q39" i="58"/>
  <c r="B39" i="58"/>
  <c r="Q38" i="58"/>
  <c r="B38" i="58"/>
  <c r="Q37" i="58"/>
  <c r="B37" i="58"/>
  <c r="Q36" i="58"/>
  <c r="B36" i="58"/>
  <c r="Q35" i="58"/>
  <c r="B35" i="58"/>
  <c r="Q34" i="58"/>
  <c r="B34" i="58"/>
  <c r="Q33" i="58"/>
  <c r="B33" i="58"/>
  <c r="Q32" i="58"/>
  <c r="B32" i="58"/>
  <c r="Q31" i="58"/>
  <c r="B31" i="58"/>
  <c r="Q30" i="58"/>
  <c r="B30" i="58"/>
  <c r="O29" i="58"/>
  <c r="N29" i="58"/>
  <c r="M29" i="58"/>
  <c r="L29" i="58"/>
  <c r="K29" i="58"/>
  <c r="J29" i="58"/>
  <c r="I29" i="58"/>
  <c r="H29" i="58"/>
  <c r="G29" i="58"/>
  <c r="F29" i="58"/>
  <c r="E29" i="58"/>
  <c r="D29" i="58"/>
  <c r="B29" i="58"/>
  <c r="Q28" i="58"/>
  <c r="B28" i="58"/>
  <c r="Q27" i="58"/>
  <c r="B27" i="58"/>
  <c r="Q26" i="58"/>
  <c r="B26" i="58"/>
  <c r="Q25" i="58"/>
  <c r="B25" i="58"/>
  <c r="Q24" i="58"/>
  <c r="B24" i="58"/>
  <c r="Q23" i="58"/>
  <c r="B23" i="58"/>
  <c r="Q22" i="58"/>
  <c r="B22" i="58"/>
  <c r="Q21" i="58"/>
  <c r="B21" i="58"/>
  <c r="Q20" i="58"/>
  <c r="B20" i="58"/>
  <c r="Q19" i="58"/>
  <c r="B19" i="58"/>
  <c r="O18" i="58"/>
  <c r="N18" i="58"/>
  <c r="M18" i="58"/>
  <c r="L18" i="58"/>
  <c r="K18" i="58"/>
  <c r="J18" i="58"/>
  <c r="I18" i="58"/>
  <c r="H18" i="58"/>
  <c r="G18" i="58"/>
  <c r="F18" i="58"/>
  <c r="E18" i="58"/>
  <c r="D18" i="58"/>
  <c r="B18" i="58"/>
  <c r="O15" i="58"/>
  <c r="N15" i="58"/>
  <c r="H15" i="58"/>
  <c r="F15" i="58"/>
  <c r="O14" i="58"/>
  <c r="N14" i="58"/>
  <c r="J14" i="58"/>
  <c r="Q12" i="58"/>
  <c r="Q14" i="58" s="1"/>
  <c r="Q15" i="58" s="1"/>
  <c r="O12" i="58"/>
  <c r="N12" i="58"/>
  <c r="M12" i="58"/>
  <c r="L12" i="58"/>
  <c r="K12" i="58"/>
  <c r="K14" i="58" s="1"/>
  <c r="J12" i="58"/>
  <c r="I12" i="58"/>
  <c r="H12" i="58"/>
  <c r="G12" i="58"/>
  <c r="G14" i="58" s="1"/>
  <c r="F12" i="58"/>
  <c r="E12" i="58"/>
  <c r="D12" i="58"/>
  <c r="D14" i="58" s="1"/>
  <c r="Q10" i="58"/>
  <c r="O10" i="58"/>
  <c r="N10" i="58"/>
  <c r="M10" i="58"/>
  <c r="M14" i="58" s="1"/>
  <c r="L10" i="58"/>
  <c r="L14" i="58" s="1"/>
  <c r="K10" i="58"/>
  <c r="J10" i="58"/>
  <c r="I10" i="58"/>
  <c r="I14" i="58" s="1"/>
  <c r="H10" i="58"/>
  <c r="H14" i="58" s="1"/>
  <c r="G10" i="58"/>
  <c r="F10" i="58"/>
  <c r="F14" i="58" s="1"/>
  <c r="E10" i="58"/>
  <c r="E14" i="58" s="1"/>
  <c r="D10" i="58"/>
  <c r="O8" i="58"/>
  <c r="N8" i="58"/>
  <c r="M8" i="58"/>
  <c r="L8" i="58"/>
  <c r="K8" i="58"/>
  <c r="J8" i="58"/>
  <c r="I8" i="58"/>
  <c r="H8" i="58"/>
  <c r="G8" i="58"/>
  <c r="F8" i="58"/>
  <c r="E8" i="58"/>
  <c r="D8" i="58"/>
  <c r="B5" i="58"/>
  <c r="Q70" i="57"/>
  <c r="G65" i="57"/>
  <c r="F65" i="57"/>
  <c r="E65" i="57"/>
  <c r="D65" i="57"/>
  <c r="Q65" i="57" s="1"/>
  <c r="Q63" i="57"/>
  <c r="B63" i="57"/>
  <c r="O62" i="57"/>
  <c r="N62" i="57"/>
  <c r="M62" i="57"/>
  <c r="L62" i="57"/>
  <c r="K62" i="57"/>
  <c r="J62" i="57"/>
  <c r="I62" i="57"/>
  <c r="H62" i="57"/>
  <c r="G62" i="57"/>
  <c r="F62" i="57"/>
  <c r="E62" i="57"/>
  <c r="D62" i="57"/>
  <c r="Q62" i="57" s="1"/>
  <c r="B62" i="57"/>
  <c r="Q61" i="57"/>
  <c r="B61" i="57"/>
  <c r="O60" i="57"/>
  <c r="N60" i="57"/>
  <c r="M60" i="57"/>
  <c r="L60" i="57"/>
  <c r="K60" i="57"/>
  <c r="J60" i="57"/>
  <c r="I60" i="57"/>
  <c r="H60" i="57"/>
  <c r="G60" i="57"/>
  <c r="F60" i="57"/>
  <c r="E60" i="57"/>
  <c r="D60" i="57"/>
  <c r="B60" i="57"/>
  <c r="Q59" i="57"/>
  <c r="B59" i="57"/>
  <c r="O58" i="57"/>
  <c r="N58" i="57"/>
  <c r="M58" i="57"/>
  <c r="L58" i="57"/>
  <c r="K58" i="57"/>
  <c r="K17" i="57" s="1"/>
  <c r="J58" i="57"/>
  <c r="J17" i="57" s="1"/>
  <c r="I58" i="57"/>
  <c r="H58" i="57"/>
  <c r="G58" i="57"/>
  <c r="F58" i="57"/>
  <c r="E58" i="57"/>
  <c r="D58" i="57"/>
  <c r="B58" i="57"/>
  <c r="Q57" i="57"/>
  <c r="B57" i="57"/>
  <c r="Q56" i="57"/>
  <c r="B56" i="57"/>
  <c r="O55" i="57"/>
  <c r="N55" i="57"/>
  <c r="M55" i="57"/>
  <c r="L55" i="57"/>
  <c r="K55" i="57"/>
  <c r="J55" i="57"/>
  <c r="I55" i="57"/>
  <c r="H55" i="57"/>
  <c r="G55" i="57"/>
  <c r="F55" i="57"/>
  <c r="E55" i="57"/>
  <c r="D55" i="57"/>
  <c r="Q55" i="57" s="1"/>
  <c r="B55" i="57"/>
  <c r="Q54" i="57"/>
  <c r="B54" i="57"/>
  <c r="O53" i="57"/>
  <c r="N53" i="57"/>
  <c r="M53" i="57"/>
  <c r="L53" i="57"/>
  <c r="K53" i="57"/>
  <c r="J53" i="57"/>
  <c r="I53" i="57"/>
  <c r="H53" i="57"/>
  <c r="G53" i="57"/>
  <c r="F53" i="57"/>
  <c r="E53" i="57"/>
  <c r="D53" i="57"/>
  <c r="B53" i="57"/>
  <c r="Q52" i="57"/>
  <c r="B52" i="57"/>
  <c r="Q51" i="57"/>
  <c r="B51" i="57"/>
  <c r="O50" i="57"/>
  <c r="N50" i="57"/>
  <c r="M50" i="57"/>
  <c r="L50" i="57"/>
  <c r="K50" i="57"/>
  <c r="J50" i="57"/>
  <c r="I50" i="57"/>
  <c r="H50" i="57"/>
  <c r="G50" i="57"/>
  <c r="F50" i="57"/>
  <c r="E50" i="57"/>
  <c r="D50" i="57"/>
  <c r="Q50" i="57" s="1"/>
  <c r="B50" i="57"/>
  <c r="Q49" i="57"/>
  <c r="B49" i="57"/>
  <c r="O48" i="57"/>
  <c r="N48" i="57"/>
  <c r="M48" i="57"/>
  <c r="L48" i="57"/>
  <c r="K48" i="57"/>
  <c r="J48" i="57"/>
  <c r="I48" i="57"/>
  <c r="H48" i="57"/>
  <c r="G48" i="57"/>
  <c r="F48" i="57"/>
  <c r="E48" i="57"/>
  <c r="D48" i="57"/>
  <c r="Q48" i="57" s="1"/>
  <c r="B48" i="57"/>
  <c r="Q47" i="57"/>
  <c r="B47" i="57"/>
  <c r="O46" i="57"/>
  <c r="N46" i="57"/>
  <c r="M46" i="57"/>
  <c r="L46" i="57"/>
  <c r="K46" i="57"/>
  <c r="J46" i="57"/>
  <c r="I46" i="57"/>
  <c r="H46" i="57"/>
  <c r="G46" i="57"/>
  <c r="F46" i="57"/>
  <c r="E46" i="57"/>
  <c r="D46" i="57"/>
  <c r="B46" i="57"/>
  <c r="Q45" i="57"/>
  <c r="B45" i="57"/>
  <c r="Q44" i="57"/>
  <c r="B44" i="57"/>
  <c r="O43" i="57"/>
  <c r="N43" i="57"/>
  <c r="M43" i="57"/>
  <c r="L43" i="57"/>
  <c r="K43" i="57"/>
  <c r="J43" i="57"/>
  <c r="I43" i="57"/>
  <c r="H43" i="57"/>
  <c r="G43" i="57"/>
  <c r="F43" i="57"/>
  <c r="E43" i="57"/>
  <c r="D43" i="57"/>
  <c r="B43" i="57"/>
  <c r="Q42" i="57"/>
  <c r="B42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Q41" i="57" s="1"/>
  <c r="B41" i="57"/>
  <c r="Q40" i="57"/>
  <c r="B40" i="57"/>
  <c r="O39" i="57"/>
  <c r="O17" i="57" s="1"/>
  <c r="N39" i="57"/>
  <c r="M39" i="57"/>
  <c r="L39" i="57"/>
  <c r="K39" i="57"/>
  <c r="J39" i="57"/>
  <c r="I39" i="57"/>
  <c r="H39" i="57"/>
  <c r="G39" i="57"/>
  <c r="F39" i="57"/>
  <c r="E39" i="57"/>
  <c r="D39" i="57"/>
  <c r="B39" i="57"/>
  <c r="Q38" i="57"/>
  <c r="B38" i="57"/>
  <c r="Q37" i="57"/>
  <c r="B37" i="57"/>
  <c r="Q36" i="57"/>
  <c r="B36" i="57"/>
  <c r="Q35" i="57"/>
  <c r="B35" i="57"/>
  <c r="Q34" i="57"/>
  <c r="B34" i="57"/>
  <c r="Q33" i="57"/>
  <c r="B33" i="57"/>
  <c r="Q32" i="57"/>
  <c r="B32" i="57"/>
  <c r="Q31" i="57"/>
  <c r="B31" i="57"/>
  <c r="Q30" i="57"/>
  <c r="B30" i="57"/>
  <c r="Q29" i="57"/>
  <c r="B29" i="57"/>
  <c r="O28" i="57"/>
  <c r="N28" i="57"/>
  <c r="M28" i="57"/>
  <c r="L28" i="57"/>
  <c r="L17" i="57" s="1"/>
  <c r="K28" i="57"/>
  <c r="J28" i="57"/>
  <c r="I28" i="57"/>
  <c r="H28" i="57"/>
  <c r="G28" i="57"/>
  <c r="F28" i="57"/>
  <c r="E28" i="57"/>
  <c r="E17" i="57" s="1"/>
  <c r="D28" i="57"/>
  <c r="Q28" i="57" s="1"/>
  <c r="B28" i="57"/>
  <c r="Q27" i="57"/>
  <c r="B27" i="57"/>
  <c r="Q26" i="57"/>
  <c r="B26" i="57"/>
  <c r="Q25" i="57"/>
  <c r="B25" i="57"/>
  <c r="Q24" i="57"/>
  <c r="B24" i="57"/>
  <c r="Q23" i="57"/>
  <c r="B23" i="57"/>
  <c r="Q22" i="57"/>
  <c r="B22" i="57"/>
  <c r="Q21" i="57"/>
  <c r="B21" i="57"/>
  <c r="Q20" i="57"/>
  <c r="B20" i="57"/>
  <c r="Q19" i="57"/>
  <c r="B19" i="57"/>
  <c r="O18" i="57"/>
  <c r="N18" i="57"/>
  <c r="M18" i="57"/>
  <c r="M17" i="57" s="1"/>
  <c r="L18" i="57"/>
  <c r="K18" i="57"/>
  <c r="J18" i="57"/>
  <c r="I18" i="57"/>
  <c r="H18" i="57"/>
  <c r="G18" i="57"/>
  <c r="F18" i="57"/>
  <c r="E18" i="57"/>
  <c r="D18" i="57"/>
  <c r="B18" i="57"/>
  <c r="I17" i="57"/>
  <c r="H17" i="57"/>
  <c r="H67" i="57" s="1"/>
  <c r="I15" i="57"/>
  <c r="M14" i="57"/>
  <c r="L14" i="57"/>
  <c r="L15" i="57" s="1"/>
  <c r="J14" i="57"/>
  <c r="J15" i="57" s="1"/>
  <c r="E14" i="57"/>
  <c r="Q12" i="57"/>
  <c r="O12" i="57"/>
  <c r="N12" i="57"/>
  <c r="M12" i="57"/>
  <c r="L12" i="57"/>
  <c r="K12" i="57"/>
  <c r="K14" i="57" s="1"/>
  <c r="J12" i="57"/>
  <c r="I12" i="57"/>
  <c r="H12" i="57"/>
  <c r="G12" i="57"/>
  <c r="F12" i="57"/>
  <c r="F14" i="57" s="1"/>
  <c r="F15" i="57" s="1"/>
  <c r="E12" i="57"/>
  <c r="D12" i="57"/>
  <c r="Q10" i="57"/>
  <c r="Q14" i="57" s="1"/>
  <c r="O10" i="57"/>
  <c r="O14" i="57" s="1"/>
  <c r="N10" i="57"/>
  <c r="M10" i="57"/>
  <c r="L10" i="57"/>
  <c r="K10" i="57"/>
  <c r="J10" i="57"/>
  <c r="I10" i="57"/>
  <c r="I14" i="57" s="1"/>
  <c r="H10" i="57"/>
  <c r="H14" i="57" s="1"/>
  <c r="H15" i="57" s="1"/>
  <c r="G10" i="57"/>
  <c r="G14" i="57" s="1"/>
  <c r="G15" i="57" s="1"/>
  <c r="F10" i="57"/>
  <c r="E10" i="57"/>
  <c r="D10" i="57"/>
  <c r="D14" i="57" s="1"/>
  <c r="O8" i="57"/>
  <c r="N8" i="57"/>
  <c r="M8" i="57"/>
  <c r="L8" i="57"/>
  <c r="K8" i="57"/>
  <c r="J8" i="57"/>
  <c r="I8" i="57"/>
  <c r="H8" i="57"/>
  <c r="G8" i="57"/>
  <c r="F8" i="57"/>
  <c r="E8" i="57"/>
  <c r="D8" i="57"/>
  <c r="B5" i="57"/>
  <c r="Q80" i="56"/>
  <c r="H78" i="56"/>
  <c r="G75" i="56"/>
  <c r="F75" i="56"/>
  <c r="E75" i="56"/>
  <c r="D75" i="56"/>
  <c r="Q75" i="56" s="1"/>
  <c r="Q73" i="56"/>
  <c r="B73" i="56"/>
  <c r="O72" i="56"/>
  <c r="N72" i="56"/>
  <c r="M72" i="56"/>
  <c r="L72" i="56"/>
  <c r="K72" i="56"/>
  <c r="J72" i="56"/>
  <c r="I72" i="56"/>
  <c r="H72" i="56"/>
  <c r="G72" i="56"/>
  <c r="F72" i="56"/>
  <c r="E72" i="56"/>
  <c r="D72" i="56"/>
  <c r="Q72" i="56" s="1"/>
  <c r="B72" i="56"/>
  <c r="Q71" i="56"/>
  <c r="B71" i="56"/>
  <c r="O70" i="56"/>
  <c r="N70" i="56"/>
  <c r="M70" i="56"/>
  <c r="L70" i="56"/>
  <c r="K70" i="56"/>
  <c r="J70" i="56"/>
  <c r="I70" i="56"/>
  <c r="H70" i="56"/>
  <c r="G70" i="56"/>
  <c r="F70" i="56"/>
  <c r="E70" i="56"/>
  <c r="D70" i="56"/>
  <c r="B70" i="56"/>
  <c r="Q69" i="56"/>
  <c r="B69" i="56"/>
  <c r="O68" i="56"/>
  <c r="N68" i="56"/>
  <c r="M68" i="56"/>
  <c r="L68" i="56"/>
  <c r="K68" i="56"/>
  <c r="J68" i="56"/>
  <c r="I68" i="56"/>
  <c r="H68" i="56"/>
  <c r="G68" i="56"/>
  <c r="F68" i="56"/>
  <c r="E68" i="56"/>
  <c r="D68" i="56"/>
  <c r="B68" i="56"/>
  <c r="Q67" i="56"/>
  <c r="B67" i="56"/>
  <c r="Q66" i="56"/>
  <c r="B66" i="56"/>
  <c r="Q65" i="56"/>
  <c r="B65" i="56"/>
  <c r="O64" i="56"/>
  <c r="N64" i="56"/>
  <c r="M64" i="56"/>
  <c r="L64" i="56"/>
  <c r="K64" i="56"/>
  <c r="J64" i="56"/>
  <c r="I64" i="56"/>
  <c r="H64" i="56"/>
  <c r="G64" i="56"/>
  <c r="F64" i="56"/>
  <c r="E64" i="56"/>
  <c r="D64" i="56"/>
  <c r="Q64" i="56" s="1"/>
  <c r="B64" i="56"/>
  <c r="Q63" i="56"/>
  <c r="B63" i="56"/>
  <c r="O62" i="56"/>
  <c r="N62" i="56"/>
  <c r="M62" i="56"/>
  <c r="L62" i="56"/>
  <c r="K62" i="56"/>
  <c r="J62" i="56"/>
  <c r="I62" i="56"/>
  <c r="H62" i="56"/>
  <c r="G62" i="56"/>
  <c r="F62" i="56"/>
  <c r="E62" i="56"/>
  <c r="D62" i="56"/>
  <c r="B62" i="56"/>
  <c r="Q61" i="56"/>
  <c r="B61" i="56"/>
  <c r="O60" i="56"/>
  <c r="N60" i="56"/>
  <c r="M60" i="56"/>
  <c r="L60" i="56"/>
  <c r="K60" i="56"/>
  <c r="J60" i="56"/>
  <c r="I60" i="56"/>
  <c r="H60" i="56"/>
  <c r="G60" i="56"/>
  <c r="F60" i="56"/>
  <c r="E60" i="56"/>
  <c r="D60" i="56"/>
  <c r="Q60" i="56" s="1"/>
  <c r="B60" i="56"/>
  <c r="Q59" i="56"/>
  <c r="B59" i="56"/>
  <c r="Q58" i="56"/>
  <c r="B58" i="56"/>
  <c r="Q57" i="56"/>
  <c r="B57" i="56"/>
  <c r="O56" i="56"/>
  <c r="N56" i="56"/>
  <c r="M56" i="56"/>
  <c r="L56" i="56"/>
  <c r="K56" i="56"/>
  <c r="J56" i="56"/>
  <c r="I56" i="56"/>
  <c r="H56" i="56"/>
  <c r="G56" i="56"/>
  <c r="F56" i="56"/>
  <c r="E56" i="56"/>
  <c r="D56" i="56"/>
  <c r="B56" i="56"/>
  <c r="Q55" i="56"/>
  <c r="B55" i="56"/>
  <c r="O54" i="56"/>
  <c r="N54" i="56"/>
  <c r="M54" i="56"/>
  <c r="L54" i="56"/>
  <c r="K54" i="56"/>
  <c r="J54" i="56"/>
  <c r="I54" i="56"/>
  <c r="H54" i="56"/>
  <c r="G54" i="56"/>
  <c r="F54" i="56"/>
  <c r="E54" i="56"/>
  <c r="D54" i="56"/>
  <c r="Q54" i="56" s="1"/>
  <c r="B54" i="56"/>
  <c r="Q53" i="56"/>
  <c r="B53" i="56"/>
  <c r="O52" i="56"/>
  <c r="N52" i="56"/>
  <c r="M52" i="56"/>
  <c r="L52" i="56"/>
  <c r="K52" i="56"/>
  <c r="J52" i="56"/>
  <c r="I52" i="56"/>
  <c r="H52" i="56"/>
  <c r="G52" i="56"/>
  <c r="F52" i="56"/>
  <c r="E52" i="56"/>
  <c r="D52" i="56"/>
  <c r="B52" i="56"/>
  <c r="Q51" i="56"/>
  <c r="B51" i="56"/>
  <c r="O50" i="56"/>
  <c r="N50" i="56"/>
  <c r="M50" i="56"/>
  <c r="L50" i="56"/>
  <c r="K50" i="56"/>
  <c r="J50" i="56"/>
  <c r="I50" i="56"/>
  <c r="H50" i="56"/>
  <c r="G50" i="56"/>
  <c r="F50" i="56"/>
  <c r="E50" i="56"/>
  <c r="D50" i="56"/>
  <c r="Q50" i="56" s="1"/>
  <c r="B50" i="56"/>
  <c r="Q49" i="56"/>
  <c r="B49" i="56"/>
  <c r="O48" i="56"/>
  <c r="N48" i="56"/>
  <c r="M48" i="56"/>
  <c r="L48" i="56"/>
  <c r="K48" i="56"/>
  <c r="J48" i="56"/>
  <c r="I48" i="56"/>
  <c r="H48" i="56"/>
  <c r="G48" i="56"/>
  <c r="F48" i="56"/>
  <c r="E48" i="56"/>
  <c r="D48" i="56"/>
  <c r="Q48" i="56" s="1"/>
  <c r="B48" i="56"/>
  <c r="Q47" i="56"/>
  <c r="B47" i="56"/>
  <c r="O46" i="56"/>
  <c r="N46" i="56"/>
  <c r="M46" i="56"/>
  <c r="L46" i="56"/>
  <c r="K46" i="56"/>
  <c r="J46" i="56"/>
  <c r="I46" i="56"/>
  <c r="H46" i="56"/>
  <c r="G46" i="56"/>
  <c r="F46" i="56"/>
  <c r="E46" i="56"/>
  <c r="D46" i="56"/>
  <c r="B46" i="56"/>
  <c r="Q45" i="56"/>
  <c r="B45" i="56"/>
  <c r="Q44" i="56"/>
  <c r="B44" i="56"/>
  <c r="O43" i="56"/>
  <c r="N43" i="56"/>
  <c r="M43" i="56"/>
  <c r="L43" i="56"/>
  <c r="K43" i="56"/>
  <c r="J43" i="56"/>
  <c r="I43" i="56"/>
  <c r="H43" i="56"/>
  <c r="G43" i="56"/>
  <c r="F43" i="56"/>
  <c r="E43" i="56"/>
  <c r="D43" i="56"/>
  <c r="Q43" i="56" s="1"/>
  <c r="B43" i="56"/>
  <c r="Q42" i="56"/>
  <c r="B42" i="56"/>
  <c r="O41" i="56"/>
  <c r="N41" i="56"/>
  <c r="M41" i="56"/>
  <c r="L41" i="56"/>
  <c r="K41" i="56"/>
  <c r="J41" i="56"/>
  <c r="I41" i="56"/>
  <c r="H41" i="56"/>
  <c r="G41" i="56"/>
  <c r="F41" i="56"/>
  <c r="E41" i="56"/>
  <c r="D41" i="56"/>
  <c r="B41" i="56"/>
  <c r="Q40" i="56"/>
  <c r="B40" i="56"/>
  <c r="O39" i="56"/>
  <c r="N39" i="56"/>
  <c r="M39" i="56"/>
  <c r="M17" i="56" s="1"/>
  <c r="L39" i="56"/>
  <c r="K39" i="56"/>
  <c r="J39" i="56"/>
  <c r="I39" i="56"/>
  <c r="H39" i="56"/>
  <c r="G39" i="56"/>
  <c r="F39" i="56"/>
  <c r="E39" i="56"/>
  <c r="D39" i="56"/>
  <c r="B39" i="56"/>
  <c r="Q38" i="56"/>
  <c r="B38" i="56"/>
  <c r="Q37" i="56"/>
  <c r="B37" i="56"/>
  <c r="Q36" i="56"/>
  <c r="B36" i="56"/>
  <c r="Q35" i="56"/>
  <c r="B35" i="56"/>
  <c r="Q34" i="56"/>
  <c r="B34" i="56"/>
  <c r="Q33" i="56"/>
  <c r="B33" i="56"/>
  <c r="Q32" i="56"/>
  <c r="B32" i="56"/>
  <c r="Q31" i="56"/>
  <c r="B31" i="56"/>
  <c r="Q30" i="56"/>
  <c r="B30" i="56"/>
  <c r="Q29" i="56"/>
  <c r="B29" i="56"/>
  <c r="O28" i="56"/>
  <c r="N28" i="56"/>
  <c r="M28" i="56"/>
  <c r="L28" i="56"/>
  <c r="K28" i="56"/>
  <c r="J28" i="56"/>
  <c r="J17" i="56" s="1"/>
  <c r="I28" i="56"/>
  <c r="I17" i="56" s="1"/>
  <c r="H28" i="56"/>
  <c r="H17" i="56" s="1"/>
  <c r="H77" i="56" s="1"/>
  <c r="H82" i="56" s="1"/>
  <c r="G28" i="56"/>
  <c r="F28" i="56"/>
  <c r="E28" i="56"/>
  <c r="D28" i="56"/>
  <c r="B28" i="56"/>
  <c r="Q27" i="56"/>
  <c r="B27" i="56"/>
  <c r="Q26" i="56"/>
  <c r="B26" i="56"/>
  <c r="Q25" i="56"/>
  <c r="B25" i="56"/>
  <c r="Q24" i="56"/>
  <c r="B24" i="56"/>
  <c r="Q23" i="56"/>
  <c r="B23" i="56"/>
  <c r="Q22" i="56"/>
  <c r="B22" i="56"/>
  <c r="Q21" i="56"/>
  <c r="B21" i="56"/>
  <c r="Q20" i="56"/>
  <c r="B20" i="56"/>
  <c r="Q19" i="56"/>
  <c r="B19" i="56"/>
  <c r="O18" i="56"/>
  <c r="N18" i="56"/>
  <c r="M18" i="56"/>
  <c r="L18" i="56"/>
  <c r="K18" i="56"/>
  <c r="J18" i="56"/>
  <c r="I18" i="56"/>
  <c r="H18" i="56"/>
  <c r="G18" i="56"/>
  <c r="F18" i="56"/>
  <c r="F17" i="56" s="1"/>
  <c r="E18" i="56"/>
  <c r="E17" i="56" s="1"/>
  <c r="D18" i="56"/>
  <c r="D17" i="56" s="1"/>
  <c r="B18" i="56"/>
  <c r="G17" i="56"/>
  <c r="H15" i="56"/>
  <c r="G15" i="56"/>
  <c r="O14" i="56"/>
  <c r="O15" i="56" s="1"/>
  <c r="K14" i="56"/>
  <c r="J14" i="56"/>
  <c r="H14" i="56"/>
  <c r="Q12" i="56"/>
  <c r="Q14" i="56" s="1"/>
  <c r="O12" i="56"/>
  <c r="N12" i="56"/>
  <c r="M12" i="56"/>
  <c r="L12" i="56"/>
  <c r="K12" i="56"/>
  <c r="J12" i="56"/>
  <c r="I12" i="56"/>
  <c r="I14" i="56" s="1"/>
  <c r="H12" i="56"/>
  <c r="G12" i="56"/>
  <c r="F12" i="56"/>
  <c r="E12" i="56"/>
  <c r="D12" i="56"/>
  <c r="D14" i="56" s="1"/>
  <c r="Q10" i="56"/>
  <c r="O10" i="56"/>
  <c r="N10" i="56"/>
  <c r="N14" i="56" s="1"/>
  <c r="M10" i="56"/>
  <c r="M14" i="56" s="1"/>
  <c r="L10" i="56"/>
  <c r="L14" i="56" s="1"/>
  <c r="K10" i="56"/>
  <c r="J10" i="56"/>
  <c r="I10" i="56"/>
  <c r="H10" i="56"/>
  <c r="G10" i="56"/>
  <c r="G14" i="56" s="1"/>
  <c r="F10" i="56"/>
  <c r="F14" i="56" s="1"/>
  <c r="E10" i="56"/>
  <c r="E14" i="56" s="1"/>
  <c r="D10" i="56"/>
  <c r="O8" i="56"/>
  <c r="N8" i="56"/>
  <c r="M8" i="56"/>
  <c r="L8" i="56"/>
  <c r="K8" i="56"/>
  <c r="J8" i="56"/>
  <c r="I8" i="56"/>
  <c r="H8" i="56"/>
  <c r="G8" i="56"/>
  <c r="F8" i="56"/>
  <c r="E8" i="56"/>
  <c r="D8" i="56"/>
  <c r="B5" i="56"/>
  <c r="Q35" i="55"/>
  <c r="G30" i="55"/>
  <c r="F30" i="55"/>
  <c r="E30" i="55"/>
  <c r="D30" i="55"/>
  <c r="Q30" i="55" s="1"/>
  <c r="Q28" i="55"/>
  <c r="B28" i="55"/>
  <c r="Q27" i="55"/>
  <c r="B27" i="55"/>
  <c r="O26" i="55"/>
  <c r="N26" i="55"/>
  <c r="M26" i="55"/>
  <c r="L26" i="55"/>
  <c r="K26" i="55"/>
  <c r="J26" i="55"/>
  <c r="I26" i="55"/>
  <c r="H26" i="55"/>
  <c r="G26" i="55"/>
  <c r="F26" i="55"/>
  <c r="E26" i="55"/>
  <c r="D26" i="55"/>
  <c r="Q26" i="55" s="1"/>
  <c r="B26" i="55"/>
  <c r="Q25" i="55"/>
  <c r="B25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B24" i="55"/>
  <c r="Q23" i="55"/>
  <c r="B23" i="55"/>
  <c r="O22" i="55"/>
  <c r="N22" i="55"/>
  <c r="N17" i="55" s="1"/>
  <c r="M22" i="55"/>
  <c r="L22" i="55"/>
  <c r="K22" i="55"/>
  <c r="J22" i="55"/>
  <c r="I22" i="55"/>
  <c r="H22" i="55"/>
  <c r="G22" i="55"/>
  <c r="F22" i="55"/>
  <c r="E22" i="55"/>
  <c r="D22" i="55"/>
  <c r="Q22" i="55" s="1"/>
  <c r="B22" i="55"/>
  <c r="Q21" i="55"/>
  <c r="B21" i="55"/>
  <c r="O20" i="55"/>
  <c r="N20" i="55"/>
  <c r="M20" i="55"/>
  <c r="L20" i="55"/>
  <c r="K20" i="55"/>
  <c r="J20" i="55"/>
  <c r="I20" i="55"/>
  <c r="H20" i="55"/>
  <c r="G20" i="55"/>
  <c r="F20" i="55"/>
  <c r="E20" i="55"/>
  <c r="E17" i="55" s="1"/>
  <c r="D20" i="55"/>
  <c r="Q20" i="55" s="1"/>
  <c r="B20" i="55"/>
  <c r="Q19" i="55"/>
  <c r="B19" i="55"/>
  <c r="O18" i="55"/>
  <c r="O17" i="55" s="1"/>
  <c r="N18" i="55"/>
  <c r="M18" i="55"/>
  <c r="L18" i="55"/>
  <c r="K18" i="55"/>
  <c r="J18" i="55"/>
  <c r="I18" i="55"/>
  <c r="H18" i="55"/>
  <c r="H17" i="55" s="1"/>
  <c r="G18" i="55"/>
  <c r="F18" i="55"/>
  <c r="E18" i="55"/>
  <c r="D18" i="55"/>
  <c r="B18" i="55"/>
  <c r="M17" i="55"/>
  <c r="L17" i="55"/>
  <c r="K17" i="55"/>
  <c r="J17" i="55"/>
  <c r="L14" i="55"/>
  <c r="L15" i="55" s="1"/>
  <c r="G14" i="55"/>
  <c r="G15" i="55" s="1"/>
  <c r="Q12" i="55"/>
  <c r="O12" i="55"/>
  <c r="N12" i="55"/>
  <c r="N14" i="55" s="1"/>
  <c r="M12" i="55"/>
  <c r="M14" i="55" s="1"/>
  <c r="L12" i="55"/>
  <c r="K12" i="55"/>
  <c r="J12" i="55"/>
  <c r="I12" i="55"/>
  <c r="H12" i="55"/>
  <c r="H14" i="55" s="1"/>
  <c r="H15" i="55" s="1"/>
  <c r="G12" i="55"/>
  <c r="F12" i="55"/>
  <c r="E12" i="55"/>
  <c r="D12" i="55"/>
  <c r="Q10" i="55"/>
  <c r="Q14" i="55" s="1"/>
  <c r="O10" i="55"/>
  <c r="N10" i="55"/>
  <c r="M10" i="55"/>
  <c r="L10" i="55"/>
  <c r="K10" i="55"/>
  <c r="K14" i="55" s="1"/>
  <c r="J10" i="55"/>
  <c r="J14" i="55" s="1"/>
  <c r="I10" i="55"/>
  <c r="I14" i="55" s="1"/>
  <c r="I15" i="55" s="1"/>
  <c r="H10" i="55"/>
  <c r="G10" i="55"/>
  <c r="F10" i="55"/>
  <c r="F14" i="55" s="1"/>
  <c r="F15" i="55" s="1"/>
  <c r="E10" i="55"/>
  <c r="E14" i="55" s="1"/>
  <c r="D10" i="55"/>
  <c r="D14" i="55" s="1"/>
  <c r="O8" i="55"/>
  <c r="N8" i="55"/>
  <c r="M8" i="55"/>
  <c r="L8" i="55"/>
  <c r="K8" i="55"/>
  <c r="J8" i="55"/>
  <c r="I8" i="55"/>
  <c r="H8" i="55"/>
  <c r="G8" i="55"/>
  <c r="F8" i="55"/>
  <c r="E8" i="55"/>
  <c r="D8" i="55"/>
  <c r="B5" i="55"/>
  <c r="O30" i="54"/>
  <c r="N30" i="54"/>
  <c r="M30" i="54"/>
  <c r="L30" i="54"/>
  <c r="K30" i="54"/>
  <c r="J30" i="54"/>
  <c r="I30" i="54"/>
  <c r="H30" i="54"/>
  <c r="G30" i="54"/>
  <c r="F30" i="54"/>
  <c r="E30" i="54"/>
  <c r="D30" i="54"/>
  <c r="O29" i="54"/>
  <c r="N29" i="54"/>
  <c r="M29" i="54"/>
  <c r="L29" i="54"/>
  <c r="K29" i="54"/>
  <c r="J29" i="54"/>
  <c r="I29" i="54"/>
  <c r="H29" i="54"/>
  <c r="G29" i="54"/>
  <c r="F29" i="54"/>
  <c r="E29" i="54"/>
  <c r="D29" i="54"/>
  <c r="Q24" i="54"/>
  <c r="O21" i="54"/>
  <c r="N21" i="54"/>
  <c r="G19" i="54"/>
  <c r="Q19" i="54" s="1"/>
  <c r="F19" i="54"/>
  <c r="E19" i="54"/>
  <c r="D19" i="54"/>
  <c r="Q17" i="54"/>
  <c r="O17" i="54"/>
  <c r="N17" i="54"/>
  <c r="M17" i="54"/>
  <c r="L17" i="54"/>
  <c r="K17" i="54"/>
  <c r="J17" i="54"/>
  <c r="I17" i="54"/>
  <c r="H17" i="54"/>
  <c r="G17" i="54"/>
  <c r="F17" i="54"/>
  <c r="E17" i="54"/>
  <c r="D17" i="54"/>
  <c r="H15" i="54"/>
  <c r="G15" i="54"/>
  <c r="O14" i="54"/>
  <c r="O15" i="54" s="1"/>
  <c r="I14" i="54"/>
  <c r="I21" i="54" s="1"/>
  <c r="I22" i="54" s="1"/>
  <c r="H14" i="54"/>
  <c r="Q12" i="54"/>
  <c r="Q14" i="54" s="1"/>
  <c r="O12" i="54"/>
  <c r="N12" i="54"/>
  <c r="M12" i="54"/>
  <c r="L12" i="54"/>
  <c r="K12" i="54"/>
  <c r="J12" i="54"/>
  <c r="J14" i="54" s="1"/>
  <c r="I12" i="54"/>
  <c r="H12" i="54"/>
  <c r="G12" i="54"/>
  <c r="F12" i="54"/>
  <c r="E12" i="54"/>
  <c r="D12" i="54"/>
  <c r="D14" i="54" s="1"/>
  <c r="Q10" i="54"/>
  <c r="O10" i="54"/>
  <c r="N10" i="54"/>
  <c r="N14" i="54" s="1"/>
  <c r="N15" i="54" s="1"/>
  <c r="M10" i="54"/>
  <c r="M14" i="54" s="1"/>
  <c r="M15" i="54" s="1"/>
  <c r="L10" i="54"/>
  <c r="L14" i="54" s="1"/>
  <c r="K10" i="54"/>
  <c r="J10" i="54"/>
  <c r="I10" i="54"/>
  <c r="H10" i="54"/>
  <c r="G10" i="54"/>
  <c r="G14" i="54" s="1"/>
  <c r="G21" i="54" s="1"/>
  <c r="F10" i="54"/>
  <c r="F14" i="54" s="1"/>
  <c r="E10" i="54"/>
  <c r="E14" i="54" s="1"/>
  <c r="D10" i="54"/>
  <c r="O8" i="54"/>
  <c r="N8" i="54"/>
  <c r="M8" i="54"/>
  <c r="L8" i="54"/>
  <c r="K8" i="54"/>
  <c r="J8" i="54"/>
  <c r="I8" i="54"/>
  <c r="H8" i="54"/>
  <c r="G8" i="54"/>
  <c r="F8" i="54"/>
  <c r="E8" i="54"/>
  <c r="D8" i="54"/>
  <c r="B5" i="54"/>
  <c r="Q100" i="51"/>
  <c r="G95" i="51"/>
  <c r="F95" i="51"/>
  <c r="E95" i="51"/>
  <c r="D95" i="51"/>
  <c r="Q95" i="51" s="1"/>
  <c r="Q93" i="51"/>
  <c r="B93" i="51"/>
  <c r="O92" i="51"/>
  <c r="N92" i="51"/>
  <c r="M92" i="51"/>
  <c r="L92" i="51"/>
  <c r="K92" i="51"/>
  <c r="J92" i="51"/>
  <c r="I92" i="51"/>
  <c r="H92" i="51"/>
  <c r="G92" i="51"/>
  <c r="F92" i="51"/>
  <c r="E92" i="51"/>
  <c r="D92" i="51"/>
  <c r="B92" i="51"/>
  <c r="Q91" i="51"/>
  <c r="B91" i="51"/>
  <c r="O90" i="51"/>
  <c r="N90" i="51"/>
  <c r="M90" i="51"/>
  <c r="L90" i="51"/>
  <c r="K90" i="51"/>
  <c r="J90" i="51"/>
  <c r="I90" i="51"/>
  <c r="H90" i="51"/>
  <c r="G90" i="51"/>
  <c r="F90" i="51"/>
  <c r="E90" i="51"/>
  <c r="D90" i="51"/>
  <c r="B90" i="51"/>
  <c r="Q89" i="51"/>
  <c r="B89" i="51"/>
  <c r="Q88" i="51"/>
  <c r="B88" i="51"/>
  <c r="Q87" i="51"/>
  <c r="B87" i="51"/>
  <c r="O86" i="51"/>
  <c r="N86" i="51"/>
  <c r="M86" i="51"/>
  <c r="L86" i="51"/>
  <c r="K86" i="51"/>
  <c r="J86" i="51"/>
  <c r="I86" i="51"/>
  <c r="H86" i="51"/>
  <c r="G86" i="51"/>
  <c r="F86" i="51"/>
  <c r="E86" i="51"/>
  <c r="D86" i="51"/>
  <c r="B86" i="51"/>
  <c r="Q85" i="51"/>
  <c r="B85" i="51"/>
  <c r="O84" i="51"/>
  <c r="N84" i="51"/>
  <c r="M84" i="51"/>
  <c r="L84" i="51"/>
  <c r="K84" i="51"/>
  <c r="J84" i="51"/>
  <c r="I84" i="51"/>
  <c r="H84" i="51"/>
  <c r="G84" i="51"/>
  <c r="F84" i="51"/>
  <c r="E84" i="51"/>
  <c r="D84" i="51"/>
  <c r="Q84" i="51" s="1"/>
  <c r="B84" i="51"/>
  <c r="Q83" i="51"/>
  <c r="B83" i="51"/>
  <c r="O82" i="51"/>
  <c r="N82" i="51"/>
  <c r="M82" i="51"/>
  <c r="L82" i="51"/>
  <c r="K82" i="51"/>
  <c r="J82" i="51"/>
  <c r="I82" i="51"/>
  <c r="H82" i="51"/>
  <c r="G82" i="51"/>
  <c r="F82" i="51"/>
  <c r="E82" i="51"/>
  <c r="D82" i="51"/>
  <c r="B82" i="51"/>
  <c r="Q81" i="51"/>
  <c r="B81" i="51"/>
  <c r="O80" i="51"/>
  <c r="N80" i="51"/>
  <c r="M80" i="51"/>
  <c r="L80" i="51"/>
  <c r="K80" i="51"/>
  <c r="J80" i="51"/>
  <c r="I80" i="51"/>
  <c r="H80" i="51"/>
  <c r="G80" i="51"/>
  <c r="F80" i="51"/>
  <c r="E80" i="51"/>
  <c r="D80" i="51"/>
  <c r="B80" i="51"/>
  <c r="Q79" i="51"/>
  <c r="B79" i="51"/>
  <c r="Q78" i="51"/>
  <c r="B78" i="51"/>
  <c r="O77" i="51"/>
  <c r="N77" i="51"/>
  <c r="M77" i="51"/>
  <c r="L77" i="51"/>
  <c r="K77" i="51"/>
  <c r="J77" i="51"/>
  <c r="I77" i="51"/>
  <c r="I46" i="51" s="1"/>
  <c r="H77" i="51"/>
  <c r="G77" i="51"/>
  <c r="F77" i="51"/>
  <c r="E77" i="51"/>
  <c r="D77" i="51"/>
  <c r="B77" i="51"/>
  <c r="Q76" i="51"/>
  <c r="B76" i="51"/>
  <c r="O75" i="51"/>
  <c r="N75" i="51"/>
  <c r="M75" i="51"/>
  <c r="L75" i="51"/>
  <c r="K75" i="51"/>
  <c r="J75" i="51"/>
  <c r="I75" i="51"/>
  <c r="H75" i="51"/>
  <c r="G75" i="51"/>
  <c r="F75" i="51"/>
  <c r="E75" i="51"/>
  <c r="D75" i="51"/>
  <c r="B75" i="51"/>
  <c r="Q74" i="51"/>
  <c r="B74" i="51"/>
  <c r="O73" i="51"/>
  <c r="N73" i="51"/>
  <c r="M73" i="51"/>
  <c r="L73" i="51"/>
  <c r="K73" i="51"/>
  <c r="J73" i="51"/>
  <c r="I73" i="51"/>
  <c r="H73" i="51"/>
  <c r="G73" i="51"/>
  <c r="F73" i="51"/>
  <c r="E73" i="51"/>
  <c r="D73" i="51"/>
  <c r="D46" i="51" s="1"/>
  <c r="B73" i="51"/>
  <c r="Q72" i="51"/>
  <c r="B72" i="51"/>
  <c r="O71" i="51"/>
  <c r="N71" i="51"/>
  <c r="M71" i="51"/>
  <c r="L71" i="51"/>
  <c r="K71" i="51"/>
  <c r="J71" i="51"/>
  <c r="I71" i="51"/>
  <c r="H71" i="51"/>
  <c r="G71" i="51"/>
  <c r="F71" i="51"/>
  <c r="E71" i="51"/>
  <c r="D71" i="51"/>
  <c r="B71" i="51"/>
  <c r="Q70" i="51"/>
  <c r="B70" i="51"/>
  <c r="O69" i="51"/>
  <c r="N69" i="51"/>
  <c r="M69" i="51"/>
  <c r="L69" i="51"/>
  <c r="K69" i="51"/>
  <c r="J69" i="51"/>
  <c r="I69" i="51"/>
  <c r="H69" i="51"/>
  <c r="G69" i="51"/>
  <c r="F69" i="51"/>
  <c r="E69" i="51"/>
  <c r="E46" i="51" s="1"/>
  <c r="D69" i="51"/>
  <c r="B69" i="51"/>
  <c r="Q68" i="51"/>
  <c r="B68" i="51"/>
  <c r="Q67" i="51"/>
  <c r="B67" i="51"/>
  <c r="Q66" i="51"/>
  <c r="B66" i="51"/>
  <c r="Q65" i="51"/>
  <c r="B65" i="51"/>
  <c r="Q64" i="51"/>
  <c r="B64" i="51"/>
  <c r="Q63" i="51"/>
  <c r="B63" i="51"/>
  <c r="Q62" i="51"/>
  <c r="B62" i="51"/>
  <c r="Q61" i="51"/>
  <c r="B61" i="51"/>
  <c r="Q60" i="51"/>
  <c r="B60" i="51"/>
  <c r="Q59" i="51"/>
  <c r="B59" i="51"/>
  <c r="O58" i="51"/>
  <c r="N58" i="51"/>
  <c r="M58" i="51"/>
  <c r="L58" i="51"/>
  <c r="K58" i="51"/>
  <c r="J58" i="51"/>
  <c r="I58" i="51"/>
  <c r="H58" i="51"/>
  <c r="G58" i="51"/>
  <c r="F58" i="51"/>
  <c r="E58" i="51"/>
  <c r="D58" i="51"/>
  <c r="B58" i="51"/>
  <c r="Q57" i="51"/>
  <c r="B57" i="51"/>
  <c r="Q56" i="51"/>
  <c r="B56" i="51"/>
  <c r="Q55" i="51"/>
  <c r="B55" i="51"/>
  <c r="Q54" i="51"/>
  <c r="B54" i="51"/>
  <c r="Q53" i="51"/>
  <c r="B53" i="51"/>
  <c r="Q52" i="51"/>
  <c r="B52" i="51"/>
  <c r="Q51" i="51"/>
  <c r="B51" i="51"/>
  <c r="Q50" i="51"/>
  <c r="B50" i="51"/>
  <c r="Q49" i="51"/>
  <c r="B49" i="51"/>
  <c r="Q48" i="51"/>
  <c r="B48" i="51"/>
  <c r="O47" i="51"/>
  <c r="N47" i="51"/>
  <c r="M47" i="51"/>
  <c r="L47" i="51"/>
  <c r="K47" i="51"/>
  <c r="J47" i="51"/>
  <c r="I47" i="51"/>
  <c r="H47" i="51"/>
  <c r="G47" i="51"/>
  <c r="F47" i="51"/>
  <c r="E47" i="51"/>
  <c r="D47" i="51"/>
  <c r="Q47" i="51" s="1"/>
  <c r="B47" i="51"/>
  <c r="M43" i="51"/>
  <c r="Q41" i="51"/>
  <c r="B41" i="51"/>
  <c r="Q40" i="51"/>
  <c r="B40" i="51"/>
  <c r="Q39" i="51"/>
  <c r="B39" i="51"/>
  <c r="Q38" i="51"/>
  <c r="B38" i="51"/>
  <c r="Q37" i="51"/>
  <c r="B37" i="51"/>
  <c r="Q36" i="51"/>
  <c r="B36" i="51"/>
  <c r="Q35" i="51"/>
  <c r="B35" i="51"/>
  <c r="Q34" i="51"/>
  <c r="B34" i="51"/>
  <c r="Q33" i="51"/>
  <c r="Q30" i="51" s="1"/>
  <c r="B33" i="51"/>
  <c r="Q32" i="51"/>
  <c r="B32" i="51"/>
  <c r="Q31" i="51"/>
  <c r="B31" i="51"/>
  <c r="O30" i="51"/>
  <c r="N30" i="51"/>
  <c r="M30" i="51"/>
  <c r="L30" i="51"/>
  <c r="K30" i="51"/>
  <c r="J30" i="51"/>
  <c r="I30" i="51"/>
  <c r="H30" i="51"/>
  <c r="G30" i="51"/>
  <c r="F30" i="51"/>
  <c r="E30" i="51"/>
  <c r="D30" i="51"/>
  <c r="G28" i="51"/>
  <c r="F28" i="51"/>
  <c r="E28" i="51"/>
  <c r="D28" i="51"/>
  <c r="B28" i="51"/>
  <c r="Q27" i="51"/>
  <c r="G27" i="51"/>
  <c r="F27" i="51"/>
  <c r="E27" i="51"/>
  <c r="D27" i="51"/>
  <c r="B27" i="51"/>
  <c r="G26" i="51"/>
  <c r="F26" i="51"/>
  <c r="E26" i="51"/>
  <c r="D26" i="51"/>
  <c r="Q26" i="51" s="1"/>
  <c r="B26" i="51"/>
  <c r="Q25" i="51"/>
  <c r="G25" i="51"/>
  <c r="F25" i="51"/>
  <c r="E25" i="51"/>
  <c r="D25" i="51"/>
  <c r="B25" i="51"/>
  <c r="G24" i="51"/>
  <c r="F24" i="51"/>
  <c r="E24" i="51"/>
  <c r="D24" i="51"/>
  <c r="B24" i="51"/>
  <c r="Q23" i="51"/>
  <c r="G23" i="51"/>
  <c r="F23" i="51"/>
  <c r="E23" i="51"/>
  <c r="D23" i="51"/>
  <c r="B23" i="51"/>
  <c r="G22" i="51"/>
  <c r="F22" i="51"/>
  <c r="E22" i="51"/>
  <c r="D22" i="51"/>
  <c r="Q22" i="51" s="1"/>
  <c r="B22" i="51"/>
  <c r="Q21" i="51"/>
  <c r="G21" i="51"/>
  <c r="F21" i="51"/>
  <c r="E21" i="51"/>
  <c r="D21" i="51"/>
  <c r="B21" i="51"/>
  <c r="G20" i="51"/>
  <c r="F20" i="51"/>
  <c r="E20" i="51"/>
  <c r="D20" i="51"/>
  <c r="Q20" i="51" s="1"/>
  <c r="B20" i="51"/>
  <c r="Q19" i="51"/>
  <c r="G19" i="51"/>
  <c r="F19" i="51"/>
  <c r="E19" i="51"/>
  <c r="D19" i="51"/>
  <c r="B19" i="51"/>
  <c r="G18" i="51"/>
  <c r="F18" i="51"/>
  <c r="E18" i="51"/>
  <c r="D18" i="51"/>
  <c r="B18" i="51"/>
  <c r="Q17" i="51"/>
  <c r="G17" i="51"/>
  <c r="F17" i="51"/>
  <c r="E17" i="51"/>
  <c r="D17" i="51"/>
  <c r="B17" i="51"/>
  <c r="G16" i="51"/>
  <c r="F16" i="51"/>
  <c r="E16" i="51"/>
  <c r="D16" i="51"/>
  <c r="B16" i="51"/>
  <c r="Q15" i="51"/>
  <c r="G15" i="51"/>
  <c r="F15" i="51"/>
  <c r="E15" i="51"/>
  <c r="D15" i="51"/>
  <c r="B15" i="51"/>
  <c r="G14" i="51"/>
  <c r="F14" i="51"/>
  <c r="E14" i="51"/>
  <c r="D14" i="51"/>
  <c r="B14" i="51"/>
  <c r="Q13" i="51"/>
  <c r="G13" i="51"/>
  <c r="F13" i="51"/>
  <c r="E13" i="51"/>
  <c r="D13" i="51"/>
  <c r="B13" i="51"/>
  <c r="G12" i="51"/>
  <c r="G10" i="51" s="1"/>
  <c r="G43" i="51" s="1"/>
  <c r="G44" i="51" s="1"/>
  <c r="F12" i="51"/>
  <c r="E12" i="51"/>
  <c r="D12" i="51"/>
  <c r="Q12" i="51" s="1"/>
  <c r="B12" i="51"/>
  <c r="Q11" i="51"/>
  <c r="G11" i="51"/>
  <c r="F11" i="51"/>
  <c r="E11" i="51"/>
  <c r="D11" i="51"/>
  <c r="B11" i="51"/>
  <c r="O10" i="51"/>
  <c r="O43" i="51" s="1"/>
  <c r="N10" i="51"/>
  <c r="N43" i="51" s="1"/>
  <c r="M10" i="51"/>
  <c r="L10" i="51"/>
  <c r="L43" i="51" s="1"/>
  <c r="K10" i="51"/>
  <c r="K43" i="51" s="1"/>
  <c r="J10" i="51"/>
  <c r="J43" i="51" s="1"/>
  <c r="I10" i="51"/>
  <c r="H10" i="51"/>
  <c r="H43" i="51" s="1"/>
  <c r="F10" i="51"/>
  <c r="F43" i="51" s="1"/>
  <c r="F44" i="51" s="1"/>
  <c r="O8" i="51"/>
  <c r="N8" i="51"/>
  <c r="M8" i="51"/>
  <c r="L8" i="51"/>
  <c r="K8" i="51"/>
  <c r="J8" i="51"/>
  <c r="I8" i="51"/>
  <c r="H8" i="51"/>
  <c r="G8" i="51"/>
  <c r="F8" i="51"/>
  <c r="E8" i="51"/>
  <c r="D8" i="51"/>
  <c r="Q76" i="48"/>
  <c r="Q71" i="48"/>
  <c r="G71" i="48"/>
  <c r="F71" i="48"/>
  <c r="E71" i="48"/>
  <c r="D71" i="48"/>
  <c r="Q69" i="48"/>
  <c r="B69" i="48"/>
  <c r="O68" i="48"/>
  <c r="N68" i="48"/>
  <c r="M68" i="48"/>
  <c r="L68" i="48"/>
  <c r="K68" i="48"/>
  <c r="J68" i="48"/>
  <c r="I68" i="48"/>
  <c r="H68" i="48"/>
  <c r="G68" i="48"/>
  <c r="F68" i="48"/>
  <c r="E68" i="48"/>
  <c r="D68" i="48"/>
  <c r="B68" i="48"/>
  <c r="Q67" i="48"/>
  <c r="B67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Q66" i="48" s="1"/>
  <c r="B66" i="48"/>
  <c r="Q65" i="48"/>
  <c r="B65" i="48"/>
  <c r="Q64" i="48"/>
  <c r="B64" i="48"/>
  <c r="O63" i="48"/>
  <c r="N63" i="48"/>
  <c r="M63" i="48"/>
  <c r="L63" i="48"/>
  <c r="K63" i="48"/>
  <c r="J63" i="48"/>
  <c r="I63" i="48"/>
  <c r="H63" i="48"/>
  <c r="G63" i="48"/>
  <c r="F63" i="48"/>
  <c r="E63" i="48"/>
  <c r="D63" i="48"/>
  <c r="B63" i="48"/>
  <c r="Q62" i="48"/>
  <c r="B62" i="48"/>
  <c r="O61" i="48"/>
  <c r="N61" i="48"/>
  <c r="M61" i="48"/>
  <c r="L61" i="48"/>
  <c r="K61" i="48"/>
  <c r="J61" i="48"/>
  <c r="I61" i="48"/>
  <c r="H61" i="48"/>
  <c r="G61" i="48"/>
  <c r="F61" i="48"/>
  <c r="E61" i="48"/>
  <c r="D61" i="48"/>
  <c r="B61" i="48"/>
  <c r="Q60" i="48"/>
  <c r="B60" i="48"/>
  <c r="Q59" i="48"/>
  <c r="B59" i="48"/>
  <c r="Q58" i="48"/>
  <c r="B58" i="48"/>
  <c r="O57" i="48"/>
  <c r="N57" i="48"/>
  <c r="M57" i="48"/>
  <c r="L57" i="48"/>
  <c r="K57" i="48"/>
  <c r="J57" i="48"/>
  <c r="I57" i="48"/>
  <c r="H57" i="48"/>
  <c r="G57" i="48"/>
  <c r="F57" i="48"/>
  <c r="E57" i="48"/>
  <c r="D57" i="48"/>
  <c r="Q57" i="48" s="1"/>
  <c r="B57" i="48"/>
  <c r="Q56" i="48"/>
  <c r="B56" i="48"/>
  <c r="O55" i="48"/>
  <c r="N55" i="48"/>
  <c r="M55" i="48"/>
  <c r="L55" i="48"/>
  <c r="K55" i="48"/>
  <c r="J55" i="48"/>
  <c r="I55" i="48"/>
  <c r="H55" i="48"/>
  <c r="G55" i="48"/>
  <c r="F55" i="48"/>
  <c r="E55" i="48"/>
  <c r="D55" i="48"/>
  <c r="Q55" i="48" s="1"/>
  <c r="B55" i="48"/>
  <c r="Q54" i="48"/>
  <c r="B54" i="48"/>
  <c r="O53" i="48"/>
  <c r="N53" i="48"/>
  <c r="M53" i="48"/>
  <c r="L53" i="48"/>
  <c r="K53" i="48"/>
  <c r="J53" i="48"/>
  <c r="I53" i="48"/>
  <c r="H53" i="48"/>
  <c r="G53" i="48"/>
  <c r="F53" i="48"/>
  <c r="E53" i="48"/>
  <c r="D53" i="48"/>
  <c r="B53" i="48"/>
  <c r="Q52" i="48"/>
  <c r="B52" i="48"/>
  <c r="O51" i="48"/>
  <c r="N51" i="48"/>
  <c r="M51" i="48"/>
  <c r="L51" i="48"/>
  <c r="K51" i="48"/>
  <c r="J51" i="48"/>
  <c r="I51" i="48"/>
  <c r="H51" i="48"/>
  <c r="G51" i="48"/>
  <c r="F51" i="48"/>
  <c r="E51" i="48"/>
  <c r="D51" i="48"/>
  <c r="D19" i="48" s="1"/>
  <c r="B51" i="48"/>
  <c r="Q50" i="48"/>
  <c r="B50" i="48"/>
  <c r="Q49" i="48"/>
  <c r="B49" i="48"/>
  <c r="O48" i="48"/>
  <c r="N48" i="48"/>
  <c r="M48" i="48"/>
  <c r="L48" i="48"/>
  <c r="K48" i="48"/>
  <c r="J48" i="48"/>
  <c r="I48" i="48"/>
  <c r="H48" i="48"/>
  <c r="G48" i="48"/>
  <c r="F48" i="48"/>
  <c r="E48" i="48"/>
  <c r="D48" i="48"/>
  <c r="B48" i="48"/>
  <c r="Q47" i="48"/>
  <c r="B47" i="48"/>
  <c r="O46" i="48"/>
  <c r="N46" i="48"/>
  <c r="M46" i="48"/>
  <c r="L46" i="48"/>
  <c r="K46" i="48"/>
  <c r="J46" i="48"/>
  <c r="I46" i="48"/>
  <c r="H46" i="48"/>
  <c r="G46" i="48"/>
  <c r="F46" i="48"/>
  <c r="E46" i="48"/>
  <c r="D46" i="48"/>
  <c r="B46" i="48"/>
  <c r="Q45" i="48"/>
  <c r="B45" i="48"/>
  <c r="O44" i="48"/>
  <c r="N44" i="48"/>
  <c r="M44" i="48"/>
  <c r="L44" i="48"/>
  <c r="K44" i="48"/>
  <c r="J44" i="48"/>
  <c r="I44" i="48"/>
  <c r="H44" i="48"/>
  <c r="G44" i="48"/>
  <c r="F44" i="48"/>
  <c r="E44" i="48"/>
  <c r="D44" i="48"/>
  <c r="B44" i="48"/>
  <c r="Q43" i="48"/>
  <c r="B43" i="48"/>
  <c r="O42" i="48"/>
  <c r="N42" i="48"/>
  <c r="M42" i="48"/>
  <c r="L42" i="48"/>
  <c r="K42" i="48"/>
  <c r="J42" i="48"/>
  <c r="J19" i="48" s="1"/>
  <c r="I42" i="48"/>
  <c r="H42" i="48"/>
  <c r="G42" i="48"/>
  <c r="F42" i="48"/>
  <c r="E42" i="48"/>
  <c r="D42" i="48"/>
  <c r="Q42" i="48" s="1"/>
  <c r="B42" i="48"/>
  <c r="Q41" i="48"/>
  <c r="B41" i="48"/>
  <c r="Q40" i="48"/>
  <c r="B40" i="48"/>
  <c r="Q39" i="48"/>
  <c r="B39" i="48"/>
  <c r="Q38" i="48"/>
  <c r="B38" i="48"/>
  <c r="Q37" i="48"/>
  <c r="B37" i="48"/>
  <c r="Q36" i="48"/>
  <c r="B36" i="48"/>
  <c r="Q35" i="48"/>
  <c r="B35" i="48"/>
  <c r="Q34" i="48"/>
  <c r="B34" i="48"/>
  <c r="Q33" i="48"/>
  <c r="B33" i="48"/>
  <c r="Q32" i="48"/>
  <c r="B32" i="48"/>
  <c r="O31" i="48"/>
  <c r="O19" i="48" s="1"/>
  <c r="O73" i="48" s="1"/>
  <c r="N31" i="48"/>
  <c r="M31" i="48"/>
  <c r="L31" i="48"/>
  <c r="K31" i="48"/>
  <c r="J31" i="48"/>
  <c r="I31" i="48"/>
  <c r="H31" i="48"/>
  <c r="G31" i="48"/>
  <c r="F31" i="48"/>
  <c r="E31" i="48"/>
  <c r="D31" i="48"/>
  <c r="B31" i="48"/>
  <c r="Q30" i="48"/>
  <c r="B30" i="48"/>
  <c r="Q29" i="48"/>
  <c r="B29" i="48"/>
  <c r="Q28" i="48"/>
  <c r="B28" i="48"/>
  <c r="Q27" i="48"/>
  <c r="B27" i="48"/>
  <c r="Q26" i="48"/>
  <c r="B26" i="48"/>
  <c r="Q25" i="48"/>
  <c r="B25" i="48"/>
  <c r="Q24" i="48"/>
  <c r="B24" i="48"/>
  <c r="Q23" i="48"/>
  <c r="B23" i="48"/>
  <c r="Q22" i="48"/>
  <c r="B22" i="48"/>
  <c r="Q21" i="48"/>
  <c r="B21" i="48"/>
  <c r="O20" i="48"/>
  <c r="N20" i="48"/>
  <c r="N19" i="48" s="1"/>
  <c r="M20" i="48"/>
  <c r="L20" i="48"/>
  <c r="K20" i="48"/>
  <c r="J20" i="48"/>
  <c r="I20" i="48"/>
  <c r="H20" i="48"/>
  <c r="G20" i="48"/>
  <c r="G19" i="48" s="1"/>
  <c r="F20" i="48"/>
  <c r="E20" i="48"/>
  <c r="D20" i="48"/>
  <c r="B20" i="48"/>
  <c r="O17" i="48"/>
  <c r="O16" i="48"/>
  <c r="J16" i="48"/>
  <c r="H16" i="48"/>
  <c r="Q14" i="48"/>
  <c r="O14" i="48"/>
  <c r="N14" i="48"/>
  <c r="M14" i="48"/>
  <c r="L14" i="48"/>
  <c r="K14" i="48"/>
  <c r="K16" i="48" s="1"/>
  <c r="J14" i="48"/>
  <c r="I14" i="48"/>
  <c r="H14" i="48"/>
  <c r="G14" i="48"/>
  <c r="F14" i="48"/>
  <c r="E14" i="48"/>
  <c r="D14" i="48"/>
  <c r="G12" i="48"/>
  <c r="F12" i="48"/>
  <c r="E12" i="48"/>
  <c r="D12" i="48"/>
  <c r="B12" i="48"/>
  <c r="G11" i="48"/>
  <c r="F11" i="48"/>
  <c r="E11" i="48"/>
  <c r="D11" i="48"/>
  <c r="D10" i="48" s="1"/>
  <c r="D16" i="48" s="1"/>
  <c r="B11" i="48"/>
  <c r="O10" i="48"/>
  <c r="N10" i="48"/>
  <c r="N16" i="48" s="1"/>
  <c r="M10" i="48"/>
  <c r="M16" i="48" s="1"/>
  <c r="L10" i="48"/>
  <c r="L16" i="48" s="1"/>
  <c r="K10" i="48"/>
  <c r="J10" i="48"/>
  <c r="I10" i="48"/>
  <c r="H10" i="48"/>
  <c r="G10" i="48"/>
  <c r="G16" i="48" s="1"/>
  <c r="G17" i="48" s="1"/>
  <c r="F10" i="48"/>
  <c r="F16" i="48" s="1"/>
  <c r="O8" i="48"/>
  <c r="N8" i="48"/>
  <c r="M8" i="48"/>
  <c r="L8" i="48"/>
  <c r="K8" i="48"/>
  <c r="J8" i="48"/>
  <c r="I8" i="48"/>
  <c r="H8" i="48"/>
  <c r="G8" i="48"/>
  <c r="F8" i="48"/>
  <c r="E8" i="48"/>
  <c r="D8" i="48"/>
  <c r="Q100" i="45"/>
  <c r="Q95" i="45"/>
  <c r="G95" i="45"/>
  <c r="F95" i="45"/>
  <c r="E95" i="45"/>
  <c r="D95" i="45"/>
  <c r="Q93" i="45"/>
  <c r="B93" i="45"/>
  <c r="O92" i="45"/>
  <c r="N92" i="45"/>
  <c r="M92" i="45"/>
  <c r="L92" i="45"/>
  <c r="K92" i="45"/>
  <c r="J92" i="45"/>
  <c r="I92" i="45"/>
  <c r="H92" i="45"/>
  <c r="G92" i="45"/>
  <c r="F92" i="45"/>
  <c r="E92" i="45"/>
  <c r="D92" i="45"/>
  <c r="B92" i="45"/>
  <c r="Q91" i="45"/>
  <c r="B91" i="45"/>
  <c r="O90" i="45"/>
  <c r="N90" i="45"/>
  <c r="M90" i="45"/>
  <c r="L90" i="45"/>
  <c r="K90" i="45"/>
  <c r="J90" i="45"/>
  <c r="I90" i="45"/>
  <c r="H90" i="45"/>
  <c r="G90" i="45"/>
  <c r="F90" i="45"/>
  <c r="E90" i="45"/>
  <c r="D90" i="45"/>
  <c r="Q90" i="45" s="1"/>
  <c r="B90" i="45"/>
  <c r="Q89" i="45"/>
  <c r="B89" i="45"/>
  <c r="Q88" i="45"/>
  <c r="B88" i="45"/>
  <c r="O87" i="45"/>
  <c r="N87" i="45"/>
  <c r="M87" i="45"/>
  <c r="L87" i="45"/>
  <c r="K87" i="45"/>
  <c r="J87" i="45"/>
  <c r="I87" i="45"/>
  <c r="H87" i="45"/>
  <c r="G87" i="45"/>
  <c r="F87" i="45"/>
  <c r="E87" i="45"/>
  <c r="D87" i="45"/>
  <c r="B87" i="45"/>
  <c r="Q86" i="45"/>
  <c r="B86" i="45"/>
  <c r="Q85" i="45"/>
  <c r="B85" i="45"/>
  <c r="Q84" i="45"/>
  <c r="B84" i="45"/>
  <c r="Q83" i="45"/>
  <c r="B83" i="45"/>
  <c r="Q82" i="45"/>
  <c r="B82" i="45"/>
  <c r="Q81" i="45"/>
  <c r="B81" i="45"/>
  <c r="Q80" i="45"/>
  <c r="B80" i="45"/>
  <c r="Q79" i="45"/>
  <c r="B79" i="45"/>
  <c r="Q78" i="45"/>
  <c r="B78" i="45"/>
  <c r="Q77" i="45"/>
  <c r="B77" i="45"/>
  <c r="O76" i="45"/>
  <c r="N76" i="45"/>
  <c r="M76" i="45"/>
  <c r="L76" i="45"/>
  <c r="K76" i="45"/>
  <c r="J76" i="45"/>
  <c r="I76" i="45"/>
  <c r="H76" i="45"/>
  <c r="G76" i="45"/>
  <c r="F76" i="45"/>
  <c r="E76" i="45"/>
  <c r="D76" i="45"/>
  <c r="Q76" i="45" s="1"/>
  <c r="B76" i="45"/>
  <c r="Q75" i="45"/>
  <c r="B75" i="45"/>
  <c r="Q74" i="45"/>
  <c r="B74" i="45"/>
  <c r="Q73" i="45"/>
  <c r="B73" i="45"/>
  <c r="Q72" i="45"/>
  <c r="B72" i="45"/>
  <c r="O71" i="45"/>
  <c r="N71" i="45"/>
  <c r="M71" i="45"/>
  <c r="L71" i="45"/>
  <c r="K71" i="45"/>
  <c r="J71" i="45"/>
  <c r="I71" i="45"/>
  <c r="H71" i="45"/>
  <c r="G71" i="45"/>
  <c r="F71" i="45"/>
  <c r="E71" i="45"/>
  <c r="D71" i="45"/>
  <c r="B71" i="45"/>
  <c r="Q70" i="45"/>
  <c r="B70" i="45"/>
  <c r="Q69" i="45"/>
  <c r="B69" i="45"/>
  <c r="Q68" i="45"/>
  <c r="B68" i="45"/>
  <c r="O67" i="45"/>
  <c r="N67" i="45"/>
  <c r="M67" i="45"/>
  <c r="L67" i="45"/>
  <c r="K67" i="45"/>
  <c r="J67" i="45"/>
  <c r="I67" i="45"/>
  <c r="H67" i="45"/>
  <c r="G67" i="45"/>
  <c r="F67" i="45"/>
  <c r="E67" i="45"/>
  <c r="D67" i="45"/>
  <c r="B67" i="45"/>
  <c r="Q66" i="45"/>
  <c r="B66" i="45"/>
  <c r="O65" i="45"/>
  <c r="N65" i="45"/>
  <c r="M65" i="45"/>
  <c r="L65" i="45"/>
  <c r="K65" i="45"/>
  <c r="J65" i="45"/>
  <c r="I65" i="45"/>
  <c r="H65" i="45"/>
  <c r="G65" i="45"/>
  <c r="F65" i="45"/>
  <c r="E65" i="45"/>
  <c r="D65" i="45"/>
  <c r="Q65" i="45" s="1"/>
  <c r="B65" i="45"/>
  <c r="Q64" i="45"/>
  <c r="B64" i="45"/>
  <c r="O63" i="45"/>
  <c r="N63" i="45"/>
  <c r="M63" i="45"/>
  <c r="L63" i="45"/>
  <c r="K63" i="45"/>
  <c r="J63" i="45"/>
  <c r="I63" i="45"/>
  <c r="H63" i="45"/>
  <c r="G63" i="45"/>
  <c r="F63" i="45"/>
  <c r="E63" i="45"/>
  <c r="D63" i="45"/>
  <c r="B63" i="45"/>
  <c r="Q62" i="45"/>
  <c r="B62" i="45"/>
  <c r="O61" i="45"/>
  <c r="N61" i="45"/>
  <c r="M61" i="45"/>
  <c r="L61" i="45"/>
  <c r="K61" i="45"/>
  <c r="J61" i="45"/>
  <c r="I61" i="45"/>
  <c r="H61" i="45"/>
  <c r="G61" i="45"/>
  <c r="F61" i="45"/>
  <c r="E61" i="45"/>
  <c r="D61" i="45"/>
  <c r="B61" i="45"/>
  <c r="Q60" i="45"/>
  <c r="B60" i="45"/>
  <c r="O59" i="45"/>
  <c r="N59" i="45"/>
  <c r="M59" i="45"/>
  <c r="L59" i="45"/>
  <c r="K59" i="45"/>
  <c r="J59" i="45"/>
  <c r="I59" i="45"/>
  <c r="H59" i="45"/>
  <c r="G59" i="45"/>
  <c r="F59" i="45"/>
  <c r="E59" i="45"/>
  <c r="D59" i="45"/>
  <c r="B59" i="45"/>
  <c r="Q58" i="45"/>
  <c r="B58" i="45"/>
  <c r="O57" i="45"/>
  <c r="N57" i="45"/>
  <c r="M57" i="45"/>
  <c r="L57" i="45"/>
  <c r="K57" i="45"/>
  <c r="J57" i="45"/>
  <c r="I57" i="45"/>
  <c r="H57" i="45"/>
  <c r="G57" i="45"/>
  <c r="F57" i="45"/>
  <c r="E57" i="45"/>
  <c r="D57" i="45"/>
  <c r="Q57" i="45" s="1"/>
  <c r="B57" i="45"/>
  <c r="Q56" i="45"/>
  <c r="B56" i="45"/>
  <c r="O55" i="45"/>
  <c r="N55" i="45"/>
  <c r="M55" i="45"/>
  <c r="L55" i="45"/>
  <c r="K55" i="45"/>
  <c r="J55" i="45"/>
  <c r="I55" i="45"/>
  <c r="H55" i="45"/>
  <c r="G55" i="45"/>
  <c r="F55" i="45"/>
  <c r="E55" i="45"/>
  <c r="D55" i="45"/>
  <c r="B55" i="45"/>
  <c r="Q54" i="45"/>
  <c r="B54" i="45"/>
  <c r="O53" i="45"/>
  <c r="N53" i="45"/>
  <c r="M53" i="45"/>
  <c r="L53" i="45"/>
  <c r="K53" i="45"/>
  <c r="J53" i="45"/>
  <c r="I53" i="45"/>
  <c r="H53" i="45"/>
  <c r="G53" i="45"/>
  <c r="F53" i="45"/>
  <c r="E53" i="45"/>
  <c r="D53" i="45"/>
  <c r="Q53" i="45" s="1"/>
  <c r="B53" i="45"/>
  <c r="Q52" i="45"/>
  <c r="B52" i="45"/>
  <c r="O51" i="45"/>
  <c r="N51" i="45"/>
  <c r="M51" i="45"/>
  <c r="L51" i="45"/>
  <c r="K51" i="45"/>
  <c r="J51" i="45"/>
  <c r="I51" i="45"/>
  <c r="H51" i="45"/>
  <c r="G51" i="45"/>
  <c r="F51" i="45"/>
  <c r="E51" i="45"/>
  <c r="D51" i="45"/>
  <c r="Q51" i="45" s="1"/>
  <c r="B51" i="45"/>
  <c r="Q50" i="45"/>
  <c r="B50" i="45"/>
  <c r="O49" i="45"/>
  <c r="N49" i="45"/>
  <c r="M49" i="45"/>
  <c r="L49" i="45"/>
  <c r="K49" i="45"/>
  <c r="J49" i="45"/>
  <c r="I49" i="45"/>
  <c r="H49" i="45"/>
  <c r="G49" i="45"/>
  <c r="F49" i="45"/>
  <c r="E49" i="45"/>
  <c r="D49" i="45"/>
  <c r="Q49" i="45" s="1"/>
  <c r="B49" i="45"/>
  <c r="Q48" i="45"/>
  <c r="B48" i="45"/>
  <c r="O47" i="45"/>
  <c r="N47" i="45"/>
  <c r="M47" i="45"/>
  <c r="L47" i="45"/>
  <c r="K47" i="45"/>
  <c r="J47" i="45"/>
  <c r="I47" i="45"/>
  <c r="H47" i="45"/>
  <c r="G47" i="45"/>
  <c r="F47" i="45"/>
  <c r="E47" i="45"/>
  <c r="E24" i="45" s="1"/>
  <c r="D47" i="45"/>
  <c r="B47" i="45"/>
  <c r="Q46" i="45"/>
  <c r="B46" i="45"/>
  <c r="Q45" i="45"/>
  <c r="B45" i="45"/>
  <c r="Q44" i="45"/>
  <c r="B44" i="45"/>
  <c r="Q43" i="45"/>
  <c r="B43" i="45"/>
  <c r="Q42" i="45"/>
  <c r="B42" i="45"/>
  <c r="Q41" i="45"/>
  <c r="B41" i="45"/>
  <c r="Q40" i="45"/>
  <c r="B40" i="45"/>
  <c r="Q39" i="45"/>
  <c r="B39" i="45"/>
  <c r="Q38" i="45"/>
  <c r="B38" i="45"/>
  <c r="Q37" i="45"/>
  <c r="B37" i="45"/>
  <c r="O36" i="45"/>
  <c r="N36" i="45"/>
  <c r="M36" i="45"/>
  <c r="L36" i="45"/>
  <c r="K36" i="45"/>
  <c r="J36" i="45"/>
  <c r="I36" i="45"/>
  <c r="H36" i="45"/>
  <c r="G36" i="45"/>
  <c r="F36" i="45"/>
  <c r="F24" i="45" s="1"/>
  <c r="E36" i="45"/>
  <c r="D36" i="45"/>
  <c r="B36" i="45"/>
  <c r="Q35" i="45"/>
  <c r="B35" i="45"/>
  <c r="Q34" i="45"/>
  <c r="B34" i="45"/>
  <c r="Q33" i="45"/>
  <c r="B33" i="45"/>
  <c r="Q32" i="45"/>
  <c r="B32" i="45"/>
  <c r="Q31" i="45"/>
  <c r="B31" i="45"/>
  <c r="Q30" i="45"/>
  <c r="B30" i="45"/>
  <c r="Q29" i="45"/>
  <c r="B29" i="45"/>
  <c r="Q28" i="45"/>
  <c r="B28" i="45"/>
  <c r="Q27" i="45"/>
  <c r="B27" i="45"/>
  <c r="Q26" i="45"/>
  <c r="B26" i="45"/>
  <c r="O25" i="45"/>
  <c r="N25" i="45"/>
  <c r="M25" i="45"/>
  <c r="L25" i="45"/>
  <c r="K25" i="45"/>
  <c r="J25" i="45"/>
  <c r="I25" i="45"/>
  <c r="H25" i="45"/>
  <c r="H24" i="45" s="1"/>
  <c r="G25" i="45"/>
  <c r="F25" i="45"/>
  <c r="E25" i="45"/>
  <c r="D25" i="45"/>
  <c r="D24" i="45" s="1"/>
  <c r="B25" i="45"/>
  <c r="L24" i="45"/>
  <c r="L97" i="45" s="1"/>
  <c r="L22" i="45"/>
  <c r="D22" i="45"/>
  <c r="N21" i="45"/>
  <c r="M21" i="45"/>
  <c r="L21" i="45"/>
  <c r="E21" i="45"/>
  <c r="E22" i="45" s="1"/>
  <c r="Q19" i="45"/>
  <c r="B19" i="45"/>
  <c r="Q18" i="45"/>
  <c r="B18" i="45"/>
  <c r="Q17" i="45"/>
  <c r="B17" i="45"/>
  <c r="O16" i="45"/>
  <c r="N16" i="45"/>
  <c r="M16" i="45"/>
  <c r="L16" i="45"/>
  <c r="K16" i="45"/>
  <c r="J16" i="45"/>
  <c r="I16" i="45"/>
  <c r="H16" i="45"/>
  <c r="G16" i="45"/>
  <c r="F16" i="45"/>
  <c r="E16" i="45"/>
  <c r="D16" i="45"/>
  <c r="Q14" i="45"/>
  <c r="G14" i="45"/>
  <c r="F14" i="45"/>
  <c r="E14" i="45"/>
  <c r="D14" i="45"/>
  <c r="B14" i="45"/>
  <c r="Q13" i="45"/>
  <c r="G13" i="45"/>
  <c r="F13" i="45"/>
  <c r="E13" i="45"/>
  <c r="D13" i="45"/>
  <c r="B13" i="45"/>
  <c r="Q12" i="45"/>
  <c r="G12" i="45"/>
  <c r="F12" i="45"/>
  <c r="E12" i="45"/>
  <c r="E10" i="45" s="1"/>
  <c r="D12" i="45"/>
  <c r="B12" i="45"/>
  <c r="Q11" i="45"/>
  <c r="Q10" i="45" s="1"/>
  <c r="G11" i="45"/>
  <c r="F11" i="45"/>
  <c r="F10" i="45" s="1"/>
  <c r="F21" i="45" s="1"/>
  <c r="E11" i="45"/>
  <c r="D11" i="45"/>
  <c r="B11" i="45"/>
  <c r="O10" i="45"/>
  <c r="N10" i="45"/>
  <c r="M10" i="45"/>
  <c r="L10" i="45"/>
  <c r="K10" i="45"/>
  <c r="K21" i="45" s="1"/>
  <c r="K22" i="45" s="1"/>
  <c r="J10" i="45"/>
  <c r="J21" i="45" s="1"/>
  <c r="I10" i="45"/>
  <c r="H10" i="45"/>
  <c r="H21" i="45" s="1"/>
  <c r="D10" i="45"/>
  <c r="D21" i="45" s="1"/>
  <c r="O8" i="45"/>
  <c r="N8" i="45"/>
  <c r="M8" i="45"/>
  <c r="L8" i="45"/>
  <c r="K8" i="45"/>
  <c r="J8" i="45"/>
  <c r="I8" i="45"/>
  <c r="H8" i="45"/>
  <c r="G8" i="45"/>
  <c r="F8" i="45"/>
  <c r="E8" i="45"/>
  <c r="D8" i="45"/>
  <c r="Q117" i="42"/>
  <c r="G112" i="42"/>
  <c r="F112" i="42"/>
  <c r="Q112" i="42" s="1"/>
  <c r="E112" i="42"/>
  <c r="D112" i="42"/>
  <c r="Q110" i="42"/>
  <c r="B110" i="42"/>
  <c r="O109" i="42"/>
  <c r="N109" i="42"/>
  <c r="M109" i="42"/>
  <c r="L109" i="42"/>
  <c r="K109" i="42"/>
  <c r="J109" i="42"/>
  <c r="I109" i="42"/>
  <c r="H109" i="42"/>
  <c r="G109" i="42"/>
  <c r="F109" i="42"/>
  <c r="E109" i="42"/>
  <c r="D109" i="42"/>
  <c r="Q109" i="42" s="1"/>
  <c r="B109" i="42"/>
  <c r="Q108" i="42"/>
  <c r="B108" i="42"/>
  <c r="O107" i="42"/>
  <c r="N107" i="42"/>
  <c r="M107" i="42"/>
  <c r="L107" i="42"/>
  <c r="K107" i="42"/>
  <c r="J107" i="42"/>
  <c r="I107" i="42"/>
  <c r="H107" i="42"/>
  <c r="G107" i="42"/>
  <c r="F107" i="42"/>
  <c r="E107" i="42"/>
  <c r="D107" i="42"/>
  <c r="Q107" i="42" s="1"/>
  <c r="B107" i="42"/>
  <c r="Q106" i="42"/>
  <c r="B106" i="42"/>
  <c r="O105" i="42"/>
  <c r="N105" i="42"/>
  <c r="M105" i="42"/>
  <c r="L105" i="42"/>
  <c r="K105" i="42"/>
  <c r="J105" i="42"/>
  <c r="I105" i="42"/>
  <c r="H105" i="42"/>
  <c r="G105" i="42"/>
  <c r="F105" i="42"/>
  <c r="E105" i="42"/>
  <c r="D105" i="42"/>
  <c r="B105" i="42"/>
  <c r="Q104" i="42"/>
  <c r="B104" i="42"/>
  <c r="Q103" i="42"/>
  <c r="B103" i="42"/>
  <c r="O102" i="42"/>
  <c r="N102" i="42"/>
  <c r="M102" i="42"/>
  <c r="L102" i="42"/>
  <c r="K102" i="42"/>
  <c r="J102" i="42"/>
  <c r="I102" i="42"/>
  <c r="H102" i="42"/>
  <c r="G102" i="42"/>
  <c r="F102" i="42"/>
  <c r="E102" i="42"/>
  <c r="D102" i="42"/>
  <c r="Q102" i="42" s="1"/>
  <c r="B102" i="42"/>
  <c r="Q101" i="42"/>
  <c r="B101" i="42"/>
  <c r="Q100" i="42"/>
  <c r="B100" i="42"/>
  <c r="Q99" i="42"/>
  <c r="B99" i="42"/>
  <c r="Q98" i="42"/>
  <c r="B98" i="42"/>
  <c r="Q97" i="42"/>
  <c r="B97" i="42"/>
  <c r="Q96" i="42"/>
  <c r="B96" i="42"/>
  <c r="Q95" i="42"/>
  <c r="B95" i="42"/>
  <c r="Q94" i="42"/>
  <c r="B94" i="42"/>
  <c r="Q93" i="42"/>
  <c r="B93" i="42"/>
  <c r="Q92" i="42"/>
  <c r="B92" i="42"/>
  <c r="Q91" i="42"/>
  <c r="B91" i="42"/>
  <c r="O90" i="42"/>
  <c r="N90" i="42"/>
  <c r="M90" i="42"/>
  <c r="L90" i="42"/>
  <c r="K90" i="42"/>
  <c r="J90" i="42"/>
  <c r="I90" i="42"/>
  <c r="H90" i="42"/>
  <c r="G90" i="42"/>
  <c r="F90" i="42"/>
  <c r="E90" i="42"/>
  <c r="D90" i="42"/>
  <c r="Q90" i="42" s="1"/>
  <c r="B90" i="42"/>
  <c r="Q89" i="42"/>
  <c r="B89" i="42"/>
  <c r="Q88" i="42"/>
  <c r="B88" i="42"/>
  <c r="O87" i="42"/>
  <c r="N87" i="42"/>
  <c r="M87" i="42"/>
  <c r="L87" i="42"/>
  <c r="K87" i="42"/>
  <c r="J87" i="42"/>
  <c r="I87" i="42"/>
  <c r="H87" i="42"/>
  <c r="G87" i="42"/>
  <c r="F87" i="42"/>
  <c r="E87" i="42"/>
  <c r="D87" i="42"/>
  <c r="B87" i="42"/>
  <c r="Q86" i="42"/>
  <c r="B86" i="42"/>
  <c r="Q85" i="42"/>
  <c r="B85" i="42"/>
  <c r="Q84" i="42"/>
  <c r="B84" i="42"/>
  <c r="Q83" i="42"/>
  <c r="B83" i="42"/>
  <c r="Q82" i="42"/>
  <c r="B82" i="42"/>
  <c r="O81" i="42"/>
  <c r="N81" i="42"/>
  <c r="M81" i="42"/>
  <c r="L81" i="42"/>
  <c r="K81" i="42"/>
  <c r="J81" i="42"/>
  <c r="I81" i="42"/>
  <c r="H81" i="42"/>
  <c r="G81" i="42"/>
  <c r="F81" i="42"/>
  <c r="E81" i="42"/>
  <c r="D81" i="42"/>
  <c r="B81" i="42"/>
  <c r="Q80" i="42"/>
  <c r="B80" i="42"/>
  <c r="Q79" i="42"/>
  <c r="B79" i="42"/>
  <c r="O78" i="42"/>
  <c r="N78" i="42"/>
  <c r="M78" i="42"/>
  <c r="L78" i="42"/>
  <c r="K78" i="42"/>
  <c r="J78" i="42"/>
  <c r="I78" i="42"/>
  <c r="H78" i="42"/>
  <c r="G78" i="42"/>
  <c r="F78" i="42"/>
  <c r="E78" i="42"/>
  <c r="D78" i="42"/>
  <c r="Q78" i="42" s="1"/>
  <c r="B78" i="42"/>
  <c r="Q77" i="42"/>
  <c r="B77" i="42"/>
  <c r="Q76" i="42"/>
  <c r="B76" i="42"/>
  <c r="Q75" i="42"/>
  <c r="B75" i="42"/>
  <c r="O74" i="42"/>
  <c r="N74" i="42"/>
  <c r="M74" i="42"/>
  <c r="L74" i="42"/>
  <c r="K74" i="42"/>
  <c r="J74" i="42"/>
  <c r="I74" i="42"/>
  <c r="H74" i="42"/>
  <c r="G74" i="42"/>
  <c r="F74" i="42"/>
  <c r="E74" i="42"/>
  <c r="D74" i="42"/>
  <c r="B74" i="42"/>
  <c r="Q73" i="42"/>
  <c r="B73" i="42"/>
  <c r="O72" i="42"/>
  <c r="N72" i="42"/>
  <c r="M72" i="42"/>
  <c r="L72" i="42"/>
  <c r="K72" i="42"/>
  <c r="J72" i="42"/>
  <c r="I72" i="42"/>
  <c r="H72" i="42"/>
  <c r="G72" i="42"/>
  <c r="F72" i="42"/>
  <c r="E72" i="42"/>
  <c r="D72" i="42"/>
  <c r="B72" i="42"/>
  <c r="Q71" i="42"/>
  <c r="B71" i="42"/>
  <c r="O70" i="42"/>
  <c r="N70" i="42"/>
  <c r="M70" i="42"/>
  <c r="L70" i="42"/>
  <c r="K70" i="42"/>
  <c r="J70" i="42"/>
  <c r="I70" i="42"/>
  <c r="H70" i="42"/>
  <c r="G70" i="42"/>
  <c r="F70" i="42"/>
  <c r="E70" i="42"/>
  <c r="D70" i="42"/>
  <c r="Q70" i="42" s="1"/>
  <c r="B70" i="42"/>
  <c r="Q69" i="42"/>
  <c r="B69" i="42"/>
  <c r="O68" i="42"/>
  <c r="N68" i="42"/>
  <c r="M68" i="42"/>
  <c r="L68" i="42"/>
  <c r="K68" i="42"/>
  <c r="J68" i="42"/>
  <c r="I68" i="42"/>
  <c r="H68" i="42"/>
  <c r="G68" i="42"/>
  <c r="F68" i="42"/>
  <c r="E68" i="42"/>
  <c r="D68" i="42"/>
  <c r="Q68" i="42" s="1"/>
  <c r="B68" i="42"/>
  <c r="Q67" i="42"/>
  <c r="B67" i="42"/>
  <c r="O66" i="42"/>
  <c r="N66" i="42"/>
  <c r="M66" i="42"/>
  <c r="L66" i="42"/>
  <c r="K66" i="42"/>
  <c r="J66" i="42"/>
  <c r="I66" i="42"/>
  <c r="H66" i="42"/>
  <c r="G66" i="42"/>
  <c r="F66" i="42"/>
  <c r="E66" i="42"/>
  <c r="D66" i="42"/>
  <c r="B66" i="42"/>
  <c r="Q65" i="42"/>
  <c r="B65" i="42"/>
  <c r="O64" i="42"/>
  <c r="N64" i="42"/>
  <c r="M64" i="42"/>
  <c r="L64" i="42"/>
  <c r="K64" i="42"/>
  <c r="J64" i="42"/>
  <c r="I64" i="42"/>
  <c r="H64" i="42"/>
  <c r="G64" i="42"/>
  <c r="F64" i="42"/>
  <c r="E64" i="42"/>
  <c r="D64" i="42"/>
  <c r="B64" i="42"/>
  <c r="Q63" i="42"/>
  <c r="B63" i="42"/>
  <c r="O62" i="42"/>
  <c r="N62" i="42"/>
  <c r="M62" i="42"/>
  <c r="L62" i="42"/>
  <c r="K62" i="42"/>
  <c r="J62" i="42"/>
  <c r="I62" i="42"/>
  <c r="H62" i="42"/>
  <c r="G62" i="42"/>
  <c r="F62" i="42"/>
  <c r="E62" i="42"/>
  <c r="D62" i="42"/>
  <c r="Q62" i="42" s="1"/>
  <c r="B62" i="42"/>
  <c r="Q61" i="42"/>
  <c r="B61" i="42"/>
  <c r="O60" i="42"/>
  <c r="N60" i="42"/>
  <c r="M60" i="42"/>
  <c r="L60" i="42"/>
  <c r="K60" i="42"/>
  <c r="J60" i="42"/>
  <c r="I60" i="42"/>
  <c r="H60" i="42"/>
  <c r="G60" i="42"/>
  <c r="F60" i="42"/>
  <c r="E60" i="42"/>
  <c r="D60" i="42"/>
  <c r="B60" i="42"/>
  <c r="Q59" i="42"/>
  <c r="B59" i="42"/>
  <c r="O58" i="42"/>
  <c r="N58" i="42"/>
  <c r="M58" i="42"/>
  <c r="L58" i="42"/>
  <c r="K58" i="42"/>
  <c r="J58" i="42"/>
  <c r="J26" i="42" s="1"/>
  <c r="I58" i="42"/>
  <c r="H58" i="42"/>
  <c r="G58" i="42"/>
  <c r="F58" i="42"/>
  <c r="E58" i="42"/>
  <c r="D58" i="42"/>
  <c r="B58" i="42"/>
  <c r="Q57" i="42"/>
  <c r="B57" i="42"/>
  <c r="Q56" i="42"/>
  <c r="B56" i="42"/>
  <c r="Q55" i="42"/>
  <c r="B55" i="42"/>
  <c r="O54" i="42"/>
  <c r="N54" i="42"/>
  <c r="M54" i="42"/>
  <c r="L54" i="42"/>
  <c r="K54" i="42"/>
  <c r="J54" i="42"/>
  <c r="I54" i="42"/>
  <c r="H54" i="42"/>
  <c r="G54" i="42"/>
  <c r="F54" i="42"/>
  <c r="E54" i="42"/>
  <c r="D54" i="42"/>
  <c r="B54" i="42"/>
  <c r="Q53" i="42"/>
  <c r="B53" i="42"/>
  <c r="O52" i="42"/>
  <c r="N52" i="42"/>
  <c r="M52" i="42"/>
  <c r="L52" i="42"/>
  <c r="K52" i="42"/>
  <c r="J52" i="42"/>
  <c r="I52" i="42"/>
  <c r="H52" i="42"/>
  <c r="G52" i="42"/>
  <c r="F52" i="42"/>
  <c r="E52" i="42"/>
  <c r="D52" i="42"/>
  <c r="B52" i="42"/>
  <c r="Q51" i="42"/>
  <c r="B51" i="42"/>
  <c r="O50" i="42"/>
  <c r="N50" i="42"/>
  <c r="M50" i="42"/>
  <c r="L50" i="42"/>
  <c r="K50" i="42"/>
  <c r="J50" i="42"/>
  <c r="I50" i="42"/>
  <c r="I26" i="42" s="1"/>
  <c r="H50" i="42"/>
  <c r="G50" i="42"/>
  <c r="F50" i="42"/>
  <c r="E50" i="42"/>
  <c r="D50" i="42"/>
  <c r="B50" i="42"/>
  <c r="Q49" i="42"/>
  <c r="B49" i="42"/>
  <c r="O48" i="42"/>
  <c r="N48" i="42"/>
  <c r="M48" i="42"/>
  <c r="L48" i="42"/>
  <c r="K48" i="42"/>
  <c r="J48" i="42"/>
  <c r="I48" i="42"/>
  <c r="H48" i="42"/>
  <c r="G48" i="42"/>
  <c r="F48" i="42"/>
  <c r="E48" i="42"/>
  <c r="D48" i="42"/>
  <c r="Q48" i="42" s="1"/>
  <c r="B48" i="42"/>
  <c r="Q47" i="42"/>
  <c r="B47" i="42"/>
  <c r="Q46" i="42"/>
  <c r="B46" i="42"/>
  <c r="Q45" i="42"/>
  <c r="B45" i="42"/>
  <c r="Q44" i="42"/>
  <c r="B44" i="42"/>
  <c r="Q43" i="42"/>
  <c r="B43" i="42"/>
  <c r="Q42" i="42"/>
  <c r="B42" i="42"/>
  <c r="Q41" i="42"/>
  <c r="B41" i="42"/>
  <c r="Q40" i="42"/>
  <c r="B40" i="42"/>
  <c r="Q39" i="42"/>
  <c r="B39" i="42"/>
  <c r="Q38" i="42"/>
  <c r="B38" i="42"/>
  <c r="O37" i="42"/>
  <c r="N37" i="42"/>
  <c r="N26" i="42" s="1"/>
  <c r="M37" i="42"/>
  <c r="L37" i="42"/>
  <c r="K37" i="42"/>
  <c r="J37" i="42"/>
  <c r="I37" i="42"/>
  <c r="H37" i="42"/>
  <c r="G37" i="42"/>
  <c r="F37" i="42"/>
  <c r="E37" i="42"/>
  <c r="D37" i="42"/>
  <c r="B37" i="42"/>
  <c r="Q36" i="42"/>
  <c r="B36" i="42"/>
  <c r="Q35" i="42"/>
  <c r="B35" i="42"/>
  <c r="Q34" i="42"/>
  <c r="B34" i="42"/>
  <c r="Q33" i="42"/>
  <c r="B33" i="42"/>
  <c r="Q32" i="42"/>
  <c r="B32" i="42"/>
  <c r="Q31" i="42"/>
  <c r="B31" i="42"/>
  <c r="Q30" i="42"/>
  <c r="B30" i="42"/>
  <c r="Q29" i="42"/>
  <c r="B29" i="42"/>
  <c r="Q28" i="42"/>
  <c r="B28" i="42"/>
  <c r="O27" i="42"/>
  <c r="N27" i="42"/>
  <c r="M27" i="42"/>
  <c r="L27" i="42"/>
  <c r="L26" i="42" s="1"/>
  <c r="K27" i="42"/>
  <c r="J27" i="42"/>
  <c r="I27" i="42"/>
  <c r="H27" i="42"/>
  <c r="G27" i="42"/>
  <c r="F27" i="42"/>
  <c r="E27" i="42"/>
  <c r="D27" i="42"/>
  <c r="B27" i="42"/>
  <c r="H26" i="42"/>
  <c r="E26" i="42"/>
  <c r="M24" i="42"/>
  <c r="H24" i="42"/>
  <c r="K23" i="42"/>
  <c r="I23" i="42"/>
  <c r="G23" i="42"/>
  <c r="Q21" i="42"/>
  <c r="B21" i="42"/>
  <c r="Q20" i="42"/>
  <c r="B20" i="42"/>
  <c r="Q19" i="42"/>
  <c r="Q18" i="42" s="1"/>
  <c r="B19" i="42"/>
  <c r="O18" i="42"/>
  <c r="N18" i="42"/>
  <c r="M18" i="42"/>
  <c r="L18" i="42"/>
  <c r="K18" i="42"/>
  <c r="J18" i="42"/>
  <c r="I18" i="42"/>
  <c r="H18" i="42"/>
  <c r="G18" i="42"/>
  <c r="F18" i="42"/>
  <c r="E18" i="42"/>
  <c r="D18" i="42"/>
  <c r="G16" i="42"/>
  <c r="F16" i="42"/>
  <c r="E16" i="42"/>
  <c r="D16" i="42"/>
  <c r="Q16" i="42" s="1"/>
  <c r="B16" i="42"/>
  <c r="G15" i="42"/>
  <c r="F15" i="42"/>
  <c r="E15" i="42"/>
  <c r="D15" i="42"/>
  <c r="Q15" i="42" s="1"/>
  <c r="B15" i="42"/>
  <c r="G14" i="42"/>
  <c r="F14" i="42"/>
  <c r="E14" i="42"/>
  <c r="D14" i="42"/>
  <c r="B14" i="42"/>
  <c r="G13" i="42"/>
  <c r="F13" i="42"/>
  <c r="E13" i="42"/>
  <c r="D13" i="42"/>
  <c r="Q13" i="42" s="1"/>
  <c r="B13" i="42"/>
  <c r="G12" i="42"/>
  <c r="F12" i="42"/>
  <c r="E12" i="42"/>
  <c r="D12" i="42"/>
  <c r="Q12" i="42" s="1"/>
  <c r="B12" i="42"/>
  <c r="Q11" i="42"/>
  <c r="G11" i="42"/>
  <c r="F11" i="42"/>
  <c r="F10" i="42" s="1"/>
  <c r="F23" i="42" s="1"/>
  <c r="E11" i="42"/>
  <c r="D11" i="42"/>
  <c r="B11" i="42"/>
  <c r="O10" i="42"/>
  <c r="O23" i="42" s="1"/>
  <c r="N10" i="42"/>
  <c r="M10" i="42"/>
  <c r="M23" i="42" s="1"/>
  <c r="L10" i="42"/>
  <c r="L23" i="42" s="1"/>
  <c r="K10" i="42"/>
  <c r="J10" i="42"/>
  <c r="J23" i="42" s="1"/>
  <c r="I10" i="42"/>
  <c r="H10" i="42"/>
  <c r="H23" i="42" s="1"/>
  <c r="G10" i="42"/>
  <c r="O8" i="42"/>
  <c r="N8" i="42"/>
  <c r="M8" i="42"/>
  <c r="L8" i="42"/>
  <c r="K8" i="42"/>
  <c r="J8" i="42"/>
  <c r="I8" i="42"/>
  <c r="H8" i="42"/>
  <c r="G8" i="42"/>
  <c r="F8" i="42"/>
  <c r="E8" i="42"/>
  <c r="D8" i="42"/>
  <c r="Q121" i="39"/>
  <c r="G116" i="39"/>
  <c r="F116" i="39"/>
  <c r="E116" i="39"/>
  <c r="D116" i="39"/>
  <c r="Q116" i="39" s="1"/>
  <c r="Q114" i="39"/>
  <c r="B114" i="39"/>
  <c r="O113" i="39"/>
  <c r="N113" i="39"/>
  <c r="M113" i="39"/>
  <c r="L113" i="39"/>
  <c r="K113" i="39"/>
  <c r="J113" i="39"/>
  <c r="I113" i="39"/>
  <c r="H113" i="39"/>
  <c r="G113" i="39"/>
  <c r="F113" i="39"/>
  <c r="E113" i="39"/>
  <c r="D113" i="39"/>
  <c r="B113" i="39"/>
  <c r="Q112" i="39"/>
  <c r="B112" i="39"/>
  <c r="O111" i="39"/>
  <c r="N111" i="39"/>
  <c r="M111" i="39"/>
  <c r="L111" i="39"/>
  <c r="K111" i="39"/>
  <c r="J111" i="39"/>
  <c r="I111" i="39"/>
  <c r="H111" i="39"/>
  <c r="G111" i="39"/>
  <c r="F111" i="39"/>
  <c r="E111" i="39"/>
  <c r="D111" i="39"/>
  <c r="B111" i="39"/>
  <c r="Q110" i="39"/>
  <c r="B110" i="39"/>
  <c r="O109" i="39"/>
  <c r="N109" i="39"/>
  <c r="M109" i="39"/>
  <c r="L109" i="39"/>
  <c r="K109" i="39"/>
  <c r="J109" i="39"/>
  <c r="I109" i="39"/>
  <c r="H109" i="39"/>
  <c r="G109" i="39"/>
  <c r="F109" i="39"/>
  <c r="E109" i="39"/>
  <c r="D109" i="39"/>
  <c r="B109" i="39"/>
  <c r="Q108" i="39"/>
  <c r="B108" i="39"/>
  <c r="Q107" i="39"/>
  <c r="B107" i="39"/>
  <c r="O106" i="39"/>
  <c r="N106" i="39"/>
  <c r="M106" i="39"/>
  <c r="L106" i="39"/>
  <c r="K106" i="39"/>
  <c r="J106" i="39"/>
  <c r="I106" i="39"/>
  <c r="H106" i="39"/>
  <c r="G106" i="39"/>
  <c r="F106" i="39"/>
  <c r="E106" i="39"/>
  <c r="D106" i="39"/>
  <c r="Q106" i="39" s="1"/>
  <c r="B106" i="39"/>
  <c r="Q105" i="39"/>
  <c r="B105" i="39"/>
  <c r="Q104" i="39"/>
  <c r="B104" i="39"/>
  <c r="Q103" i="39"/>
  <c r="B103" i="39"/>
  <c r="Q102" i="39"/>
  <c r="B102" i="39"/>
  <c r="Q101" i="39"/>
  <c r="B101" i="39"/>
  <c r="Q100" i="39"/>
  <c r="B100" i="39"/>
  <c r="Q99" i="39"/>
  <c r="B99" i="39"/>
  <c r="Q98" i="39"/>
  <c r="B98" i="39"/>
  <c r="Q97" i="39"/>
  <c r="B97" i="39"/>
  <c r="Q96" i="39"/>
  <c r="B96" i="39"/>
  <c r="Q95" i="39"/>
  <c r="B95" i="39"/>
  <c r="O94" i="39"/>
  <c r="N94" i="39"/>
  <c r="M94" i="39"/>
  <c r="L94" i="39"/>
  <c r="K94" i="39"/>
  <c r="J94" i="39"/>
  <c r="I94" i="39"/>
  <c r="H94" i="39"/>
  <c r="G94" i="39"/>
  <c r="F94" i="39"/>
  <c r="E94" i="39"/>
  <c r="D94" i="39"/>
  <c r="Q94" i="39" s="1"/>
  <c r="B94" i="39"/>
  <c r="Q93" i="39"/>
  <c r="B93" i="39"/>
  <c r="Q92" i="39"/>
  <c r="B92" i="39"/>
  <c r="O91" i="39"/>
  <c r="N91" i="39"/>
  <c r="M91" i="39"/>
  <c r="L91" i="39"/>
  <c r="K91" i="39"/>
  <c r="J91" i="39"/>
  <c r="I91" i="39"/>
  <c r="H91" i="39"/>
  <c r="G91" i="39"/>
  <c r="F91" i="39"/>
  <c r="E91" i="39"/>
  <c r="D91" i="39"/>
  <c r="B91" i="39"/>
  <c r="Q90" i="39"/>
  <c r="B90" i="39"/>
  <c r="Q89" i="39"/>
  <c r="B89" i="39"/>
  <c r="Q88" i="39"/>
  <c r="B88" i="39"/>
  <c r="Q87" i="39"/>
  <c r="B87" i="39"/>
  <c r="Q86" i="39"/>
  <c r="B86" i="39"/>
  <c r="O85" i="39"/>
  <c r="N85" i="39"/>
  <c r="M85" i="39"/>
  <c r="L85" i="39"/>
  <c r="K85" i="39"/>
  <c r="J85" i="39"/>
  <c r="I85" i="39"/>
  <c r="H85" i="39"/>
  <c r="G85" i="39"/>
  <c r="F85" i="39"/>
  <c r="E85" i="39"/>
  <c r="D85" i="39"/>
  <c r="Q85" i="39" s="1"/>
  <c r="B85" i="39"/>
  <c r="Q84" i="39"/>
  <c r="B84" i="39"/>
  <c r="Q83" i="39"/>
  <c r="B83" i="39"/>
  <c r="O82" i="39"/>
  <c r="N82" i="39"/>
  <c r="M82" i="39"/>
  <c r="L82" i="39"/>
  <c r="K82" i="39"/>
  <c r="J82" i="39"/>
  <c r="I82" i="39"/>
  <c r="H82" i="39"/>
  <c r="G82" i="39"/>
  <c r="F82" i="39"/>
  <c r="E82" i="39"/>
  <c r="D82" i="39"/>
  <c r="Q82" i="39" s="1"/>
  <c r="B82" i="39"/>
  <c r="Q81" i="39"/>
  <c r="B81" i="39"/>
  <c r="Q80" i="39"/>
  <c r="B80" i="39"/>
  <c r="Q79" i="39"/>
  <c r="B79" i="39"/>
  <c r="O78" i="39"/>
  <c r="N78" i="39"/>
  <c r="M78" i="39"/>
  <c r="L78" i="39"/>
  <c r="K78" i="39"/>
  <c r="J78" i="39"/>
  <c r="I78" i="39"/>
  <c r="H78" i="39"/>
  <c r="G78" i="39"/>
  <c r="F78" i="39"/>
  <c r="E78" i="39"/>
  <c r="D78" i="39"/>
  <c r="B78" i="39"/>
  <c r="Q77" i="39"/>
  <c r="B77" i="39"/>
  <c r="O76" i="39"/>
  <c r="N76" i="39"/>
  <c r="M76" i="39"/>
  <c r="L76" i="39"/>
  <c r="K76" i="39"/>
  <c r="J76" i="39"/>
  <c r="I76" i="39"/>
  <c r="H76" i="39"/>
  <c r="G76" i="39"/>
  <c r="F76" i="39"/>
  <c r="E76" i="39"/>
  <c r="D76" i="39"/>
  <c r="Q76" i="39" s="1"/>
  <c r="B76" i="39"/>
  <c r="Q75" i="39"/>
  <c r="B75" i="39"/>
  <c r="O74" i="39"/>
  <c r="N74" i="39"/>
  <c r="M74" i="39"/>
  <c r="L74" i="39"/>
  <c r="K74" i="39"/>
  <c r="J74" i="39"/>
  <c r="I74" i="39"/>
  <c r="H74" i="39"/>
  <c r="G74" i="39"/>
  <c r="F74" i="39"/>
  <c r="E74" i="39"/>
  <c r="D74" i="39"/>
  <c r="B74" i="39"/>
  <c r="Q73" i="39"/>
  <c r="B73" i="39"/>
  <c r="O72" i="39"/>
  <c r="N72" i="39"/>
  <c r="M72" i="39"/>
  <c r="L72" i="39"/>
  <c r="K72" i="39"/>
  <c r="J72" i="39"/>
  <c r="I72" i="39"/>
  <c r="H72" i="39"/>
  <c r="G72" i="39"/>
  <c r="F72" i="39"/>
  <c r="E72" i="39"/>
  <c r="D72" i="39"/>
  <c r="B72" i="39"/>
  <c r="Q71" i="39"/>
  <c r="B71" i="39"/>
  <c r="O70" i="39"/>
  <c r="N70" i="39"/>
  <c r="M70" i="39"/>
  <c r="L70" i="39"/>
  <c r="K70" i="39"/>
  <c r="J70" i="39"/>
  <c r="I70" i="39"/>
  <c r="H70" i="39"/>
  <c r="G70" i="39"/>
  <c r="F70" i="39"/>
  <c r="E70" i="39"/>
  <c r="D70" i="39"/>
  <c r="Q70" i="39" s="1"/>
  <c r="B70" i="39"/>
  <c r="Q69" i="39"/>
  <c r="B69" i="39"/>
  <c r="O68" i="39"/>
  <c r="N68" i="39"/>
  <c r="M68" i="39"/>
  <c r="L68" i="39"/>
  <c r="K68" i="39"/>
  <c r="J68" i="39"/>
  <c r="I68" i="39"/>
  <c r="H68" i="39"/>
  <c r="G68" i="39"/>
  <c r="F68" i="39"/>
  <c r="E68" i="39"/>
  <c r="D68" i="39"/>
  <c r="B68" i="39"/>
  <c r="Q67" i="39"/>
  <c r="B67" i="39"/>
  <c r="Q66" i="39"/>
  <c r="B66" i="39"/>
  <c r="O65" i="39"/>
  <c r="N65" i="39"/>
  <c r="M65" i="39"/>
  <c r="L65" i="39"/>
  <c r="K65" i="39"/>
  <c r="J65" i="39"/>
  <c r="I65" i="39"/>
  <c r="H65" i="39"/>
  <c r="G65" i="39"/>
  <c r="F65" i="39"/>
  <c r="E65" i="39"/>
  <c r="D65" i="39"/>
  <c r="Q65" i="39" s="1"/>
  <c r="B65" i="39"/>
  <c r="Q64" i="39"/>
  <c r="B64" i="39"/>
  <c r="O63" i="39"/>
  <c r="N63" i="39"/>
  <c r="M63" i="39"/>
  <c r="L63" i="39"/>
  <c r="K63" i="39"/>
  <c r="J63" i="39"/>
  <c r="I63" i="39"/>
  <c r="H63" i="39"/>
  <c r="G63" i="39"/>
  <c r="F63" i="39"/>
  <c r="E63" i="39"/>
  <c r="D63" i="39"/>
  <c r="B63" i="39"/>
  <c r="Q62" i="39"/>
  <c r="B62" i="39"/>
  <c r="O61" i="39"/>
  <c r="N61" i="39"/>
  <c r="M61" i="39"/>
  <c r="L61" i="39"/>
  <c r="K61" i="39"/>
  <c r="J61" i="39"/>
  <c r="I61" i="39"/>
  <c r="H61" i="39"/>
  <c r="G61" i="39"/>
  <c r="F61" i="39"/>
  <c r="E61" i="39"/>
  <c r="D61" i="39"/>
  <c r="B61" i="39"/>
  <c r="Q60" i="39"/>
  <c r="B60" i="39"/>
  <c r="Q59" i="39"/>
  <c r="B59" i="39"/>
  <c r="Q58" i="39"/>
  <c r="B58" i="39"/>
  <c r="O57" i="39"/>
  <c r="N57" i="39"/>
  <c r="M57" i="39"/>
  <c r="L57" i="39"/>
  <c r="K57" i="39"/>
  <c r="J57" i="39"/>
  <c r="I57" i="39"/>
  <c r="H57" i="39"/>
  <c r="G57" i="39"/>
  <c r="F57" i="39"/>
  <c r="E57" i="39"/>
  <c r="D57" i="39"/>
  <c r="B57" i="39"/>
  <c r="Q56" i="39"/>
  <c r="B56" i="39"/>
  <c r="O55" i="39"/>
  <c r="N55" i="39"/>
  <c r="M55" i="39"/>
  <c r="L55" i="39"/>
  <c r="K55" i="39"/>
  <c r="K29" i="39" s="1"/>
  <c r="J55" i="39"/>
  <c r="I55" i="39"/>
  <c r="H55" i="39"/>
  <c r="G55" i="39"/>
  <c r="F55" i="39"/>
  <c r="E55" i="39"/>
  <c r="D55" i="39"/>
  <c r="B55" i="39"/>
  <c r="Q54" i="39"/>
  <c r="B54" i="39"/>
  <c r="O53" i="39"/>
  <c r="N53" i="39"/>
  <c r="M53" i="39"/>
  <c r="L53" i="39"/>
  <c r="K53" i="39"/>
  <c r="J53" i="39"/>
  <c r="I53" i="39"/>
  <c r="H53" i="39"/>
  <c r="G53" i="39"/>
  <c r="F53" i="39"/>
  <c r="E53" i="39"/>
  <c r="D53" i="39"/>
  <c r="Q53" i="39" s="1"/>
  <c r="B53" i="39"/>
  <c r="Q52" i="39"/>
  <c r="B52" i="39"/>
  <c r="O51" i="39"/>
  <c r="N51" i="39"/>
  <c r="M51" i="39"/>
  <c r="L51" i="39"/>
  <c r="K51" i="39"/>
  <c r="J51" i="39"/>
  <c r="I51" i="39"/>
  <c r="H51" i="39"/>
  <c r="G51" i="39"/>
  <c r="F51" i="39"/>
  <c r="E51" i="39"/>
  <c r="D51" i="39"/>
  <c r="B51" i="39"/>
  <c r="Q50" i="39"/>
  <c r="B50" i="39"/>
  <c r="Q49" i="39"/>
  <c r="B49" i="39"/>
  <c r="Q48" i="39"/>
  <c r="B48" i="39"/>
  <c r="Q47" i="39"/>
  <c r="B47" i="39"/>
  <c r="Q46" i="39"/>
  <c r="B46" i="39"/>
  <c r="Q45" i="39"/>
  <c r="B45" i="39"/>
  <c r="Q44" i="39"/>
  <c r="B44" i="39"/>
  <c r="Q43" i="39"/>
  <c r="B43" i="39"/>
  <c r="Q42" i="39"/>
  <c r="B42" i="39"/>
  <c r="Q41" i="39"/>
  <c r="B41" i="39"/>
  <c r="O40" i="39"/>
  <c r="N40" i="39"/>
  <c r="M40" i="39"/>
  <c r="L40" i="39"/>
  <c r="K40" i="39"/>
  <c r="J40" i="39"/>
  <c r="I40" i="39"/>
  <c r="H40" i="39"/>
  <c r="G40" i="39"/>
  <c r="F40" i="39"/>
  <c r="E40" i="39"/>
  <c r="D40" i="39"/>
  <c r="B40" i="39"/>
  <c r="Q39" i="39"/>
  <c r="B39" i="39"/>
  <c r="Q38" i="39"/>
  <c r="B38" i="39"/>
  <c r="Q37" i="39"/>
  <c r="B37" i="39"/>
  <c r="Q36" i="39"/>
  <c r="B36" i="39"/>
  <c r="Q35" i="39"/>
  <c r="B35" i="39"/>
  <c r="Q34" i="39"/>
  <c r="B34" i="39"/>
  <c r="Q33" i="39"/>
  <c r="B33" i="39"/>
  <c r="Q32" i="39"/>
  <c r="B32" i="39"/>
  <c r="Q31" i="39"/>
  <c r="B31" i="39"/>
  <c r="O30" i="39"/>
  <c r="N30" i="39"/>
  <c r="M30" i="39"/>
  <c r="L30" i="39"/>
  <c r="K30" i="39"/>
  <c r="J30" i="39"/>
  <c r="I30" i="39"/>
  <c r="H30" i="39"/>
  <c r="G30" i="39"/>
  <c r="F30" i="39"/>
  <c r="E30" i="39"/>
  <c r="D30" i="39"/>
  <c r="B30" i="39"/>
  <c r="N29" i="39"/>
  <c r="E29" i="39"/>
  <c r="O27" i="39"/>
  <c r="I27" i="39"/>
  <c r="O26" i="39"/>
  <c r="J26" i="39"/>
  <c r="F26" i="39"/>
  <c r="Q24" i="39"/>
  <c r="Q21" i="39" s="1"/>
  <c r="B24" i="39"/>
  <c r="Q23" i="39"/>
  <c r="B23" i="39"/>
  <c r="Q22" i="39"/>
  <c r="B22" i="39"/>
  <c r="O21" i="39"/>
  <c r="N21" i="39"/>
  <c r="M21" i="39"/>
  <c r="M26" i="39" s="1"/>
  <c r="L21" i="39"/>
  <c r="K21" i="39"/>
  <c r="J21" i="39"/>
  <c r="I21" i="39"/>
  <c r="H21" i="39"/>
  <c r="G21" i="39"/>
  <c r="F21" i="39"/>
  <c r="E21" i="39"/>
  <c r="D21" i="39"/>
  <c r="G19" i="39"/>
  <c r="F19" i="39"/>
  <c r="E19" i="39"/>
  <c r="D19" i="39"/>
  <c r="Q19" i="39" s="1"/>
  <c r="B19" i="39"/>
  <c r="G18" i="39"/>
  <c r="F18" i="39"/>
  <c r="E18" i="39"/>
  <c r="D18" i="39"/>
  <c r="Q18" i="39" s="1"/>
  <c r="B18" i="39"/>
  <c r="G17" i="39"/>
  <c r="F17" i="39"/>
  <c r="E17" i="39"/>
  <c r="D17" i="39"/>
  <c r="B17" i="39"/>
  <c r="G16" i="39"/>
  <c r="F16" i="39"/>
  <c r="E16" i="39"/>
  <c r="D16" i="39"/>
  <c r="Q16" i="39" s="1"/>
  <c r="B16" i="39"/>
  <c r="G15" i="39"/>
  <c r="F15" i="39"/>
  <c r="F10" i="39" s="1"/>
  <c r="E15" i="39"/>
  <c r="D15" i="39"/>
  <c r="B15" i="39"/>
  <c r="G14" i="39"/>
  <c r="F14" i="39"/>
  <c r="E14" i="39"/>
  <c r="D14" i="39"/>
  <c r="Q14" i="39" s="1"/>
  <c r="B14" i="39"/>
  <c r="G13" i="39"/>
  <c r="F13" i="39"/>
  <c r="E13" i="39"/>
  <c r="D13" i="39"/>
  <c r="B13" i="39"/>
  <c r="G12" i="39"/>
  <c r="F12" i="39"/>
  <c r="E12" i="39"/>
  <c r="D12" i="39"/>
  <c r="Q12" i="39" s="1"/>
  <c r="B12" i="39"/>
  <c r="G11" i="39"/>
  <c r="G10" i="39" s="1"/>
  <c r="G26" i="39" s="1"/>
  <c r="F11" i="39"/>
  <c r="E11" i="39"/>
  <c r="D11" i="39"/>
  <c r="B11" i="39"/>
  <c r="O10" i="39"/>
  <c r="N10" i="39"/>
  <c r="M10" i="39"/>
  <c r="L10" i="39"/>
  <c r="L26" i="39" s="1"/>
  <c r="K10" i="39"/>
  <c r="J10" i="39"/>
  <c r="I10" i="39"/>
  <c r="I26" i="39" s="1"/>
  <c r="H10" i="39"/>
  <c r="H26" i="39" s="1"/>
  <c r="E10" i="39"/>
  <c r="E26" i="39" s="1"/>
  <c r="O8" i="39"/>
  <c r="N8" i="39"/>
  <c r="M8" i="39"/>
  <c r="L8" i="39"/>
  <c r="K8" i="39"/>
  <c r="J8" i="39"/>
  <c r="I8" i="39"/>
  <c r="H8" i="39"/>
  <c r="G8" i="39"/>
  <c r="F8" i="39"/>
  <c r="E8" i="39"/>
  <c r="D8" i="39"/>
  <c r="Q124" i="36"/>
  <c r="G119" i="36"/>
  <c r="F119" i="36"/>
  <c r="E119" i="36"/>
  <c r="D119" i="36"/>
  <c r="Q117" i="36"/>
  <c r="B117" i="36"/>
  <c r="O116" i="36"/>
  <c r="N116" i="36"/>
  <c r="M116" i="36"/>
  <c r="L116" i="36"/>
  <c r="K116" i="36"/>
  <c r="J116" i="36"/>
  <c r="I116" i="36"/>
  <c r="H116" i="36"/>
  <c r="G116" i="36"/>
  <c r="F116" i="36"/>
  <c r="E116" i="36"/>
  <c r="D116" i="36"/>
  <c r="B116" i="36"/>
  <c r="Q115" i="36"/>
  <c r="B115" i="36"/>
  <c r="Q114" i="36"/>
  <c r="B114" i="36"/>
  <c r="O113" i="36"/>
  <c r="N113" i="36"/>
  <c r="M113" i="36"/>
  <c r="L113" i="36"/>
  <c r="K113" i="36"/>
  <c r="J113" i="36"/>
  <c r="I113" i="36"/>
  <c r="H113" i="36"/>
  <c r="G113" i="36"/>
  <c r="F113" i="36"/>
  <c r="E113" i="36"/>
  <c r="D113" i="36"/>
  <c r="Q113" i="36" s="1"/>
  <c r="B113" i="36"/>
  <c r="Q112" i="36"/>
  <c r="B112" i="36"/>
  <c r="O111" i="36"/>
  <c r="N111" i="36"/>
  <c r="M111" i="36"/>
  <c r="L111" i="36"/>
  <c r="K111" i="36"/>
  <c r="J111" i="36"/>
  <c r="I111" i="36"/>
  <c r="H111" i="36"/>
  <c r="G111" i="36"/>
  <c r="F111" i="36"/>
  <c r="E111" i="36"/>
  <c r="D111" i="36"/>
  <c r="B111" i="36"/>
  <c r="Q110" i="36"/>
  <c r="B110" i="36"/>
  <c r="Q109" i="36"/>
  <c r="B109" i="36"/>
  <c r="O108" i="36"/>
  <c r="N108" i="36"/>
  <c r="M108" i="36"/>
  <c r="L108" i="36"/>
  <c r="K108" i="36"/>
  <c r="J108" i="36"/>
  <c r="I108" i="36"/>
  <c r="H108" i="36"/>
  <c r="G108" i="36"/>
  <c r="F108" i="36"/>
  <c r="E108" i="36"/>
  <c r="D108" i="36"/>
  <c r="B108" i="36"/>
  <c r="Q107" i="36"/>
  <c r="B107" i="36"/>
  <c r="Q106" i="36"/>
  <c r="B106" i="36"/>
  <c r="Q105" i="36"/>
  <c r="B105" i="36"/>
  <c r="Q104" i="36"/>
  <c r="B104" i="36"/>
  <c r="Q103" i="36"/>
  <c r="B103" i="36"/>
  <c r="Q102" i="36"/>
  <c r="B102" i="36"/>
  <c r="Q101" i="36"/>
  <c r="B101" i="36"/>
  <c r="Q100" i="36"/>
  <c r="B100" i="36"/>
  <c r="Q99" i="36"/>
  <c r="B99" i="36"/>
  <c r="Q98" i="36"/>
  <c r="B98" i="36"/>
  <c r="Q97" i="36"/>
  <c r="B97" i="36"/>
  <c r="O96" i="36"/>
  <c r="N96" i="36"/>
  <c r="M96" i="36"/>
  <c r="L96" i="36"/>
  <c r="K96" i="36"/>
  <c r="J96" i="36"/>
  <c r="I96" i="36"/>
  <c r="H96" i="36"/>
  <c r="G96" i="36"/>
  <c r="F96" i="36"/>
  <c r="E96" i="36"/>
  <c r="D96" i="36"/>
  <c r="B96" i="36"/>
  <c r="Q95" i="36"/>
  <c r="B95" i="36"/>
  <c r="Q94" i="36"/>
  <c r="B94" i="36"/>
  <c r="O93" i="36"/>
  <c r="N93" i="36"/>
  <c r="M93" i="36"/>
  <c r="L93" i="36"/>
  <c r="K93" i="36"/>
  <c r="J93" i="36"/>
  <c r="I93" i="36"/>
  <c r="H93" i="36"/>
  <c r="G93" i="36"/>
  <c r="F93" i="36"/>
  <c r="E93" i="36"/>
  <c r="D93" i="36"/>
  <c r="B93" i="36"/>
  <c r="Q92" i="36"/>
  <c r="B92" i="36"/>
  <c r="Q91" i="36"/>
  <c r="B91" i="36"/>
  <c r="Q90" i="36"/>
  <c r="B90" i="36"/>
  <c r="Q89" i="36"/>
  <c r="B89" i="36"/>
  <c r="Q88" i="36"/>
  <c r="B88" i="36"/>
  <c r="O87" i="36"/>
  <c r="N87" i="36"/>
  <c r="M87" i="36"/>
  <c r="L87" i="36"/>
  <c r="K87" i="36"/>
  <c r="J87" i="36"/>
  <c r="I87" i="36"/>
  <c r="H87" i="36"/>
  <c r="G87" i="36"/>
  <c r="F87" i="36"/>
  <c r="E87" i="36"/>
  <c r="D87" i="36"/>
  <c r="Q87" i="36" s="1"/>
  <c r="B87" i="36"/>
  <c r="Q86" i="36"/>
  <c r="B86" i="36"/>
  <c r="Q85" i="36"/>
  <c r="B85" i="36"/>
  <c r="O84" i="36"/>
  <c r="N84" i="36"/>
  <c r="M84" i="36"/>
  <c r="L84" i="36"/>
  <c r="K84" i="36"/>
  <c r="J84" i="36"/>
  <c r="I84" i="36"/>
  <c r="H84" i="36"/>
  <c r="G84" i="36"/>
  <c r="F84" i="36"/>
  <c r="E84" i="36"/>
  <c r="D84" i="36"/>
  <c r="Q84" i="36" s="1"/>
  <c r="B84" i="36"/>
  <c r="Q83" i="36"/>
  <c r="B83" i="36"/>
  <c r="Q82" i="36"/>
  <c r="B82" i="36"/>
  <c r="Q81" i="36"/>
  <c r="B81" i="36"/>
  <c r="Q80" i="36"/>
  <c r="B80" i="36"/>
  <c r="O79" i="36"/>
  <c r="N79" i="36"/>
  <c r="M79" i="36"/>
  <c r="L79" i="36"/>
  <c r="K79" i="36"/>
  <c r="J79" i="36"/>
  <c r="I79" i="36"/>
  <c r="H79" i="36"/>
  <c r="G79" i="36"/>
  <c r="F79" i="36"/>
  <c r="E79" i="36"/>
  <c r="D79" i="36"/>
  <c r="B79" i="36"/>
  <c r="Q78" i="36"/>
  <c r="B78" i="36"/>
  <c r="O77" i="36"/>
  <c r="N77" i="36"/>
  <c r="M77" i="36"/>
  <c r="L77" i="36"/>
  <c r="K77" i="36"/>
  <c r="J77" i="36"/>
  <c r="I77" i="36"/>
  <c r="H77" i="36"/>
  <c r="G77" i="36"/>
  <c r="F77" i="36"/>
  <c r="E77" i="36"/>
  <c r="D77" i="36"/>
  <c r="Q77" i="36" s="1"/>
  <c r="B77" i="36"/>
  <c r="Q76" i="36"/>
  <c r="B76" i="36"/>
  <c r="O75" i="36"/>
  <c r="N75" i="36"/>
  <c r="M75" i="36"/>
  <c r="L75" i="36"/>
  <c r="K75" i="36"/>
  <c r="J75" i="36"/>
  <c r="I75" i="36"/>
  <c r="H75" i="36"/>
  <c r="G75" i="36"/>
  <c r="F75" i="36"/>
  <c r="E75" i="36"/>
  <c r="D75" i="36"/>
  <c r="B75" i="36"/>
  <c r="Q74" i="36"/>
  <c r="B74" i="36"/>
  <c r="O73" i="36"/>
  <c r="N73" i="36"/>
  <c r="M73" i="36"/>
  <c r="L73" i="36"/>
  <c r="K73" i="36"/>
  <c r="J73" i="36"/>
  <c r="I73" i="36"/>
  <c r="H73" i="36"/>
  <c r="G73" i="36"/>
  <c r="F73" i="36"/>
  <c r="E73" i="36"/>
  <c r="D73" i="36"/>
  <c r="B73" i="36"/>
  <c r="Q72" i="36"/>
  <c r="B72" i="36"/>
  <c r="O71" i="36"/>
  <c r="N71" i="36"/>
  <c r="M71" i="36"/>
  <c r="L71" i="36"/>
  <c r="K71" i="36"/>
  <c r="J71" i="36"/>
  <c r="I71" i="36"/>
  <c r="H71" i="36"/>
  <c r="G71" i="36"/>
  <c r="F71" i="36"/>
  <c r="E71" i="36"/>
  <c r="D71" i="36"/>
  <c r="B71" i="36"/>
  <c r="Q70" i="36"/>
  <c r="B70" i="36"/>
  <c r="O69" i="36"/>
  <c r="N69" i="36"/>
  <c r="M69" i="36"/>
  <c r="L69" i="36"/>
  <c r="K69" i="36"/>
  <c r="J69" i="36"/>
  <c r="I69" i="36"/>
  <c r="H69" i="36"/>
  <c r="G69" i="36"/>
  <c r="F69" i="36"/>
  <c r="E69" i="36"/>
  <c r="E28" i="36" s="1"/>
  <c r="D69" i="36"/>
  <c r="B69" i="36"/>
  <c r="Q68" i="36"/>
  <c r="B68" i="36"/>
  <c r="O67" i="36"/>
  <c r="N67" i="36"/>
  <c r="M67" i="36"/>
  <c r="L67" i="36"/>
  <c r="K67" i="36"/>
  <c r="J67" i="36"/>
  <c r="I67" i="36"/>
  <c r="H67" i="36"/>
  <c r="G67" i="36"/>
  <c r="F67" i="36"/>
  <c r="E67" i="36"/>
  <c r="D67" i="36"/>
  <c r="B67" i="36"/>
  <c r="Q66" i="36"/>
  <c r="B66" i="36"/>
  <c r="O65" i="36"/>
  <c r="N65" i="36"/>
  <c r="M65" i="36"/>
  <c r="L65" i="36"/>
  <c r="K65" i="36"/>
  <c r="J65" i="36"/>
  <c r="I65" i="36"/>
  <c r="H65" i="36"/>
  <c r="G65" i="36"/>
  <c r="F65" i="36"/>
  <c r="E65" i="36"/>
  <c r="D65" i="36"/>
  <c r="Q65" i="36" s="1"/>
  <c r="B65" i="36"/>
  <c r="Q64" i="36"/>
  <c r="B64" i="36"/>
  <c r="O63" i="36"/>
  <c r="N63" i="36"/>
  <c r="M63" i="36"/>
  <c r="L63" i="36"/>
  <c r="K63" i="36"/>
  <c r="J63" i="36"/>
  <c r="I63" i="36"/>
  <c r="H63" i="36"/>
  <c r="G63" i="36"/>
  <c r="F63" i="36"/>
  <c r="E63" i="36"/>
  <c r="D63" i="36"/>
  <c r="B63" i="36"/>
  <c r="Q62" i="36"/>
  <c r="B62" i="36"/>
  <c r="O61" i="36"/>
  <c r="N61" i="36"/>
  <c r="M61" i="36"/>
  <c r="L61" i="36"/>
  <c r="K61" i="36"/>
  <c r="J61" i="36"/>
  <c r="I61" i="36"/>
  <c r="H61" i="36"/>
  <c r="G61" i="36"/>
  <c r="F61" i="36"/>
  <c r="E61" i="36"/>
  <c r="D61" i="36"/>
  <c r="B61" i="36"/>
  <c r="Q60" i="36"/>
  <c r="B60" i="36"/>
  <c r="Q59" i="36"/>
  <c r="B59" i="36"/>
  <c r="Q58" i="36"/>
  <c r="B58" i="36"/>
  <c r="O57" i="36"/>
  <c r="N57" i="36"/>
  <c r="M57" i="36"/>
  <c r="L57" i="36"/>
  <c r="K57" i="36"/>
  <c r="J57" i="36"/>
  <c r="I57" i="36"/>
  <c r="H57" i="36"/>
  <c r="G57" i="36"/>
  <c r="F57" i="36"/>
  <c r="E57" i="36"/>
  <c r="D57" i="36"/>
  <c r="Q57" i="36" s="1"/>
  <c r="B57" i="36"/>
  <c r="Q56" i="36"/>
  <c r="B56" i="36"/>
  <c r="O55" i="36"/>
  <c r="N55" i="36"/>
  <c r="M55" i="36"/>
  <c r="L55" i="36"/>
  <c r="K55" i="36"/>
  <c r="J55" i="36"/>
  <c r="I55" i="36"/>
  <c r="H55" i="36"/>
  <c r="G55" i="36"/>
  <c r="F55" i="36"/>
  <c r="E55" i="36"/>
  <c r="D55" i="36"/>
  <c r="B55" i="36"/>
  <c r="Q54" i="36"/>
  <c r="B54" i="36"/>
  <c r="O53" i="36"/>
  <c r="N53" i="36"/>
  <c r="M53" i="36"/>
  <c r="L53" i="36"/>
  <c r="K53" i="36"/>
  <c r="J53" i="36"/>
  <c r="I53" i="36"/>
  <c r="H53" i="36"/>
  <c r="G53" i="36"/>
  <c r="F53" i="36"/>
  <c r="E53" i="36"/>
  <c r="D53" i="36"/>
  <c r="Q53" i="36" s="1"/>
  <c r="B53" i="36"/>
  <c r="Q52" i="36"/>
  <c r="B52" i="36"/>
  <c r="O51" i="36"/>
  <c r="N51" i="36"/>
  <c r="M51" i="36"/>
  <c r="L51" i="36"/>
  <c r="K51" i="36"/>
  <c r="J51" i="36"/>
  <c r="I51" i="36"/>
  <c r="H51" i="36"/>
  <c r="G51" i="36"/>
  <c r="F51" i="36"/>
  <c r="E51" i="36"/>
  <c r="D51" i="36"/>
  <c r="B51" i="36"/>
  <c r="Q50" i="36"/>
  <c r="B50" i="36"/>
  <c r="Q49" i="36"/>
  <c r="B49" i="36"/>
  <c r="Q48" i="36"/>
  <c r="B48" i="36"/>
  <c r="Q47" i="36"/>
  <c r="B47" i="36"/>
  <c r="Q46" i="36"/>
  <c r="B46" i="36"/>
  <c r="Q45" i="36"/>
  <c r="B45" i="36"/>
  <c r="Q44" i="36"/>
  <c r="B44" i="36"/>
  <c r="Q43" i="36"/>
  <c r="B43" i="36"/>
  <c r="Q42" i="36"/>
  <c r="B42" i="36"/>
  <c r="Q41" i="36"/>
  <c r="B41" i="36"/>
  <c r="O40" i="36"/>
  <c r="N40" i="36"/>
  <c r="M40" i="36"/>
  <c r="L40" i="36"/>
  <c r="K40" i="36"/>
  <c r="J40" i="36"/>
  <c r="I40" i="36"/>
  <c r="H40" i="36"/>
  <c r="G40" i="36"/>
  <c r="F40" i="36"/>
  <c r="E40" i="36"/>
  <c r="D40" i="36"/>
  <c r="B40" i="36"/>
  <c r="Q39" i="36"/>
  <c r="B39" i="36"/>
  <c r="Q38" i="36"/>
  <c r="B38" i="36"/>
  <c r="Q37" i="36"/>
  <c r="B37" i="36"/>
  <c r="Q36" i="36"/>
  <c r="B36" i="36"/>
  <c r="Q35" i="36"/>
  <c r="B35" i="36"/>
  <c r="Q34" i="36"/>
  <c r="B34" i="36"/>
  <c r="Q33" i="36"/>
  <c r="B33" i="36"/>
  <c r="Q32" i="36"/>
  <c r="B32" i="36"/>
  <c r="Q31" i="36"/>
  <c r="B31" i="36"/>
  <c r="Q30" i="36"/>
  <c r="B30" i="36"/>
  <c r="O29" i="36"/>
  <c r="N29" i="36"/>
  <c r="M29" i="36"/>
  <c r="L29" i="36"/>
  <c r="K29" i="36"/>
  <c r="J29" i="36"/>
  <c r="I29" i="36"/>
  <c r="H29" i="36"/>
  <c r="G29" i="36"/>
  <c r="F29" i="36"/>
  <c r="E29" i="36"/>
  <c r="D29" i="36"/>
  <c r="B29" i="36"/>
  <c r="F28" i="36"/>
  <c r="J26" i="36"/>
  <c r="D26" i="36"/>
  <c r="K25" i="36"/>
  <c r="K26" i="36" s="1"/>
  <c r="H25" i="36"/>
  <c r="Q23" i="36"/>
  <c r="B23" i="36"/>
  <c r="Q22" i="36"/>
  <c r="B22" i="36"/>
  <c r="Q21" i="36"/>
  <c r="Q20" i="36" s="1"/>
  <c r="B21" i="36"/>
  <c r="O20" i="36"/>
  <c r="N20" i="36"/>
  <c r="M20" i="36"/>
  <c r="L20" i="36"/>
  <c r="K20" i="36"/>
  <c r="J20" i="36"/>
  <c r="I20" i="36"/>
  <c r="H20" i="36"/>
  <c r="G20" i="36"/>
  <c r="F20" i="36"/>
  <c r="E20" i="36"/>
  <c r="D20" i="36"/>
  <c r="G18" i="36"/>
  <c r="Q18" i="36" s="1"/>
  <c r="F18" i="36"/>
  <c r="E18" i="36"/>
  <c r="D18" i="36"/>
  <c r="B18" i="36"/>
  <c r="G17" i="36"/>
  <c r="F17" i="36"/>
  <c r="E17" i="36"/>
  <c r="Q17" i="36" s="1"/>
  <c r="D17" i="36"/>
  <c r="B17" i="36"/>
  <c r="G16" i="36"/>
  <c r="F16" i="36"/>
  <c r="E16" i="36"/>
  <c r="Q16" i="36" s="1"/>
  <c r="D16" i="36"/>
  <c r="B16" i="36"/>
  <c r="G15" i="36"/>
  <c r="F15" i="36"/>
  <c r="E15" i="36"/>
  <c r="Q15" i="36" s="1"/>
  <c r="D15" i="36"/>
  <c r="B15" i="36"/>
  <c r="G14" i="36"/>
  <c r="F14" i="36"/>
  <c r="E14" i="36"/>
  <c r="Q14" i="36" s="1"/>
  <c r="D14" i="36"/>
  <c r="B14" i="36"/>
  <c r="G13" i="36"/>
  <c r="F13" i="36"/>
  <c r="E13" i="36"/>
  <c r="Q13" i="36" s="1"/>
  <c r="D13" i="36"/>
  <c r="B13" i="36"/>
  <c r="G12" i="36"/>
  <c r="F12" i="36"/>
  <c r="F10" i="36" s="1"/>
  <c r="E12" i="36"/>
  <c r="D12" i="36"/>
  <c r="B12" i="36"/>
  <c r="G11" i="36"/>
  <c r="F11" i="36"/>
  <c r="E11" i="36"/>
  <c r="D11" i="36"/>
  <c r="B11" i="36"/>
  <c r="O10" i="36"/>
  <c r="N10" i="36"/>
  <c r="N25" i="36" s="1"/>
  <c r="M10" i="36"/>
  <c r="M25" i="36" s="1"/>
  <c r="M26" i="36" s="1"/>
  <c r="L10" i="36"/>
  <c r="L25" i="36" s="1"/>
  <c r="K10" i="36"/>
  <c r="J10" i="36"/>
  <c r="J25" i="36" s="1"/>
  <c r="I10" i="36"/>
  <c r="I25" i="36" s="1"/>
  <c r="H10" i="36"/>
  <c r="D10" i="36"/>
  <c r="D25" i="36" s="1"/>
  <c r="O8" i="36"/>
  <c r="N8" i="36"/>
  <c r="M8" i="36"/>
  <c r="L8" i="36"/>
  <c r="K8" i="36"/>
  <c r="J8" i="36"/>
  <c r="I8" i="36"/>
  <c r="H8" i="36"/>
  <c r="G8" i="36"/>
  <c r="F8" i="36"/>
  <c r="E8" i="36"/>
  <c r="D8" i="36"/>
  <c r="Q81" i="33"/>
  <c r="G76" i="33"/>
  <c r="F76" i="33"/>
  <c r="E76" i="33"/>
  <c r="Q76" i="33" s="1"/>
  <c r="D76" i="33"/>
  <c r="Q74" i="33"/>
  <c r="B74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B73" i="33"/>
  <c r="Q72" i="33"/>
  <c r="B72" i="33"/>
  <c r="O71" i="33"/>
  <c r="N71" i="33"/>
  <c r="M71" i="33"/>
  <c r="L71" i="33"/>
  <c r="K71" i="33"/>
  <c r="J71" i="33"/>
  <c r="I71" i="33"/>
  <c r="H71" i="33"/>
  <c r="G71" i="33"/>
  <c r="F71" i="33"/>
  <c r="E71" i="33"/>
  <c r="D71" i="33"/>
  <c r="B71" i="33"/>
  <c r="Q70" i="33"/>
  <c r="B70" i="33"/>
  <c r="Q69" i="33"/>
  <c r="B69" i="33"/>
  <c r="Q68" i="33"/>
  <c r="B68" i="33"/>
  <c r="Q67" i="33"/>
  <c r="B67" i="33"/>
  <c r="Q66" i="33"/>
  <c r="B66" i="33"/>
  <c r="O65" i="33"/>
  <c r="N65" i="33"/>
  <c r="M65" i="33"/>
  <c r="L65" i="33"/>
  <c r="K65" i="33"/>
  <c r="J65" i="33"/>
  <c r="I65" i="33"/>
  <c r="H65" i="33"/>
  <c r="G65" i="33"/>
  <c r="F65" i="33"/>
  <c r="E65" i="33"/>
  <c r="D65" i="33"/>
  <c r="B65" i="33"/>
  <c r="Q64" i="33"/>
  <c r="B64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Q63" i="33" s="1"/>
  <c r="B63" i="33"/>
  <c r="Q62" i="33"/>
  <c r="B62" i="33"/>
  <c r="Q61" i="33"/>
  <c r="B61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Q60" i="33" s="1"/>
  <c r="B60" i="33"/>
  <c r="Q59" i="33"/>
  <c r="B59" i="33"/>
  <c r="Q58" i="33"/>
  <c r="B58" i="33"/>
  <c r="O57" i="33"/>
  <c r="N57" i="33"/>
  <c r="M57" i="33"/>
  <c r="L57" i="33"/>
  <c r="K57" i="33"/>
  <c r="J57" i="33"/>
  <c r="I57" i="33"/>
  <c r="H57" i="33"/>
  <c r="G57" i="33"/>
  <c r="F57" i="33"/>
  <c r="E57" i="33"/>
  <c r="D57" i="33"/>
  <c r="Q57" i="33" s="1"/>
  <c r="B57" i="33"/>
  <c r="Q56" i="33"/>
  <c r="B56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Q55" i="33" s="1"/>
  <c r="B55" i="33"/>
  <c r="Q54" i="33"/>
  <c r="B54" i="33"/>
  <c r="O53" i="33"/>
  <c r="N53" i="33"/>
  <c r="M53" i="33"/>
  <c r="L53" i="33"/>
  <c r="K53" i="33"/>
  <c r="J53" i="33"/>
  <c r="I53" i="33"/>
  <c r="I27" i="33" s="1"/>
  <c r="H53" i="33"/>
  <c r="G53" i="33"/>
  <c r="F53" i="33"/>
  <c r="E53" i="33"/>
  <c r="D53" i="33"/>
  <c r="B53" i="33"/>
  <c r="Q52" i="33"/>
  <c r="B52" i="33"/>
  <c r="O51" i="33"/>
  <c r="N51" i="33"/>
  <c r="M51" i="33"/>
  <c r="M27" i="33" s="1"/>
  <c r="L51" i="33"/>
  <c r="L27" i="33" s="1"/>
  <c r="L78" i="33" s="1"/>
  <c r="K51" i="33"/>
  <c r="J51" i="33"/>
  <c r="I51" i="33"/>
  <c r="H51" i="33"/>
  <c r="G51" i="33"/>
  <c r="F51" i="33"/>
  <c r="E51" i="33"/>
  <c r="D51" i="33"/>
  <c r="B51" i="33"/>
  <c r="Q50" i="33"/>
  <c r="B50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Q49" i="33" s="1"/>
  <c r="B49" i="33"/>
  <c r="Q48" i="33"/>
  <c r="B48" i="33"/>
  <c r="Q47" i="33"/>
  <c r="B47" i="33"/>
  <c r="Q46" i="33"/>
  <c r="B46" i="33"/>
  <c r="Q45" i="33"/>
  <c r="B45" i="33"/>
  <c r="Q44" i="33"/>
  <c r="B44" i="33"/>
  <c r="Q43" i="33"/>
  <c r="B43" i="33"/>
  <c r="Q42" i="33"/>
  <c r="B42" i="33"/>
  <c r="Q41" i="33"/>
  <c r="B41" i="33"/>
  <c r="Q40" i="33"/>
  <c r="B40" i="33"/>
  <c r="Q39" i="33"/>
  <c r="B39" i="33"/>
  <c r="O38" i="33"/>
  <c r="O27" i="33" s="1"/>
  <c r="N38" i="33"/>
  <c r="M38" i="33"/>
  <c r="L38" i="33"/>
  <c r="K38" i="33"/>
  <c r="J38" i="33"/>
  <c r="I38" i="33"/>
  <c r="H38" i="33"/>
  <c r="G38" i="33"/>
  <c r="F38" i="33"/>
  <c r="E38" i="33"/>
  <c r="D38" i="33"/>
  <c r="B38" i="33"/>
  <c r="Q37" i="33"/>
  <c r="B37" i="33"/>
  <c r="Q36" i="33"/>
  <c r="B36" i="33"/>
  <c r="Q35" i="33"/>
  <c r="B35" i="33"/>
  <c r="Q34" i="33"/>
  <c r="B34" i="33"/>
  <c r="Q33" i="33"/>
  <c r="B33" i="33"/>
  <c r="Q32" i="33"/>
  <c r="B32" i="33"/>
  <c r="Q31" i="33"/>
  <c r="B31" i="33"/>
  <c r="Q30" i="33"/>
  <c r="B30" i="33"/>
  <c r="Q29" i="33"/>
  <c r="B29" i="33"/>
  <c r="O28" i="33"/>
  <c r="N28" i="33"/>
  <c r="M28" i="33"/>
  <c r="L28" i="33"/>
  <c r="K28" i="33"/>
  <c r="K27" i="33" s="1"/>
  <c r="J28" i="33"/>
  <c r="J27" i="33" s="1"/>
  <c r="I28" i="33"/>
  <c r="H28" i="33"/>
  <c r="G28" i="33"/>
  <c r="G27" i="33" s="1"/>
  <c r="F28" i="33"/>
  <c r="E28" i="33"/>
  <c r="D28" i="33"/>
  <c r="B28" i="33"/>
  <c r="F27" i="33"/>
  <c r="J25" i="33"/>
  <c r="O24" i="33"/>
  <c r="L24" i="33"/>
  <c r="L25" i="33" s="1"/>
  <c r="K24" i="33"/>
  <c r="H24" i="33"/>
  <c r="Q22" i="33"/>
  <c r="O22" i="33"/>
  <c r="N22" i="33"/>
  <c r="M22" i="33"/>
  <c r="L22" i="33"/>
  <c r="K22" i="33"/>
  <c r="J22" i="33"/>
  <c r="I22" i="33"/>
  <c r="I24" i="33" s="1"/>
  <c r="I25" i="33" s="1"/>
  <c r="H22" i="33"/>
  <c r="G22" i="33"/>
  <c r="F22" i="33"/>
  <c r="E22" i="33"/>
  <c r="D22" i="33"/>
  <c r="G20" i="33"/>
  <c r="F20" i="33"/>
  <c r="Q20" i="33" s="1"/>
  <c r="E20" i="33"/>
  <c r="D20" i="33"/>
  <c r="B20" i="33"/>
  <c r="G19" i="33"/>
  <c r="F19" i="33"/>
  <c r="Q19" i="33" s="1"/>
  <c r="E19" i="33"/>
  <c r="D19" i="33"/>
  <c r="B19" i="33"/>
  <c r="G18" i="33"/>
  <c r="F18" i="33"/>
  <c r="Q18" i="33" s="1"/>
  <c r="E18" i="33"/>
  <c r="D18" i="33"/>
  <c r="B18" i="33"/>
  <c r="G17" i="33"/>
  <c r="F17" i="33"/>
  <c r="Q17" i="33" s="1"/>
  <c r="E17" i="33"/>
  <c r="D17" i="33"/>
  <c r="B17" i="33"/>
  <c r="G16" i="33"/>
  <c r="F16" i="33"/>
  <c r="Q16" i="33" s="1"/>
  <c r="E16" i="33"/>
  <c r="D16" i="33"/>
  <c r="B16" i="33"/>
  <c r="G15" i="33"/>
  <c r="F15" i="33"/>
  <c r="Q15" i="33" s="1"/>
  <c r="E15" i="33"/>
  <c r="D15" i="33"/>
  <c r="B15" i="33"/>
  <c r="G14" i="33"/>
  <c r="F14" i="33"/>
  <c r="Q14" i="33" s="1"/>
  <c r="E14" i="33"/>
  <c r="D14" i="33"/>
  <c r="B14" i="33"/>
  <c r="G13" i="33"/>
  <c r="F13" i="33"/>
  <c r="Q13" i="33" s="1"/>
  <c r="E13" i="33"/>
  <c r="D13" i="33"/>
  <c r="B13" i="33"/>
  <c r="G12" i="33"/>
  <c r="G10" i="33" s="1"/>
  <c r="F12" i="33"/>
  <c r="Q12" i="33" s="1"/>
  <c r="E12" i="33"/>
  <c r="D12" i="33"/>
  <c r="B12" i="33"/>
  <c r="G11" i="33"/>
  <c r="F11" i="33"/>
  <c r="E11" i="33"/>
  <c r="D11" i="33"/>
  <c r="B11" i="33"/>
  <c r="O10" i="33"/>
  <c r="N10" i="33"/>
  <c r="N24" i="33" s="1"/>
  <c r="N25" i="33" s="1"/>
  <c r="M10" i="33"/>
  <c r="L10" i="33"/>
  <c r="K10" i="33"/>
  <c r="J10" i="33"/>
  <c r="J24" i="33" s="1"/>
  <c r="I10" i="33"/>
  <c r="H10" i="33"/>
  <c r="E10" i="33"/>
  <c r="E24" i="33" s="1"/>
  <c r="D10" i="33"/>
  <c r="O8" i="33"/>
  <c r="N8" i="33"/>
  <c r="M8" i="33"/>
  <c r="L8" i="33"/>
  <c r="K8" i="33"/>
  <c r="J8" i="33"/>
  <c r="I8" i="33"/>
  <c r="H8" i="33"/>
  <c r="G8" i="33"/>
  <c r="F8" i="33"/>
  <c r="E8" i="33"/>
  <c r="D8" i="33"/>
  <c r="Q158" i="30"/>
  <c r="Q153" i="30"/>
  <c r="G153" i="30"/>
  <c r="F153" i="30"/>
  <c r="E153" i="30"/>
  <c r="D153" i="30"/>
  <c r="Q151" i="30"/>
  <c r="B151" i="30"/>
  <c r="O150" i="30"/>
  <c r="N150" i="30"/>
  <c r="M150" i="30"/>
  <c r="L150" i="30"/>
  <c r="K150" i="30"/>
  <c r="J150" i="30"/>
  <c r="I150" i="30"/>
  <c r="H150" i="30"/>
  <c r="G150" i="30"/>
  <c r="F150" i="30"/>
  <c r="E150" i="30"/>
  <c r="D150" i="30"/>
  <c r="B150" i="30"/>
  <c r="Q149" i="30"/>
  <c r="B149" i="30"/>
  <c r="Q148" i="30"/>
  <c r="B148" i="30"/>
  <c r="O147" i="30"/>
  <c r="N147" i="30"/>
  <c r="M147" i="30"/>
  <c r="L147" i="30"/>
  <c r="K147" i="30"/>
  <c r="J147" i="30"/>
  <c r="I147" i="30"/>
  <c r="H147" i="30"/>
  <c r="G147" i="30"/>
  <c r="F147" i="30"/>
  <c r="E147" i="30"/>
  <c r="D147" i="30"/>
  <c r="B147" i="30"/>
  <c r="Q146" i="30"/>
  <c r="B146" i="30"/>
  <c r="O145" i="30"/>
  <c r="N145" i="30"/>
  <c r="M145" i="30"/>
  <c r="L145" i="30"/>
  <c r="K145" i="30"/>
  <c r="J145" i="30"/>
  <c r="I145" i="30"/>
  <c r="H145" i="30"/>
  <c r="G145" i="30"/>
  <c r="F145" i="30"/>
  <c r="E145" i="30"/>
  <c r="D145" i="30"/>
  <c r="B145" i="30"/>
  <c r="Q144" i="30"/>
  <c r="B144" i="30"/>
  <c r="Q143" i="30"/>
  <c r="B143" i="30"/>
  <c r="O142" i="30"/>
  <c r="N142" i="30"/>
  <c r="M142" i="30"/>
  <c r="L142" i="30"/>
  <c r="K142" i="30"/>
  <c r="J142" i="30"/>
  <c r="I142" i="30"/>
  <c r="H142" i="30"/>
  <c r="G142" i="30"/>
  <c r="F142" i="30"/>
  <c r="E142" i="30"/>
  <c r="D142" i="30"/>
  <c r="B142" i="30"/>
  <c r="Q141" i="30"/>
  <c r="B141" i="30"/>
  <c r="Q140" i="30"/>
  <c r="B140" i="30"/>
  <c r="Q139" i="30"/>
  <c r="B139" i="30"/>
  <c r="Q138" i="30"/>
  <c r="B138" i="30"/>
  <c r="Q137" i="30"/>
  <c r="B137" i="30"/>
  <c r="Q136" i="30"/>
  <c r="B136" i="30"/>
  <c r="Q135" i="30"/>
  <c r="B135" i="30"/>
  <c r="Q134" i="30"/>
  <c r="B134" i="30"/>
  <c r="O133" i="30"/>
  <c r="N133" i="30"/>
  <c r="M133" i="30"/>
  <c r="L133" i="30"/>
  <c r="K133" i="30"/>
  <c r="J133" i="30"/>
  <c r="I133" i="30"/>
  <c r="H133" i="30"/>
  <c r="G133" i="30"/>
  <c r="F133" i="30"/>
  <c r="E133" i="30"/>
  <c r="D133" i="30"/>
  <c r="Q133" i="30" s="1"/>
  <c r="B133" i="30"/>
  <c r="Q132" i="30"/>
  <c r="B132" i="30"/>
  <c r="Q131" i="30"/>
  <c r="B131" i="30"/>
  <c r="O130" i="30"/>
  <c r="N130" i="30"/>
  <c r="M130" i="30"/>
  <c r="L130" i="30"/>
  <c r="K130" i="30"/>
  <c r="J130" i="30"/>
  <c r="I130" i="30"/>
  <c r="H130" i="30"/>
  <c r="G130" i="30"/>
  <c r="F130" i="30"/>
  <c r="E130" i="30"/>
  <c r="D130" i="30"/>
  <c r="B130" i="30"/>
  <c r="Q129" i="30"/>
  <c r="B129" i="30"/>
  <c r="Q128" i="30"/>
  <c r="B128" i="30"/>
  <c r="Q127" i="30"/>
  <c r="B127" i="30"/>
  <c r="O126" i="30"/>
  <c r="N126" i="30"/>
  <c r="M126" i="30"/>
  <c r="L126" i="30"/>
  <c r="K126" i="30"/>
  <c r="J126" i="30"/>
  <c r="I126" i="30"/>
  <c r="H126" i="30"/>
  <c r="G126" i="30"/>
  <c r="F126" i="30"/>
  <c r="E126" i="30"/>
  <c r="D126" i="30"/>
  <c r="B126" i="30"/>
  <c r="Q125" i="30"/>
  <c r="B125" i="30"/>
  <c r="Q124" i="30"/>
  <c r="B124" i="30"/>
  <c r="Q123" i="30"/>
  <c r="B123" i="30"/>
  <c r="O122" i="30"/>
  <c r="N122" i="30"/>
  <c r="M122" i="30"/>
  <c r="L122" i="30"/>
  <c r="L74" i="30" s="1"/>
  <c r="K122" i="30"/>
  <c r="J122" i="30"/>
  <c r="I122" i="30"/>
  <c r="H122" i="30"/>
  <c r="G122" i="30"/>
  <c r="F122" i="30"/>
  <c r="E122" i="30"/>
  <c r="D122" i="30"/>
  <c r="B122" i="30"/>
  <c r="Q121" i="30"/>
  <c r="B121" i="30"/>
  <c r="Q120" i="30"/>
  <c r="B120" i="30"/>
  <c r="O119" i="30"/>
  <c r="N119" i="30"/>
  <c r="M119" i="30"/>
  <c r="L119" i="30"/>
  <c r="K119" i="30"/>
  <c r="J119" i="30"/>
  <c r="I119" i="30"/>
  <c r="H119" i="30"/>
  <c r="G119" i="30"/>
  <c r="F119" i="30"/>
  <c r="E119" i="30"/>
  <c r="D119" i="30"/>
  <c r="B119" i="30"/>
  <c r="Q118" i="30"/>
  <c r="B118" i="30"/>
  <c r="O117" i="30"/>
  <c r="N117" i="30"/>
  <c r="M117" i="30"/>
  <c r="L117" i="30"/>
  <c r="K117" i="30"/>
  <c r="J117" i="30"/>
  <c r="I117" i="30"/>
  <c r="H117" i="30"/>
  <c r="G117" i="30"/>
  <c r="F117" i="30"/>
  <c r="E117" i="30"/>
  <c r="D117" i="30"/>
  <c r="B117" i="30"/>
  <c r="Q116" i="30"/>
  <c r="B116" i="30"/>
  <c r="O115" i="30"/>
  <c r="N115" i="30"/>
  <c r="M115" i="30"/>
  <c r="M74" i="30" s="1"/>
  <c r="M155" i="30" s="1"/>
  <c r="L115" i="30"/>
  <c r="K115" i="30"/>
  <c r="J115" i="30"/>
  <c r="I115" i="30"/>
  <c r="H115" i="30"/>
  <c r="G115" i="30"/>
  <c r="F115" i="30"/>
  <c r="E115" i="30"/>
  <c r="D115" i="30"/>
  <c r="Q115" i="30" s="1"/>
  <c r="B115" i="30"/>
  <c r="Q114" i="30"/>
  <c r="B114" i="30"/>
  <c r="O113" i="30"/>
  <c r="N113" i="30"/>
  <c r="M113" i="30"/>
  <c r="L113" i="30"/>
  <c r="K113" i="30"/>
  <c r="J113" i="30"/>
  <c r="I113" i="30"/>
  <c r="H113" i="30"/>
  <c r="G113" i="30"/>
  <c r="F113" i="30"/>
  <c r="E113" i="30"/>
  <c r="D113" i="30"/>
  <c r="Q113" i="30" s="1"/>
  <c r="B113" i="30"/>
  <c r="Q112" i="30"/>
  <c r="B112" i="30"/>
  <c r="O111" i="30"/>
  <c r="N111" i="30"/>
  <c r="M111" i="30"/>
  <c r="L111" i="30"/>
  <c r="K111" i="30"/>
  <c r="J111" i="30"/>
  <c r="I111" i="30"/>
  <c r="H111" i="30"/>
  <c r="G111" i="30"/>
  <c r="F111" i="30"/>
  <c r="E111" i="30"/>
  <c r="D111" i="30"/>
  <c r="B111" i="30"/>
  <c r="Q110" i="30"/>
  <c r="B110" i="30"/>
  <c r="O109" i="30"/>
  <c r="N109" i="30"/>
  <c r="M109" i="30"/>
  <c r="L109" i="30"/>
  <c r="K109" i="30"/>
  <c r="J109" i="30"/>
  <c r="I109" i="30"/>
  <c r="H109" i="30"/>
  <c r="G109" i="30"/>
  <c r="F109" i="30"/>
  <c r="E109" i="30"/>
  <c r="D109" i="30"/>
  <c r="Q109" i="30" s="1"/>
  <c r="B109" i="30"/>
  <c r="Q108" i="30"/>
  <c r="B108" i="30"/>
  <c r="Q107" i="30"/>
  <c r="B107" i="30"/>
  <c r="O106" i="30"/>
  <c r="N106" i="30"/>
  <c r="M106" i="30"/>
  <c r="L106" i="30"/>
  <c r="K106" i="30"/>
  <c r="J106" i="30"/>
  <c r="I106" i="30"/>
  <c r="H106" i="30"/>
  <c r="G106" i="30"/>
  <c r="F106" i="30"/>
  <c r="E106" i="30"/>
  <c r="D106" i="30"/>
  <c r="B106" i="30"/>
  <c r="Q105" i="30"/>
  <c r="B105" i="30"/>
  <c r="O104" i="30"/>
  <c r="N104" i="30"/>
  <c r="M104" i="30"/>
  <c r="L104" i="30"/>
  <c r="K104" i="30"/>
  <c r="J104" i="30"/>
  <c r="I104" i="30"/>
  <c r="H104" i="30"/>
  <c r="G104" i="30"/>
  <c r="F104" i="30"/>
  <c r="E104" i="30"/>
  <c r="D104" i="30"/>
  <c r="B104" i="30"/>
  <c r="Q103" i="30"/>
  <c r="B103" i="30"/>
  <c r="O102" i="30"/>
  <c r="N102" i="30"/>
  <c r="M102" i="30"/>
  <c r="L102" i="30"/>
  <c r="K102" i="30"/>
  <c r="J102" i="30"/>
  <c r="I102" i="30"/>
  <c r="H102" i="30"/>
  <c r="G102" i="30"/>
  <c r="F102" i="30"/>
  <c r="E102" i="30"/>
  <c r="D102" i="30"/>
  <c r="B102" i="30"/>
  <c r="Q101" i="30"/>
  <c r="B101" i="30"/>
  <c r="O100" i="30"/>
  <c r="N100" i="30"/>
  <c r="M100" i="30"/>
  <c r="L100" i="30"/>
  <c r="K100" i="30"/>
  <c r="J100" i="30"/>
  <c r="I100" i="30"/>
  <c r="H100" i="30"/>
  <c r="G100" i="30"/>
  <c r="F100" i="30"/>
  <c r="E100" i="30"/>
  <c r="D100" i="30"/>
  <c r="B100" i="30"/>
  <c r="Q99" i="30"/>
  <c r="B99" i="30"/>
  <c r="O98" i="30"/>
  <c r="N98" i="30"/>
  <c r="M98" i="30"/>
  <c r="L98" i="30"/>
  <c r="K98" i="30"/>
  <c r="J98" i="30"/>
  <c r="I98" i="30"/>
  <c r="H98" i="30"/>
  <c r="G98" i="30"/>
  <c r="F98" i="30"/>
  <c r="E98" i="30"/>
  <c r="D98" i="30"/>
  <c r="B98" i="30"/>
  <c r="Q97" i="30"/>
  <c r="B97" i="30"/>
  <c r="O96" i="30"/>
  <c r="N96" i="30"/>
  <c r="M96" i="30"/>
  <c r="L96" i="30"/>
  <c r="K96" i="30"/>
  <c r="J96" i="30"/>
  <c r="I96" i="30"/>
  <c r="H96" i="30"/>
  <c r="G96" i="30"/>
  <c r="F96" i="30"/>
  <c r="E96" i="30"/>
  <c r="D96" i="30"/>
  <c r="Q96" i="30" s="1"/>
  <c r="B96" i="30"/>
  <c r="Q95" i="30"/>
  <c r="B95" i="30"/>
  <c r="Q94" i="30"/>
  <c r="B94" i="30"/>
  <c r="Q93" i="30"/>
  <c r="B93" i="30"/>
  <c r="Q92" i="30"/>
  <c r="B92" i="30"/>
  <c r="Q91" i="30"/>
  <c r="B91" i="30"/>
  <c r="Q90" i="30"/>
  <c r="B90" i="30"/>
  <c r="Q89" i="30"/>
  <c r="B89" i="30"/>
  <c r="Q88" i="30"/>
  <c r="B88" i="30"/>
  <c r="Q87" i="30"/>
  <c r="B87" i="30"/>
  <c r="Q86" i="30"/>
  <c r="B86" i="30"/>
  <c r="O85" i="30"/>
  <c r="N85" i="30"/>
  <c r="M85" i="30"/>
  <c r="L85" i="30"/>
  <c r="K85" i="30"/>
  <c r="J85" i="30"/>
  <c r="I85" i="30"/>
  <c r="H85" i="30"/>
  <c r="G85" i="30"/>
  <c r="F85" i="30"/>
  <c r="E85" i="30"/>
  <c r="D85" i="30"/>
  <c r="B85" i="30"/>
  <c r="Q84" i="30"/>
  <c r="B84" i="30"/>
  <c r="Q83" i="30"/>
  <c r="B83" i="30"/>
  <c r="Q82" i="30"/>
  <c r="B82" i="30"/>
  <c r="Q81" i="30"/>
  <c r="B81" i="30"/>
  <c r="Q80" i="30"/>
  <c r="B80" i="30"/>
  <c r="Q79" i="30"/>
  <c r="B79" i="30"/>
  <c r="Q78" i="30"/>
  <c r="B78" i="30"/>
  <c r="Q77" i="30"/>
  <c r="B77" i="30"/>
  <c r="Q76" i="30"/>
  <c r="B76" i="30"/>
  <c r="O75" i="30"/>
  <c r="N75" i="30"/>
  <c r="M75" i="30"/>
  <c r="L75" i="30"/>
  <c r="K75" i="30"/>
  <c r="J75" i="30"/>
  <c r="I75" i="30"/>
  <c r="H75" i="30"/>
  <c r="G75" i="30"/>
  <c r="F75" i="30"/>
  <c r="E75" i="30"/>
  <c r="D75" i="30"/>
  <c r="B75" i="30"/>
  <c r="H72" i="30"/>
  <c r="F72" i="30"/>
  <c r="Q69" i="30"/>
  <c r="B69" i="30"/>
  <c r="Q68" i="30"/>
  <c r="B68" i="30"/>
  <c r="Q67" i="30"/>
  <c r="B67" i="30"/>
  <c r="Q66" i="30"/>
  <c r="B66" i="30"/>
  <c r="Q65" i="30"/>
  <c r="B65" i="30"/>
  <c r="Q64" i="30"/>
  <c r="B64" i="30"/>
  <c r="Q63" i="30"/>
  <c r="B63" i="30"/>
  <c r="Q62" i="30"/>
  <c r="B62" i="30"/>
  <c r="Q61" i="30"/>
  <c r="B61" i="30"/>
  <c r="Q60" i="30"/>
  <c r="B60" i="30"/>
  <c r="Q59" i="30"/>
  <c r="B59" i="30"/>
  <c r="Q58" i="30"/>
  <c r="B58" i="30"/>
  <c r="Q57" i="30"/>
  <c r="B57" i="30"/>
  <c r="Q56" i="30"/>
  <c r="B56" i="30"/>
  <c r="Q55" i="30"/>
  <c r="B55" i="30"/>
  <c r="Q54" i="30"/>
  <c r="B54" i="30"/>
  <c r="Q53" i="30"/>
  <c r="B53" i="30"/>
  <c r="Q52" i="30"/>
  <c r="B52" i="30"/>
  <c r="Q51" i="30"/>
  <c r="B51" i="30"/>
  <c r="Q50" i="30"/>
  <c r="B50" i="30"/>
  <c r="Q49" i="30"/>
  <c r="B49" i="30"/>
  <c r="O48" i="30"/>
  <c r="N48" i="30"/>
  <c r="N71" i="30" s="1"/>
  <c r="M48" i="30"/>
  <c r="L48" i="30"/>
  <c r="L71" i="30" s="1"/>
  <c r="K48" i="30"/>
  <c r="J48" i="30"/>
  <c r="I48" i="30"/>
  <c r="I71" i="30" s="1"/>
  <c r="H48" i="30"/>
  <c r="G48" i="30"/>
  <c r="F48" i="30"/>
  <c r="E48" i="30"/>
  <c r="D48" i="30"/>
  <c r="G46" i="30"/>
  <c r="Q46" i="30" s="1"/>
  <c r="F46" i="30"/>
  <c r="E46" i="30"/>
  <c r="D46" i="30"/>
  <c r="B46" i="30"/>
  <c r="Q45" i="30"/>
  <c r="G45" i="30"/>
  <c r="F45" i="30"/>
  <c r="E45" i="30"/>
  <c r="D45" i="30"/>
  <c r="B45" i="30"/>
  <c r="G44" i="30"/>
  <c r="Q44" i="30" s="1"/>
  <c r="F44" i="30"/>
  <c r="E44" i="30"/>
  <c r="D44" i="30"/>
  <c r="B44" i="30"/>
  <c r="Q43" i="30"/>
  <c r="G43" i="30"/>
  <c r="F43" i="30"/>
  <c r="E43" i="30"/>
  <c r="D43" i="30"/>
  <c r="B43" i="30"/>
  <c r="G42" i="30"/>
  <c r="Q42" i="30" s="1"/>
  <c r="F42" i="30"/>
  <c r="E42" i="30"/>
  <c r="D42" i="30"/>
  <c r="B42" i="30"/>
  <c r="Q41" i="30"/>
  <c r="G41" i="30"/>
  <c r="F41" i="30"/>
  <c r="E41" i="30"/>
  <c r="D41" i="30"/>
  <c r="B41" i="30"/>
  <c r="G40" i="30"/>
  <c r="Q40" i="30" s="1"/>
  <c r="F40" i="30"/>
  <c r="E40" i="30"/>
  <c r="D40" i="30"/>
  <c r="B40" i="30"/>
  <c r="Q39" i="30"/>
  <c r="G39" i="30"/>
  <c r="F39" i="30"/>
  <c r="E39" i="30"/>
  <c r="D39" i="30"/>
  <c r="B39" i="30"/>
  <c r="G38" i="30"/>
  <c r="Q38" i="30" s="1"/>
  <c r="F38" i="30"/>
  <c r="E38" i="30"/>
  <c r="D38" i="30"/>
  <c r="B38" i="30"/>
  <c r="Q37" i="30"/>
  <c r="G37" i="30"/>
  <c r="F37" i="30"/>
  <c r="E37" i="30"/>
  <c r="D37" i="30"/>
  <c r="B37" i="30"/>
  <c r="G36" i="30"/>
  <c r="Q36" i="30" s="1"/>
  <c r="F36" i="30"/>
  <c r="E36" i="30"/>
  <c r="D36" i="30"/>
  <c r="B36" i="30"/>
  <c r="Q35" i="30"/>
  <c r="G35" i="30"/>
  <c r="F35" i="30"/>
  <c r="E35" i="30"/>
  <c r="D35" i="30"/>
  <c r="B35" i="30"/>
  <c r="G34" i="30"/>
  <c r="Q34" i="30" s="1"/>
  <c r="F34" i="30"/>
  <c r="E34" i="30"/>
  <c r="D34" i="30"/>
  <c r="B34" i="30"/>
  <c r="Q33" i="30"/>
  <c r="G33" i="30"/>
  <c r="F33" i="30"/>
  <c r="E33" i="30"/>
  <c r="D33" i="30"/>
  <c r="B33" i="30"/>
  <c r="G32" i="30"/>
  <c r="Q32" i="30" s="1"/>
  <c r="F32" i="30"/>
  <c r="E32" i="30"/>
  <c r="D32" i="30"/>
  <c r="B32" i="30"/>
  <c r="Q31" i="30"/>
  <c r="G31" i="30"/>
  <c r="F31" i="30"/>
  <c r="E31" i="30"/>
  <c r="D31" i="30"/>
  <c r="B31" i="30"/>
  <c r="G30" i="30"/>
  <c r="Q30" i="30" s="1"/>
  <c r="F30" i="30"/>
  <c r="E30" i="30"/>
  <c r="D30" i="30"/>
  <c r="B30" i="30"/>
  <c r="Q29" i="30"/>
  <c r="G29" i="30"/>
  <c r="F29" i="30"/>
  <c r="E29" i="30"/>
  <c r="D29" i="30"/>
  <c r="B29" i="30"/>
  <c r="G28" i="30"/>
  <c r="Q28" i="30" s="1"/>
  <c r="F28" i="30"/>
  <c r="E28" i="30"/>
  <c r="D28" i="30"/>
  <c r="B28" i="30"/>
  <c r="Q27" i="30"/>
  <c r="G27" i="30"/>
  <c r="F27" i="30"/>
  <c r="E27" i="30"/>
  <c r="D27" i="30"/>
  <c r="B27" i="30"/>
  <c r="G26" i="30"/>
  <c r="Q26" i="30" s="1"/>
  <c r="F26" i="30"/>
  <c r="E26" i="30"/>
  <c r="D26" i="30"/>
  <c r="B26" i="30"/>
  <c r="Q25" i="30"/>
  <c r="G25" i="30"/>
  <c r="F25" i="30"/>
  <c r="E25" i="30"/>
  <c r="D25" i="30"/>
  <c r="B25" i="30"/>
  <c r="G24" i="30"/>
  <c r="Q24" i="30" s="1"/>
  <c r="F24" i="30"/>
  <c r="E24" i="30"/>
  <c r="D24" i="30"/>
  <c r="B24" i="30"/>
  <c r="Q23" i="30"/>
  <c r="G23" i="30"/>
  <c r="F23" i="30"/>
  <c r="E23" i="30"/>
  <c r="D23" i="30"/>
  <c r="B23" i="30"/>
  <c r="G22" i="30"/>
  <c r="Q22" i="30" s="1"/>
  <c r="F22" i="30"/>
  <c r="E22" i="30"/>
  <c r="D22" i="30"/>
  <c r="B22" i="30"/>
  <c r="Q21" i="30"/>
  <c r="G21" i="30"/>
  <c r="F21" i="30"/>
  <c r="E21" i="30"/>
  <c r="D21" i="30"/>
  <c r="B21" i="30"/>
  <c r="G20" i="30"/>
  <c r="Q20" i="30" s="1"/>
  <c r="F20" i="30"/>
  <c r="E20" i="30"/>
  <c r="D20" i="30"/>
  <c r="B20" i="30"/>
  <c r="Q19" i="30"/>
  <c r="G19" i="30"/>
  <c r="F19" i="30"/>
  <c r="E19" i="30"/>
  <c r="D19" i="30"/>
  <c r="B19" i="30"/>
  <c r="G18" i="30"/>
  <c r="Q18" i="30" s="1"/>
  <c r="F18" i="30"/>
  <c r="E18" i="30"/>
  <c r="D18" i="30"/>
  <c r="B18" i="30"/>
  <c r="Q17" i="30"/>
  <c r="G17" i="30"/>
  <c r="F17" i="30"/>
  <c r="E17" i="30"/>
  <c r="D17" i="30"/>
  <c r="B17" i="30"/>
  <c r="G16" i="30"/>
  <c r="Q16" i="30" s="1"/>
  <c r="F16" i="30"/>
  <c r="E16" i="30"/>
  <c r="D16" i="30"/>
  <c r="B16" i="30"/>
  <c r="Q15" i="30"/>
  <c r="G15" i="30"/>
  <c r="F15" i="30"/>
  <c r="E15" i="30"/>
  <c r="D15" i="30"/>
  <c r="B15" i="30"/>
  <c r="G14" i="30"/>
  <c r="Q14" i="30" s="1"/>
  <c r="F14" i="30"/>
  <c r="E14" i="30"/>
  <c r="D14" i="30"/>
  <c r="B14" i="30"/>
  <c r="Q13" i="30"/>
  <c r="G13" i="30"/>
  <c r="F13" i="30"/>
  <c r="E13" i="30"/>
  <c r="D13" i="30"/>
  <c r="B13" i="30"/>
  <c r="G12" i="30"/>
  <c r="F12" i="30"/>
  <c r="E12" i="30"/>
  <c r="E10" i="30" s="1"/>
  <c r="E71" i="30" s="1"/>
  <c r="D12" i="30"/>
  <c r="B12" i="30"/>
  <c r="Q11" i="30"/>
  <c r="G11" i="30"/>
  <c r="F11" i="30"/>
  <c r="F10" i="30" s="1"/>
  <c r="F71" i="30" s="1"/>
  <c r="E11" i="30"/>
  <c r="D11" i="30"/>
  <c r="B11" i="30"/>
  <c r="O10" i="30"/>
  <c r="O71" i="30" s="1"/>
  <c r="N10" i="30"/>
  <c r="M10" i="30"/>
  <c r="M71" i="30" s="1"/>
  <c r="M72" i="30" s="1"/>
  <c r="L10" i="30"/>
  <c r="K10" i="30"/>
  <c r="K71" i="30" s="1"/>
  <c r="J10" i="30"/>
  <c r="J71" i="30" s="1"/>
  <c r="I10" i="30"/>
  <c r="H10" i="30"/>
  <c r="H71" i="30" s="1"/>
  <c r="D10" i="30"/>
  <c r="D71" i="30" s="1"/>
  <c r="O8" i="30"/>
  <c r="N8" i="30"/>
  <c r="M8" i="30"/>
  <c r="L8" i="30"/>
  <c r="K8" i="30"/>
  <c r="J8" i="30"/>
  <c r="I8" i="30"/>
  <c r="H8" i="30"/>
  <c r="G8" i="30"/>
  <c r="F8" i="30"/>
  <c r="E8" i="30"/>
  <c r="D8" i="30"/>
  <c r="Q113" i="27"/>
  <c r="Q108" i="27"/>
  <c r="G108" i="27"/>
  <c r="F108" i="27"/>
  <c r="E108" i="27"/>
  <c r="D108" i="27"/>
  <c r="Q106" i="27"/>
  <c r="B106" i="27"/>
  <c r="O105" i="27"/>
  <c r="N105" i="27"/>
  <c r="M105" i="27"/>
  <c r="L105" i="27"/>
  <c r="K105" i="27"/>
  <c r="J105" i="27"/>
  <c r="I105" i="27"/>
  <c r="H105" i="27"/>
  <c r="G105" i="27"/>
  <c r="F105" i="27"/>
  <c r="E105" i="27"/>
  <c r="D105" i="27"/>
  <c r="Q105" i="27" s="1"/>
  <c r="B105" i="27"/>
  <c r="Q104" i="27"/>
  <c r="B104" i="27"/>
  <c r="O103" i="27"/>
  <c r="N103" i="27"/>
  <c r="M103" i="27"/>
  <c r="L103" i="27"/>
  <c r="K103" i="27"/>
  <c r="J103" i="27"/>
  <c r="I103" i="27"/>
  <c r="H103" i="27"/>
  <c r="G103" i="27"/>
  <c r="F103" i="27"/>
  <c r="E103" i="27"/>
  <c r="D103" i="27"/>
  <c r="B103" i="27"/>
  <c r="Q102" i="27"/>
  <c r="B102" i="27"/>
  <c r="Q101" i="27"/>
  <c r="B101" i="27"/>
  <c r="O100" i="27"/>
  <c r="N100" i="27"/>
  <c r="M100" i="27"/>
  <c r="L100" i="27"/>
  <c r="K100" i="27"/>
  <c r="J100" i="27"/>
  <c r="I100" i="27"/>
  <c r="H100" i="27"/>
  <c r="G100" i="27"/>
  <c r="F100" i="27"/>
  <c r="E100" i="27"/>
  <c r="D100" i="27"/>
  <c r="B100" i="27"/>
  <c r="Q99" i="27"/>
  <c r="B99" i="27"/>
  <c r="Q98" i="27"/>
  <c r="B98" i="27"/>
  <c r="Q97" i="27"/>
  <c r="B97" i="27"/>
  <c r="O96" i="27"/>
  <c r="N96" i="27"/>
  <c r="M96" i="27"/>
  <c r="L96" i="27"/>
  <c r="K96" i="27"/>
  <c r="J96" i="27"/>
  <c r="I96" i="27"/>
  <c r="H96" i="27"/>
  <c r="G96" i="27"/>
  <c r="F96" i="27"/>
  <c r="E96" i="27"/>
  <c r="D96" i="27"/>
  <c r="Q96" i="27" s="1"/>
  <c r="B96" i="27"/>
  <c r="Q95" i="27"/>
  <c r="B95" i="27"/>
  <c r="Q94" i="27"/>
  <c r="B94" i="27"/>
  <c r="O93" i="27"/>
  <c r="N93" i="27"/>
  <c r="M93" i="27"/>
  <c r="L93" i="27"/>
  <c r="K93" i="27"/>
  <c r="J93" i="27"/>
  <c r="I93" i="27"/>
  <c r="H93" i="27"/>
  <c r="G93" i="27"/>
  <c r="F93" i="27"/>
  <c r="E93" i="27"/>
  <c r="D93" i="27"/>
  <c r="Q93" i="27" s="1"/>
  <c r="B93" i="27"/>
  <c r="Q92" i="27"/>
  <c r="B92" i="27"/>
  <c r="Q91" i="27"/>
  <c r="B91" i="27"/>
  <c r="Q90" i="27"/>
  <c r="B90" i="27"/>
  <c r="O89" i="27"/>
  <c r="N89" i="27"/>
  <c r="M89" i="27"/>
  <c r="L89" i="27"/>
  <c r="K89" i="27"/>
  <c r="J89" i="27"/>
  <c r="I89" i="27"/>
  <c r="H89" i="27"/>
  <c r="G89" i="27"/>
  <c r="F89" i="27"/>
  <c r="E89" i="27"/>
  <c r="D89" i="27"/>
  <c r="Q89" i="27" s="1"/>
  <c r="B89" i="27"/>
  <c r="Q88" i="27"/>
  <c r="B88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B87" i="27"/>
  <c r="Q86" i="27"/>
  <c r="B86" i="27"/>
  <c r="Q85" i="27"/>
  <c r="B85" i="27"/>
  <c r="O84" i="27"/>
  <c r="N84" i="27"/>
  <c r="M84" i="27"/>
  <c r="L84" i="27"/>
  <c r="K84" i="27"/>
  <c r="J84" i="27"/>
  <c r="I84" i="27"/>
  <c r="H84" i="27"/>
  <c r="G84" i="27"/>
  <c r="F84" i="27"/>
  <c r="E84" i="27"/>
  <c r="D84" i="27"/>
  <c r="B84" i="27"/>
  <c r="Q83" i="27"/>
  <c r="B83" i="27"/>
  <c r="O82" i="27"/>
  <c r="N82" i="27"/>
  <c r="M82" i="27"/>
  <c r="L82" i="27"/>
  <c r="K82" i="27"/>
  <c r="J82" i="27"/>
  <c r="I82" i="27"/>
  <c r="H82" i="27"/>
  <c r="G82" i="27"/>
  <c r="F82" i="27"/>
  <c r="E82" i="27"/>
  <c r="D82" i="27"/>
  <c r="Q82" i="27" s="1"/>
  <c r="B82" i="27"/>
  <c r="Q81" i="27"/>
  <c r="B81" i="27"/>
  <c r="O80" i="27"/>
  <c r="N80" i="27"/>
  <c r="M80" i="27"/>
  <c r="L80" i="27"/>
  <c r="K80" i="27"/>
  <c r="J80" i="27"/>
  <c r="I80" i="27"/>
  <c r="H80" i="27"/>
  <c r="G80" i="27"/>
  <c r="F80" i="27"/>
  <c r="E80" i="27"/>
  <c r="D80" i="27"/>
  <c r="Q80" i="27" s="1"/>
  <c r="B80" i="27"/>
  <c r="Q79" i="27"/>
  <c r="B79" i="27"/>
  <c r="O78" i="27"/>
  <c r="N78" i="27"/>
  <c r="M78" i="27"/>
  <c r="L78" i="27"/>
  <c r="K78" i="27"/>
  <c r="J78" i="27"/>
  <c r="I78" i="27"/>
  <c r="H78" i="27"/>
  <c r="G78" i="27"/>
  <c r="F78" i="27"/>
  <c r="E78" i="27"/>
  <c r="D78" i="27"/>
  <c r="B78" i="27"/>
  <c r="Q77" i="27"/>
  <c r="B77" i="27"/>
  <c r="O76" i="27"/>
  <c r="N76" i="27"/>
  <c r="N51" i="27" s="1"/>
  <c r="M76" i="27"/>
  <c r="L76" i="27"/>
  <c r="K76" i="27"/>
  <c r="J76" i="27"/>
  <c r="I76" i="27"/>
  <c r="H76" i="27"/>
  <c r="G76" i="27"/>
  <c r="F76" i="27"/>
  <c r="E76" i="27"/>
  <c r="D76" i="27"/>
  <c r="B76" i="27"/>
  <c r="Q75" i="27"/>
  <c r="B75" i="27"/>
  <c r="O74" i="27"/>
  <c r="N74" i="27"/>
  <c r="M74" i="27"/>
  <c r="L74" i="27"/>
  <c r="K74" i="27"/>
  <c r="J74" i="27"/>
  <c r="I74" i="27"/>
  <c r="H74" i="27"/>
  <c r="G74" i="27"/>
  <c r="G51" i="27" s="1"/>
  <c r="F74" i="27"/>
  <c r="F51" i="27" s="1"/>
  <c r="E74" i="27"/>
  <c r="D74" i="27"/>
  <c r="B74" i="27"/>
  <c r="Q73" i="27"/>
  <c r="B73" i="27"/>
  <c r="Q72" i="27"/>
  <c r="B72" i="27"/>
  <c r="Q71" i="27"/>
  <c r="B71" i="27"/>
  <c r="Q70" i="27"/>
  <c r="B70" i="27"/>
  <c r="Q69" i="27"/>
  <c r="B69" i="27"/>
  <c r="Q68" i="27"/>
  <c r="B68" i="27"/>
  <c r="Q67" i="27"/>
  <c r="B67" i="27"/>
  <c r="Q66" i="27"/>
  <c r="B66" i="27"/>
  <c r="Q65" i="27"/>
  <c r="B65" i="27"/>
  <c r="Q64" i="27"/>
  <c r="B64" i="27"/>
  <c r="O63" i="27"/>
  <c r="N63" i="27"/>
  <c r="M63" i="27"/>
  <c r="L63" i="27"/>
  <c r="K63" i="27"/>
  <c r="J63" i="27"/>
  <c r="I63" i="27"/>
  <c r="H63" i="27"/>
  <c r="G63" i="27"/>
  <c r="F63" i="27"/>
  <c r="E63" i="27"/>
  <c r="E51" i="27" s="1"/>
  <c r="D63" i="27"/>
  <c r="D51" i="27" s="1"/>
  <c r="B63" i="27"/>
  <c r="Q62" i="27"/>
  <c r="B62" i="27"/>
  <c r="Q61" i="27"/>
  <c r="B61" i="27"/>
  <c r="Q60" i="27"/>
  <c r="B60" i="27"/>
  <c r="Q59" i="27"/>
  <c r="B59" i="27"/>
  <c r="Q58" i="27"/>
  <c r="B58" i="27"/>
  <c r="Q57" i="27"/>
  <c r="B57" i="27"/>
  <c r="Q56" i="27"/>
  <c r="B56" i="27"/>
  <c r="Q55" i="27"/>
  <c r="B55" i="27"/>
  <c r="Q54" i="27"/>
  <c r="B54" i="27"/>
  <c r="Q53" i="27"/>
  <c r="B53" i="27"/>
  <c r="O52" i="27"/>
  <c r="N52" i="27"/>
  <c r="M52" i="27"/>
  <c r="L52" i="27"/>
  <c r="L51" i="27" s="1"/>
  <c r="K52" i="27"/>
  <c r="J52" i="27"/>
  <c r="I52" i="27"/>
  <c r="H52" i="27"/>
  <c r="G52" i="27"/>
  <c r="F52" i="27"/>
  <c r="E52" i="27"/>
  <c r="D52" i="27"/>
  <c r="B52" i="27"/>
  <c r="L49" i="27"/>
  <c r="E49" i="27"/>
  <c r="M48" i="27"/>
  <c r="H48" i="27"/>
  <c r="H49" i="27" s="1"/>
  <c r="G48" i="27"/>
  <c r="Q46" i="27"/>
  <c r="B46" i="27"/>
  <c r="Q45" i="27"/>
  <c r="B45" i="27"/>
  <c r="Q44" i="27"/>
  <c r="B44" i="27"/>
  <c r="Q43" i="27"/>
  <c r="B43" i="27"/>
  <c r="Q42" i="27"/>
  <c r="B42" i="27"/>
  <c r="Q41" i="27"/>
  <c r="B41" i="27"/>
  <c r="Q40" i="27"/>
  <c r="B40" i="27"/>
  <c r="Q39" i="27"/>
  <c r="B39" i="27"/>
  <c r="Q38" i="27"/>
  <c r="B38" i="27"/>
  <c r="Q37" i="27"/>
  <c r="B37" i="27"/>
  <c r="Q36" i="27"/>
  <c r="Q33" i="27" s="1"/>
  <c r="B36" i="27"/>
  <c r="Q35" i="27"/>
  <c r="B35" i="27"/>
  <c r="Q34" i="27"/>
  <c r="B34" i="27"/>
  <c r="O33" i="27"/>
  <c r="N33" i="27"/>
  <c r="M33" i="27"/>
  <c r="L33" i="27"/>
  <c r="K33" i="27"/>
  <c r="J33" i="27"/>
  <c r="J48" i="27" s="1"/>
  <c r="I33" i="27"/>
  <c r="H33" i="27"/>
  <c r="G33" i="27"/>
  <c r="F33" i="27"/>
  <c r="E33" i="27"/>
  <c r="D33" i="27"/>
  <c r="G31" i="27"/>
  <c r="F31" i="27"/>
  <c r="E31" i="27"/>
  <c r="D31" i="27"/>
  <c r="Q31" i="27" s="1"/>
  <c r="B31" i="27"/>
  <c r="G30" i="27"/>
  <c r="F30" i="27"/>
  <c r="Q30" i="27" s="1"/>
  <c r="E30" i="27"/>
  <c r="D30" i="27"/>
  <c r="B30" i="27"/>
  <c r="G29" i="27"/>
  <c r="F29" i="27"/>
  <c r="E29" i="27"/>
  <c r="D29" i="27"/>
  <c r="Q29" i="27" s="1"/>
  <c r="B29" i="27"/>
  <c r="G28" i="27"/>
  <c r="F28" i="27"/>
  <c r="Q28" i="27" s="1"/>
  <c r="Q10" i="27" s="1"/>
  <c r="Q48" i="27" s="1"/>
  <c r="E28" i="27"/>
  <c r="D28" i="27"/>
  <c r="B28" i="27"/>
  <c r="G27" i="27"/>
  <c r="F27" i="27"/>
  <c r="E27" i="27"/>
  <c r="D27" i="27"/>
  <c r="Q27" i="27" s="1"/>
  <c r="B27" i="27"/>
  <c r="Q26" i="27"/>
  <c r="G26" i="27"/>
  <c r="F26" i="27"/>
  <c r="E26" i="27"/>
  <c r="D26" i="27"/>
  <c r="B26" i="27"/>
  <c r="G25" i="27"/>
  <c r="F25" i="27"/>
  <c r="E25" i="27"/>
  <c r="D25" i="27"/>
  <c r="Q25" i="27" s="1"/>
  <c r="B25" i="27"/>
  <c r="Q24" i="27"/>
  <c r="G24" i="27"/>
  <c r="F24" i="27"/>
  <c r="E24" i="27"/>
  <c r="D24" i="27"/>
  <c r="B24" i="27"/>
  <c r="G23" i="27"/>
  <c r="F23" i="27"/>
  <c r="E23" i="27"/>
  <c r="D23" i="27"/>
  <c r="Q23" i="27" s="1"/>
  <c r="B23" i="27"/>
  <c r="Q22" i="27"/>
  <c r="G22" i="27"/>
  <c r="F22" i="27"/>
  <c r="E22" i="27"/>
  <c r="D22" i="27"/>
  <c r="B22" i="27"/>
  <c r="G21" i="27"/>
  <c r="F21" i="27"/>
  <c r="E21" i="27"/>
  <c r="D21" i="27"/>
  <c r="Q21" i="27" s="1"/>
  <c r="B21" i="27"/>
  <c r="G20" i="27"/>
  <c r="F20" i="27"/>
  <c r="Q20" i="27" s="1"/>
  <c r="E20" i="27"/>
  <c r="D20" i="27"/>
  <c r="B20" i="27"/>
  <c r="G19" i="27"/>
  <c r="F19" i="27"/>
  <c r="E19" i="27"/>
  <c r="D19" i="27"/>
  <c r="Q19" i="27" s="1"/>
  <c r="B19" i="27"/>
  <c r="G18" i="27"/>
  <c r="F18" i="27"/>
  <c r="Q18" i="27" s="1"/>
  <c r="E18" i="27"/>
  <c r="D18" i="27"/>
  <c r="B18" i="27"/>
  <c r="G17" i="27"/>
  <c r="F17" i="27"/>
  <c r="E17" i="27"/>
  <c r="D17" i="27"/>
  <c r="Q17" i="27" s="1"/>
  <c r="B17" i="27"/>
  <c r="G16" i="27"/>
  <c r="F16" i="27"/>
  <c r="Q16" i="27" s="1"/>
  <c r="E16" i="27"/>
  <c r="D16" i="27"/>
  <c r="B16" i="27"/>
  <c r="G15" i="27"/>
  <c r="F15" i="27"/>
  <c r="E15" i="27"/>
  <c r="D15" i="27"/>
  <c r="Q15" i="27" s="1"/>
  <c r="B15" i="27"/>
  <c r="Q14" i="27"/>
  <c r="G14" i="27"/>
  <c r="F14" i="27"/>
  <c r="E14" i="27"/>
  <c r="D14" i="27"/>
  <c r="B14" i="27"/>
  <c r="G13" i="27"/>
  <c r="F13" i="27"/>
  <c r="E13" i="27"/>
  <c r="D13" i="27"/>
  <c r="Q13" i="27" s="1"/>
  <c r="B13" i="27"/>
  <c r="Q12" i="27"/>
  <c r="G12" i="27"/>
  <c r="F12" i="27"/>
  <c r="E12" i="27"/>
  <c r="D12" i="27"/>
  <c r="B12" i="27"/>
  <c r="G11" i="27"/>
  <c r="F11" i="27"/>
  <c r="E11" i="27"/>
  <c r="D11" i="27"/>
  <c r="Q11" i="27" s="1"/>
  <c r="B11" i="27"/>
  <c r="O10" i="27"/>
  <c r="O48" i="27" s="1"/>
  <c r="O49" i="27" s="1"/>
  <c r="N10" i="27"/>
  <c r="N48" i="27" s="1"/>
  <c r="M10" i="27"/>
  <c r="L10" i="27"/>
  <c r="L48" i="27" s="1"/>
  <c r="K10" i="27"/>
  <c r="K48" i="27" s="1"/>
  <c r="J10" i="27"/>
  <c r="I10" i="27"/>
  <c r="H10" i="27"/>
  <c r="G10" i="27"/>
  <c r="E10" i="27"/>
  <c r="E48" i="27" s="1"/>
  <c r="D10" i="27"/>
  <c r="D48" i="27" s="1"/>
  <c r="O8" i="27"/>
  <c r="N8" i="27"/>
  <c r="M8" i="27"/>
  <c r="L8" i="27"/>
  <c r="K8" i="27"/>
  <c r="J8" i="27"/>
  <c r="I8" i="27"/>
  <c r="H8" i="27"/>
  <c r="G8" i="27"/>
  <c r="F8" i="27"/>
  <c r="E8" i="27"/>
  <c r="D8" i="27"/>
  <c r="Q93" i="24"/>
  <c r="G88" i="24"/>
  <c r="F88" i="24"/>
  <c r="E88" i="24"/>
  <c r="D88" i="24"/>
  <c r="Q88" i="24" s="1"/>
  <c r="Q86" i="24"/>
  <c r="B86" i="24"/>
  <c r="O85" i="24"/>
  <c r="N85" i="24"/>
  <c r="M85" i="24"/>
  <c r="L85" i="24"/>
  <c r="K85" i="24"/>
  <c r="J85" i="24"/>
  <c r="I85" i="24"/>
  <c r="H85" i="24"/>
  <c r="G85" i="24"/>
  <c r="F85" i="24"/>
  <c r="E85" i="24"/>
  <c r="D85" i="24"/>
  <c r="B85" i="24"/>
  <c r="Q84" i="24"/>
  <c r="B84" i="24"/>
  <c r="Q83" i="24"/>
  <c r="B83" i="24"/>
  <c r="O82" i="24"/>
  <c r="N82" i="24"/>
  <c r="M82" i="24"/>
  <c r="L82" i="24"/>
  <c r="K82" i="24"/>
  <c r="J82" i="24"/>
  <c r="I82" i="24"/>
  <c r="H82" i="24"/>
  <c r="G82" i="24"/>
  <c r="F82" i="24"/>
  <c r="E82" i="24"/>
  <c r="D82" i="24"/>
  <c r="B82" i="24"/>
  <c r="Q81" i="24"/>
  <c r="B81" i="24"/>
  <c r="Q80" i="24"/>
  <c r="B80" i="24"/>
  <c r="Q79" i="24"/>
  <c r="B79" i="24"/>
  <c r="Q78" i="24"/>
  <c r="B78" i="24"/>
  <c r="O77" i="24"/>
  <c r="N77" i="24"/>
  <c r="M77" i="24"/>
  <c r="L77" i="24"/>
  <c r="K77" i="24"/>
  <c r="J77" i="24"/>
  <c r="I77" i="24"/>
  <c r="H77" i="24"/>
  <c r="G77" i="24"/>
  <c r="F77" i="24"/>
  <c r="E77" i="24"/>
  <c r="D77" i="24"/>
  <c r="Q77" i="24" s="1"/>
  <c r="B77" i="24"/>
  <c r="Q76" i="24"/>
  <c r="B76" i="24"/>
  <c r="Q75" i="24"/>
  <c r="B75" i="24"/>
  <c r="O74" i="24"/>
  <c r="N74" i="24"/>
  <c r="M74" i="24"/>
  <c r="L74" i="24"/>
  <c r="K74" i="24"/>
  <c r="J74" i="24"/>
  <c r="I74" i="24"/>
  <c r="H74" i="24"/>
  <c r="G74" i="24"/>
  <c r="F74" i="24"/>
  <c r="E74" i="24"/>
  <c r="D74" i="24"/>
  <c r="Q74" i="24" s="1"/>
  <c r="B74" i="24"/>
  <c r="Q73" i="24"/>
  <c r="B73" i="24"/>
  <c r="Q72" i="24"/>
  <c r="B72" i="24"/>
  <c r="O71" i="24"/>
  <c r="N71" i="24"/>
  <c r="M71" i="24"/>
  <c r="L71" i="24"/>
  <c r="K71" i="24"/>
  <c r="J71" i="24"/>
  <c r="I71" i="24"/>
  <c r="H71" i="24"/>
  <c r="G71" i="24"/>
  <c r="F71" i="24"/>
  <c r="E71" i="24"/>
  <c r="D71" i="24"/>
  <c r="Q71" i="24" s="1"/>
  <c r="B71" i="24"/>
  <c r="Q70" i="24"/>
  <c r="B70" i="24"/>
  <c r="O69" i="24"/>
  <c r="N69" i="24"/>
  <c r="M69" i="24"/>
  <c r="L69" i="24"/>
  <c r="K69" i="24"/>
  <c r="J69" i="24"/>
  <c r="I69" i="24"/>
  <c r="H69" i="24"/>
  <c r="H36" i="24" s="1"/>
  <c r="G69" i="24"/>
  <c r="F69" i="24"/>
  <c r="E69" i="24"/>
  <c r="D69" i="24"/>
  <c r="B69" i="24"/>
  <c r="Q68" i="24"/>
  <c r="B68" i="24"/>
  <c r="Q67" i="24"/>
  <c r="B67" i="24"/>
  <c r="O66" i="24"/>
  <c r="N66" i="24"/>
  <c r="M66" i="24"/>
  <c r="L66" i="24"/>
  <c r="K66" i="24"/>
  <c r="J66" i="24"/>
  <c r="I66" i="24"/>
  <c r="H66" i="24"/>
  <c r="G66" i="24"/>
  <c r="F66" i="24"/>
  <c r="E66" i="24"/>
  <c r="D66" i="24"/>
  <c r="B66" i="24"/>
  <c r="Q65" i="24"/>
  <c r="B65" i="24"/>
  <c r="Q64" i="24"/>
  <c r="B64" i="24"/>
  <c r="O63" i="24"/>
  <c r="N63" i="24"/>
  <c r="M63" i="24"/>
  <c r="L63" i="24"/>
  <c r="K63" i="24"/>
  <c r="J63" i="24"/>
  <c r="I63" i="24"/>
  <c r="H63" i="24"/>
  <c r="G63" i="24"/>
  <c r="F63" i="24"/>
  <c r="E63" i="24"/>
  <c r="D63" i="24"/>
  <c r="B63" i="24"/>
  <c r="Q62" i="24"/>
  <c r="B62" i="24"/>
  <c r="O61" i="24"/>
  <c r="N61" i="24"/>
  <c r="M61" i="24"/>
  <c r="L61" i="24"/>
  <c r="K61" i="24"/>
  <c r="J61" i="24"/>
  <c r="I61" i="24"/>
  <c r="H61" i="24"/>
  <c r="G61" i="24"/>
  <c r="F61" i="24"/>
  <c r="E61" i="24"/>
  <c r="D61" i="24"/>
  <c r="B61" i="24"/>
  <c r="Q60" i="24"/>
  <c r="B60" i="24"/>
  <c r="O59" i="24"/>
  <c r="N59" i="24"/>
  <c r="M59" i="24"/>
  <c r="L59" i="24"/>
  <c r="K59" i="24"/>
  <c r="J59" i="24"/>
  <c r="I59" i="24"/>
  <c r="H59" i="24"/>
  <c r="G59" i="24"/>
  <c r="G36" i="24" s="1"/>
  <c r="F59" i="24"/>
  <c r="E59" i="24"/>
  <c r="D59" i="24"/>
  <c r="Q59" i="24" s="1"/>
  <c r="B59" i="24"/>
  <c r="Q58" i="24"/>
  <c r="B58" i="24"/>
  <c r="O57" i="24"/>
  <c r="N57" i="24"/>
  <c r="N36" i="24" s="1"/>
  <c r="M57" i="24"/>
  <c r="L57" i="24"/>
  <c r="K57" i="24"/>
  <c r="J57" i="24"/>
  <c r="I57" i="24"/>
  <c r="H57" i="24"/>
  <c r="G57" i="24"/>
  <c r="F57" i="24"/>
  <c r="E57" i="24"/>
  <c r="D57" i="24"/>
  <c r="Q57" i="24" s="1"/>
  <c r="B57" i="24"/>
  <c r="Q56" i="24"/>
  <c r="B56" i="24"/>
  <c r="Q55" i="24"/>
  <c r="B55" i="24"/>
  <c r="Q54" i="24"/>
  <c r="B54" i="24"/>
  <c r="Q53" i="24"/>
  <c r="B53" i="24"/>
  <c r="Q52" i="24"/>
  <c r="B52" i="24"/>
  <c r="Q51" i="24"/>
  <c r="B51" i="24"/>
  <c r="Q50" i="24"/>
  <c r="B50" i="24"/>
  <c r="Q49" i="24"/>
  <c r="B49" i="24"/>
  <c r="Q48" i="24"/>
  <c r="B48" i="24"/>
  <c r="Q47" i="24"/>
  <c r="B47" i="24"/>
  <c r="O46" i="24"/>
  <c r="N46" i="24"/>
  <c r="M46" i="24"/>
  <c r="L46" i="24"/>
  <c r="K46" i="24"/>
  <c r="J46" i="24"/>
  <c r="I46" i="24"/>
  <c r="H46" i="24"/>
  <c r="G46" i="24"/>
  <c r="F46" i="24"/>
  <c r="E46" i="24"/>
  <c r="D46" i="24"/>
  <c r="B46" i="24"/>
  <c r="Q45" i="24"/>
  <c r="B45" i="24"/>
  <c r="Q44" i="24"/>
  <c r="B44" i="24"/>
  <c r="Q43" i="24"/>
  <c r="B43" i="24"/>
  <c r="Q42" i="24"/>
  <c r="B42" i="24"/>
  <c r="Q41" i="24"/>
  <c r="B41" i="24"/>
  <c r="Q40" i="24"/>
  <c r="B40" i="24"/>
  <c r="Q39" i="24"/>
  <c r="B39" i="24"/>
  <c r="Q38" i="24"/>
  <c r="B38" i="24"/>
  <c r="O37" i="24"/>
  <c r="N37" i="24"/>
  <c r="M37" i="24"/>
  <c r="M36" i="24" s="1"/>
  <c r="L37" i="24"/>
  <c r="L36" i="24" s="1"/>
  <c r="K37" i="24"/>
  <c r="J37" i="24"/>
  <c r="J36" i="24" s="1"/>
  <c r="I37" i="24"/>
  <c r="H37" i="24"/>
  <c r="G37" i="24"/>
  <c r="F37" i="24"/>
  <c r="F36" i="24" s="1"/>
  <c r="E37" i="24"/>
  <c r="D37" i="24"/>
  <c r="B37" i="24"/>
  <c r="E36" i="24"/>
  <c r="O34" i="24"/>
  <c r="J33" i="24"/>
  <c r="J34" i="24" s="1"/>
  <c r="Q31" i="24"/>
  <c r="B31" i="24"/>
  <c r="Q30" i="24"/>
  <c r="B30" i="24"/>
  <c r="Q29" i="24"/>
  <c r="B29" i="24"/>
  <c r="Q28" i="24"/>
  <c r="B28" i="24"/>
  <c r="Q27" i="24"/>
  <c r="Q23" i="24" s="1"/>
  <c r="B27" i="24"/>
  <c r="Q26" i="24"/>
  <c r="B26" i="24"/>
  <c r="Q25" i="24"/>
  <c r="B25" i="24"/>
  <c r="Q24" i="24"/>
  <c r="B24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G21" i="24"/>
  <c r="F21" i="24"/>
  <c r="E21" i="24"/>
  <c r="Q21" i="24" s="1"/>
  <c r="D21" i="24"/>
  <c r="B21" i="24"/>
  <c r="Q20" i="24"/>
  <c r="G20" i="24"/>
  <c r="F20" i="24"/>
  <c r="E20" i="24"/>
  <c r="D20" i="24"/>
  <c r="B20" i="24"/>
  <c r="G19" i="24"/>
  <c r="F19" i="24"/>
  <c r="E19" i="24"/>
  <c r="Q19" i="24" s="1"/>
  <c r="D19" i="24"/>
  <c r="B19" i="24"/>
  <c r="Q18" i="24"/>
  <c r="G18" i="24"/>
  <c r="F18" i="24"/>
  <c r="E18" i="24"/>
  <c r="D18" i="24"/>
  <c r="B18" i="24"/>
  <c r="G17" i="24"/>
  <c r="F17" i="24"/>
  <c r="E17" i="24"/>
  <c r="Q17" i="24" s="1"/>
  <c r="D17" i="24"/>
  <c r="B17" i="24"/>
  <c r="Q16" i="24"/>
  <c r="G16" i="24"/>
  <c r="F16" i="24"/>
  <c r="E16" i="24"/>
  <c r="D16" i="24"/>
  <c r="B16" i="24"/>
  <c r="G15" i="24"/>
  <c r="F15" i="24"/>
  <c r="E15" i="24"/>
  <c r="Q15" i="24" s="1"/>
  <c r="D15" i="24"/>
  <c r="B15" i="24"/>
  <c r="Q14" i="24"/>
  <c r="G14" i="24"/>
  <c r="F14" i="24"/>
  <c r="E14" i="24"/>
  <c r="D14" i="24"/>
  <c r="B14" i="24"/>
  <c r="G13" i="24"/>
  <c r="F13" i="24"/>
  <c r="E13" i="24"/>
  <c r="Q13" i="24" s="1"/>
  <c r="D13" i="24"/>
  <c r="B13" i="24"/>
  <c r="Q12" i="24"/>
  <c r="G12" i="24"/>
  <c r="F12" i="24"/>
  <c r="F10" i="24" s="1"/>
  <c r="F33" i="24" s="1"/>
  <c r="E12" i="24"/>
  <c r="D12" i="24"/>
  <c r="B12" i="24"/>
  <c r="G11" i="24"/>
  <c r="F11" i="24"/>
  <c r="E11" i="24"/>
  <c r="D11" i="24"/>
  <c r="B11" i="24"/>
  <c r="O10" i="24"/>
  <c r="O33" i="24" s="1"/>
  <c r="N10" i="24"/>
  <c r="N33" i="24" s="1"/>
  <c r="M10" i="24"/>
  <c r="M33" i="24" s="1"/>
  <c r="L10" i="24"/>
  <c r="K10" i="24"/>
  <c r="K33" i="24" s="1"/>
  <c r="J10" i="24"/>
  <c r="I10" i="24"/>
  <c r="I33" i="24" s="1"/>
  <c r="H10" i="24"/>
  <c r="H33" i="24" s="1"/>
  <c r="G10" i="24"/>
  <c r="G33" i="24" s="1"/>
  <c r="D10" i="24"/>
  <c r="D33" i="24" s="1"/>
  <c r="O8" i="24"/>
  <c r="N8" i="24"/>
  <c r="M8" i="24"/>
  <c r="L8" i="24"/>
  <c r="K8" i="24"/>
  <c r="J8" i="24"/>
  <c r="I8" i="24"/>
  <c r="H8" i="24"/>
  <c r="G8" i="24"/>
  <c r="F8" i="24"/>
  <c r="E8" i="24"/>
  <c r="D8" i="24"/>
  <c r="Q98" i="21"/>
  <c r="G93" i="21"/>
  <c r="Q93" i="21" s="1"/>
  <c r="F93" i="21"/>
  <c r="E93" i="21"/>
  <c r="D93" i="21"/>
  <c r="Q91" i="21"/>
  <c r="B91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Q90" i="21" s="1"/>
  <c r="B90" i="21"/>
  <c r="Q89" i="21"/>
  <c r="B89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B88" i="21"/>
  <c r="Q87" i="21"/>
  <c r="B87" i="21"/>
  <c r="Q86" i="21"/>
  <c r="B86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Q85" i="21" s="1"/>
  <c r="B85" i="21"/>
  <c r="Q84" i="21"/>
  <c r="B84" i="21"/>
  <c r="Q83" i="21"/>
  <c r="B83" i="21"/>
  <c r="Q82" i="21"/>
  <c r="B82" i="21"/>
  <c r="Q81" i="21"/>
  <c r="B81" i="21"/>
  <c r="Q80" i="21"/>
  <c r="B80" i="21"/>
  <c r="Q79" i="21"/>
  <c r="B79" i="21"/>
  <c r="Q78" i="21"/>
  <c r="B78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B77" i="21"/>
  <c r="Q76" i="21"/>
  <c r="B76" i="21"/>
  <c r="Q75" i="21"/>
  <c r="B75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Q74" i="21" s="1"/>
  <c r="B74" i="21"/>
  <c r="Q73" i="21"/>
  <c r="B73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B72" i="21"/>
  <c r="Q71" i="21"/>
  <c r="B71" i="21"/>
  <c r="Q70" i="21"/>
  <c r="B70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B69" i="21"/>
  <c r="Q68" i="21"/>
  <c r="B68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B67" i="21"/>
  <c r="Q66" i="21"/>
  <c r="B66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B65" i="21"/>
  <c r="Q64" i="21"/>
  <c r="B64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Q63" i="21" s="1"/>
  <c r="B63" i="21"/>
  <c r="Q62" i="21"/>
  <c r="B62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B61" i="21"/>
  <c r="Q60" i="21"/>
  <c r="B60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B59" i="21"/>
  <c r="Q58" i="21"/>
  <c r="B58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Q57" i="21" s="1"/>
  <c r="B57" i="21"/>
  <c r="Q56" i="21"/>
  <c r="B56" i="21"/>
  <c r="O55" i="21"/>
  <c r="N55" i="21"/>
  <c r="M55" i="21"/>
  <c r="L55" i="21"/>
  <c r="K55" i="21"/>
  <c r="J55" i="21"/>
  <c r="J24" i="21" s="1"/>
  <c r="I55" i="21"/>
  <c r="H55" i="21"/>
  <c r="G55" i="21"/>
  <c r="F55" i="21"/>
  <c r="E55" i="21"/>
  <c r="D55" i="21"/>
  <c r="Q55" i="21" s="1"/>
  <c r="B55" i="21"/>
  <c r="Q54" i="21"/>
  <c r="B54" i="21"/>
  <c r="Q53" i="21"/>
  <c r="B53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Q52" i="21" s="1"/>
  <c r="B52" i="21"/>
  <c r="Q51" i="21"/>
  <c r="B51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Q50" i="21" s="1"/>
  <c r="B50" i="21"/>
  <c r="Q49" i="21"/>
  <c r="B49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B48" i="21"/>
  <c r="Q47" i="21"/>
  <c r="B47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B46" i="21"/>
  <c r="Q45" i="21"/>
  <c r="B45" i="21"/>
  <c r="Q44" i="21"/>
  <c r="B44" i="21"/>
  <c r="Q43" i="21"/>
  <c r="B43" i="21"/>
  <c r="Q42" i="21"/>
  <c r="B42" i="21"/>
  <c r="Q41" i="21"/>
  <c r="B41" i="21"/>
  <c r="Q40" i="21"/>
  <c r="B40" i="21"/>
  <c r="Q39" i="21"/>
  <c r="B39" i="21"/>
  <c r="Q38" i="21"/>
  <c r="B38" i="21"/>
  <c r="Q37" i="21"/>
  <c r="B37" i="21"/>
  <c r="Q36" i="21"/>
  <c r="B36" i="21"/>
  <c r="O35" i="21"/>
  <c r="N35" i="21"/>
  <c r="M35" i="21"/>
  <c r="M24" i="21" s="1"/>
  <c r="L35" i="21"/>
  <c r="L24" i="21" s="1"/>
  <c r="K35" i="21"/>
  <c r="J35" i="21"/>
  <c r="I35" i="21"/>
  <c r="H35" i="21"/>
  <c r="G35" i="21"/>
  <c r="G24" i="21" s="1"/>
  <c r="F35" i="21"/>
  <c r="E35" i="21"/>
  <c r="D35" i="21"/>
  <c r="B35" i="21"/>
  <c r="Q34" i="21"/>
  <c r="B34" i="21"/>
  <c r="Q33" i="21"/>
  <c r="B33" i="21"/>
  <c r="Q32" i="21"/>
  <c r="B32" i="21"/>
  <c r="Q31" i="21"/>
  <c r="B31" i="21"/>
  <c r="Q30" i="21"/>
  <c r="B30" i="21"/>
  <c r="Q29" i="21"/>
  <c r="B29" i="21"/>
  <c r="Q28" i="21"/>
  <c r="B28" i="21"/>
  <c r="Q27" i="21"/>
  <c r="B27" i="21"/>
  <c r="Q26" i="21"/>
  <c r="B26" i="21"/>
  <c r="O25" i="21"/>
  <c r="N25" i="21"/>
  <c r="M25" i="21"/>
  <c r="L25" i="21"/>
  <c r="K25" i="21"/>
  <c r="J25" i="21"/>
  <c r="I25" i="21"/>
  <c r="H25" i="21"/>
  <c r="H24" i="21" s="1"/>
  <c r="G25" i="21"/>
  <c r="F25" i="21"/>
  <c r="E25" i="21"/>
  <c r="D25" i="21"/>
  <c r="B25" i="21"/>
  <c r="K24" i="21"/>
  <c r="M22" i="21"/>
  <c r="K22" i="21"/>
  <c r="I22" i="21"/>
  <c r="N21" i="21"/>
  <c r="N22" i="21" s="1"/>
  <c r="M21" i="21"/>
  <c r="L21" i="21"/>
  <c r="K21" i="21"/>
  <c r="Q19" i="21"/>
  <c r="B19" i="21"/>
  <c r="Q18" i="21"/>
  <c r="B18" i="21"/>
  <c r="Q17" i="21"/>
  <c r="Q16" i="21" s="1"/>
  <c r="B17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G14" i="21"/>
  <c r="Q14" i="21" s="1"/>
  <c r="F14" i="21"/>
  <c r="E14" i="21"/>
  <c r="D14" i="21"/>
  <c r="B14" i="21"/>
  <c r="G13" i="21"/>
  <c r="F13" i="21"/>
  <c r="F10" i="21" s="1"/>
  <c r="F21" i="21" s="1"/>
  <c r="E13" i="21"/>
  <c r="D13" i="21"/>
  <c r="Q13" i="21" s="1"/>
  <c r="B13" i="21"/>
  <c r="G12" i="21"/>
  <c r="Q12" i="21" s="1"/>
  <c r="F12" i="21"/>
  <c r="E12" i="21"/>
  <c r="D12" i="21"/>
  <c r="B12" i="21"/>
  <c r="G11" i="21"/>
  <c r="G10" i="21" s="1"/>
  <c r="G21" i="21" s="1"/>
  <c r="F11" i="21"/>
  <c r="E11" i="21"/>
  <c r="E10" i="21" s="1"/>
  <c r="D11" i="21"/>
  <c r="B11" i="21"/>
  <c r="O10" i="21"/>
  <c r="O21" i="21" s="1"/>
  <c r="O22" i="21" s="1"/>
  <c r="N10" i="21"/>
  <c r="M10" i="21"/>
  <c r="L10" i="21"/>
  <c r="K10" i="21"/>
  <c r="J10" i="21"/>
  <c r="J21" i="21" s="1"/>
  <c r="I10" i="21"/>
  <c r="I21" i="21" s="1"/>
  <c r="H10" i="21"/>
  <c r="H21" i="21" s="1"/>
  <c r="O8" i="21"/>
  <c r="N8" i="21"/>
  <c r="M8" i="21"/>
  <c r="L8" i="21"/>
  <c r="K8" i="21"/>
  <c r="J8" i="21"/>
  <c r="I8" i="21"/>
  <c r="H8" i="21"/>
  <c r="G8" i="21"/>
  <c r="F8" i="21"/>
  <c r="E8" i="21"/>
  <c r="D8" i="21"/>
  <c r="Q232" i="18"/>
  <c r="G227" i="18"/>
  <c r="F227" i="18"/>
  <c r="E227" i="18"/>
  <c r="D227" i="18"/>
  <c r="Q227" i="18" s="1"/>
  <c r="Q225" i="18"/>
  <c r="B225" i="18"/>
  <c r="O224" i="18"/>
  <c r="N224" i="18"/>
  <c r="M224" i="18"/>
  <c r="L224" i="18"/>
  <c r="K224" i="18"/>
  <c r="J224" i="18"/>
  <c r="I224" i="18"/>
  <c r="H224" i="18"/>
  <c r="G224" i="18"/>
  <c r="F224" i="18"/>
  <c r="E224" i="18"/>
  <c r="D224" i="18"/>
  <c r="Q224" i="18" s="1"/>
  <c r="B224" i="18"/>
  <c r="Q223" i="18"/>
  <c r="B223" i="18"/>
  <c r="Q222" i="18"/>
  <c r="B222" i="18"/>
  <c r="Q221" i="18"/>
  <c r="B221" i="18"/>
  <c r="O220" i="18"/>
  <c r="N220" i="18"/>
  <c r="M220" i="18"/>
  <c r="L220" i="18"/>
  <c r="K220" i="18"/>
  <c r="J220" i="18"/>
  <c r="I220" i="18"/>
  <c r="H220" i="18"/>
  <c r="G220" i="18"/>
  <c r="F220" i="18"/>
  <c r="E220" i="18"/>
  <c r="D220" i="18"/>
  <c r="B220" i="18"/>
  <c r="Q219" i="18"/>
  <c r="B219" i="18"/>
  <c r="O218" i="18"/>
  <c r="N218" i="18"/>
  <c r="M218" i="18"/>
  <c r="L218" i="18"/>
  <c r="K218" i="18"/>
  <c r="J218" i="18"/>
  <c r="I218" i="18"/>
  <c r="H218" i="18"/>
  <c r="G218" i="18"/>
  <c r="F218" i="18"/>
  <c r="E218" i="18"/>
  <c r="D218" i="18"/>
  <c r="B218" i="18"/>
  <c r="Q217" i="18"/>
  <c r="B217" i="18"/>
  <c r="Q216" i="18"/>
  <c r="B216" i="18"/>
  <c r="O215" i="18"/>
  <c r="N215" i="18"/>
  <c r="M215" i="18"/>
  <c r="L215" i="18"/>
  <c r="K215" i="18"/>
  <c r="J215" i="18"/>
  <c r="I215" i="18"/>
  <c r="H215" i="18"/>
  <c r="G215" i="18"/>
  <c r="F215" i="18"/>
  <c r="E215" i="18"/>
  <c r="D215" i="18"/>
  <c r="Q215" i="18" s="1"/>
  <c r="B215" i="18"/>
  <c r="Q214" i="18"/>
  <c r="B214" i="18"/>
  <c r="Q213" i="18"/>
  <c r="B213" i="18"/>
  <c r="Q212" i="18"/>
  <c r="B212" i="18"/>
  <c r="Q211" i="18"/>
  <c r="B211" i="18"/>
  <c r="Q210" i="18"/>
  <c r="B210" i="18"/>
  <c r="Q209" i="18"/>
  <c r="B209" i="18"/>
  <c r="Q208" i="18"/>
  <c r="B208" i="18"/>
  <c r="Q207" i="18"/>
  <c r="B207" i="18"/>
  <c r="Q206" i="18"/>
  <c r="B206" i="18"/>
  <c r="O205" i="18"/>
  <c r="N205" i="18"/>
  <c r="M205" i="18"/>
  <c r="L205" i="18"/>
  <c r="K205" i="18"/>
  <c r="J205" i="18"/>
  <c r="I205" i="18"/>
  <c r="H205" i="18"/>
  <c r="G205" i="18"/>
  <c r="F205" i="18"/>
  <c r="E205" i="18"/>
  <c r="D205" i="18"/>
  <c r="B205" i="18"/>
  <c r="Q204" i="18"/>
  <c r="B204" i="18"/>
  <c r="Q203" i="18"/>
  <c r="B203" i="18"/>
  <c r="O202" i="18"/>
  <c r="N202" i="18"/>
  <c r="M202" i="18"/>
  <c r="L202" i="18"/>
  <c r="K202" i="18"/>
  <c r="J202" i="18"/>
  <c r="I202" i="18"/>
  <c r="H202" i="18"/>
  <c r="G202" i="18"/>
  <c r="F202" i="18"/>
  <c r="E202" i="18"/>
  <c r="D202" i="18"/>
  <c r="B202" i="18"/>
  <c r="Q201" i="18"/>
  <c r="B201" i="18"/>
  <c r="Q200" i="18"/>
  <c r="B200" i="18"/>
  <c r="Q199" i="18"/>
  <c r="B199" i="18"/>
  <c r="Q198" i="18"/>
  <c r="B198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Q197" i="18" s="1"/>
  <c r="B197" i="18"/>
  <c r="Q196" i="18"/>
  <c r="B196" i="18"/>
  <c r="Q195" i="18"/>
  <c r="B195" i="18"/>
  <c r="Q194" i="18"/>
  <c r="B194" i="18"/>
  <c r="Q193" i="18"/>
  <c r="B193" i="18"/>
  <c r="O192" i="18"/>
  <c r="N192" i="18"/>
  <c r="M192" i="18"/>
  <c r="L192" i="18"/>
  <c r="K192" i="18"/>
  <c r="J192" i="18"/>
  <c r="I192" i="18"/>
  <c r="H192" i="18"/>
  <c r="G192" i="18"/>
  <c r="F192" i="18"/>
  <c r="E192" i="18"/>
  <c r="D192" i="18"/>
  <c r="B192" i="18"/>
  <c r="Q191" i="18"/>
  <c r="B191" i="18"/>
  <c r="Q190" i="18"/>
  <c r="B190" i="18"/>
  <c r="Q189" i="18"/>
  <c r="B189" i="18"/>
  <c r="Q188" i="18"/>
  <c r="B188" i="18"/>
  <c r="O187" i="18"/>
  <c r="N187" i="18"/>
  <c r="M187" i="18"/>
  <c r="L187" i="18"/>
  <c r="K187" i="18"/>
  <c r="J187" i="18"/>
  <c r="I187" i="18"/>
  <c r="H187" i="18"/>
  <c r="G187" i="18"/>
  <c r="F187" i="18"/>
  <c r="E187" i="18"/>
  <c r="D187" i="18"/>
  <c r="B187" i="18"/>
  <c r="Q186" i="18"/>
  <c r="B186" i="18"/>
  <c r="O185" i="18"/>
  <c r="N185" i="18"/>
  <c r="M185" i="18"/>
  <c r="L185" i="18"/>
  <c r="K185" i="18"/>
  <c r="J185" i="18"/>
  <c r="I185" i="18"/>
  <c r="H185" i="18"/>
  <c r="G185" i="18"/>
  <c r="F185" i="18"/>
  <c r="E185" i="18"/>
  <c r="D185" i="18"/>
  <c r="Q185" i="18" s="1"/>
  <c r="B185" i="18"/>
  <c r="Q184" i="18"/>
  <c r="B184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Q183" i="18" s="1"/>
  <c r="B183" i="18"/>
  <c r="Q182" i="18"/>
  <c r="B182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B181" i="18"/>
  <c r="Q180" i="18"/>
  <c r="B180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Q179" i="18" s="1"/>
  <c r="B179" i="18"/>
  <c r="Q178" i="18"/>
  <c r="B178" i="18"/>
  <c r="Q177" i="18"/>
  <c r="B177" i="18"/>
  <c r="O176" i="18"/>
  <c r="N176" i="18"/>
  <c r="M176" i="18"/>
  <c r="L176" i="18"/>
  <c r="K176" i="18"/>
  <c r="J176" i="18"/>
  <c r="I176" i="18"/>
  <c r="H176" i="18"/>
  <c r="G176" i="18"/>
  <c r="F176" i="18"/>
  <c r="E176" i="18"/>
  <c r="D176" i="18"/>
  <c r="Q176" i="18" s="1"/>
  <c r="B176" i="18"/>
  <c r="Q175" i="18"/>
  <c r="B175" i="18"/>
  <c r="Q174" i="18"/>
  <c r="B174" i="18"/>
  <c r="O173" i="18"/>
  <c r="N173" i="18"/>
  <c r="M173" i="18"/>
  <c r="L173" i="18"/>
  <c r="K173" i="18"/>
  <c r="J173" i="18"/>
  <c r="I173" i="18"/>
  <c r="H173" i="18"/>
  <c r="G173" i="18"/>
  <c r="F173" i="18"/>
  <c r="E173" i="18"/>
  <c r="D173" i="18"/>
  <c r="Q173" i="18" s="1"/>
  <c r="B173" i="18"/>
  <c r="Q172" i="18"/>
  <c r="B172" i="18"/>
  <c r="O171" i="18"/>
  <c r="N171" i="18"/>
  <c r="M171" i="18"/>
  <c r="L171" i="18"/>
  <c r="K171" i="18"/>
  <c r="J171" i="18"/>
  <c r="I171" i="18"/>
  <c r="H171" i="18"/>
  <c r="G171" i="18"/>
  <c r="F171" i="18"/>
  <c r="E171" i="18"/>
  <c r="D171" i="18"/>
  <c r="B171" i="18"/>
  <c r="Q170" i="18"/>
  <c r="B170" i="18"/>
  <c r="O169" i="18"/>
  <c r="N169" i="18"/>
  <c r="M169" i="18"/>
  <c r="L169" i="18"/>
  <c r="K169" i="18"/>
  <c r="J169" i="18"/>
  <c r="I169" i="18"/>
  <c r="H169" i="18"/>
  <c r="G169" i="18"/>
  <c r="F169" i="18"/>
  <c r="E169" i="18"/>
  <c r="D169" i="18"/>
  <c r="B169" i="18"/>
  <c r="Q168" i="18"/>
  <c r="B168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Q167" i="18" s="1"/>
  <c r="B167" i="18"/>
  <c r="Q166" i="18"/>
  <c r="B166" i="18"/>
  <c r="Q165" i="18"/>
  <c r="B165" i="18"/>
  <c r="O164" i="18"/>
  <c r="N164" i="18"/>
  <c r="M164" i="18"/>
  <c r="L164" i="18"/>
  <c r="K164" i="18"/>
  <c r="J164" i="18"/>
  <c r="I164" i="18"/>
  <c r="H164" i="18"/>
  <c r="G164" i="18"/>
  <c r="F164" i="18"/>
  <c r="E164" i="18"/>
  <c r="D164" i="18"/>
  <c r="Q164" i="18" s="1"/>
  <c r="B164" i="18"/>
  <c r="Q163" i="18"/>
  <c r="B163" i="18"/>
  <c r="Q162" i="18"/>
  <c r="B162" i="18"/>
  <c r="O161" i="18"/>
  <c r="N161" i="18"/>
  <c r="M161" i="18"/>
  <c r="L161" i="18"/>
  <c r="K161" i="18"/>
  <c r="J161" i="18"/>
  <c r="I161" i="18"/>
  <c r="H161" i="18"/>
  <c r="G161" i="18"/>
  <c r="F161" i="18"/>
  <c r="E161" i="18"/>
  <c r="D161" i="18"/>
  <c r="D131" i="18" s="1"/>
  <c r="B161" i="18"/>
  <c r="Q160" i="18"/>
  <c r="B160" i="18"/>
  <c r="O159" i="18"/>
  <c r="N159" i="18"/>
  <c r="M159" i="18"/>
  <c r="L159" i="18"/>
  <c r="K159" i="18"/>
  <c r="J159" i="18"/>
  <c r="I159" i="18"/>
  <c r="H159" i="18"/>
  <c r="G159" i="18"/>
  <c r="F159" i="18"/>
  <c r="E159" i="18"/>
  <c r="D159" i="18"/>
  <c r="B159" i="18"/>
  <c r="Q158" i="18"/>
  <c r="B158" i="18"/>
  <c r="Q157" i="18"/>
  <c r="B157" i="18"/>
  <c r="O156" i="18"/>
  <c r="N156" i="18"/>
  <c r="M156" i="18"/>
  <c r="L156" i="18"/>
  <c r="K156" i="18"/>
  <c r="J156" i="18"/>
  <c r="I156" i="18"/>
  <c r="H156" i="18"/>
  <c r="G156" i="18"/>
  <c r="F156" i="18"/>
  <c r="E156" i="18"/>
  <c r="D156" i="18"/>
  <c r="B156" i="18"/>
  <c r="Q155" i="18"/>
  <c r="B155" i="18"/>
  <c r="O154" i="18"/>
  <c r="N154" i="18"/>
  <c r="M154" i="18"/>
  <c r="L154" i="18"/>
  <c r="K154" i="18"/>
  <c r="J154" i="18"/>
  <c r="I154" i="18"/>
  <c r="H154" i="18"/>
  <c r="G154" i="18"/>
  <c r="F154" i="18"/>
  <c r="E154" i="18"/>
  <c r="D154" i="18"/>
  <c r="B154" i="18"/>
  <c r="Q153" i="18"/>
  <c r="B153" i="18"/>
  <c r="Q152" i="18"/>
  <c r="B152" i="18"/>
  <c r="Q151" i="18"/>
  <c r="B151" i="18"/>
  <c r="Q150" i="18"/>
  <c r="B150" i="18"/>
  <c r="Q149" i="18"/>
  <c r="B149" i="18"/>
  <c r="Q148" i="18"/>
  <c r="B148" i="18"/>
  <c r="Q147" i="18"/>
  <c r="B147" i="18"/>
  <c r="Q146" i="18"/>
  <c r="B146" i="18"/>
  <c r="Q145" i="18"/>
  <c r="B145" i="18"/>
  <c r="Q144" i="18"/>
  <c r="B144" i="18"/>
  <c r="O143" i="18"/>
  <c r="N143" i="18"/>
  <c r="M143" i="18"/>
  <c r="M131" i="18" s="1"/>
  <c r="L143" i="18"/>
  <c r="K143" i="18"/>
  <c r="K131" i="18" s="1"/>
  <c r="K229" i="18" s="1"/>
  <c r="J143" i="18"/>
  <c r="I143" i="18"/>
  <c r="H143" i="18"/>
  <c r="G143" i="18"/>
  <c r="F143" i="18"/>
  <c r="E143" i="18"/>
  <c r="D143" i="18"/>
  <c r="Q143" i="18" s="1"/>
  <c r="B143" i="18"/>
  <c r="Q142" i="18"/>
  <c r="B142" i="18"/>
  <c r="Q141" i="18"/>
  <c r="B141" i="18"/>
  <c r="Q140" i="18"/>
  <c r="B140" i="18"/>
  <c r="Q139" i="18"/>
  <c r="B139" i="18"/>
  <c r="Q138" i="18"/>
  <c r="B138" i="18"/>
  <c r="Q137" i="18"/>
  <c r="B137" i="18"/>
  <c r="Q136" i="18"/>
  <c r="B136" i="18"/>
  <c r="Q135" i="18"/>
  <c r="B135" i="18"/>
  <c r="Q134" i="18"/>
  <c r="B134" i="18"/>
  <c r="Q133" i="18"/>
  <c r="B133" i="18"/>
  <c r="O132" i="18"/>
  <c r="O131" i="18" s="1"/>
  <c r="N132" i="18"/>
  <c r="M132" i="18"/>
  <c r="L132" i="18"/>
  <c r="K132" i="18"/>
  <c r="J132" i="18"/>
  <c r="I132" i="18"/>
  <c r="I131" i="18" s="1"/>
  <c r="H132" i="18"/>
  <c r="G132" i="18"/>
  <c r="F132" i="18"/>
  <c r="E132" i="18"/>
  <c r="D132" i="18"/>
  <c r="B132" i="18"/>
  <c r="J131" i="18"/>
  <c r="E131" i="18"/>
  <c r="K129" i="18"/>
  <c r="Q126" i="18"/>
  <c r="B126" i="18"/>
  <c r="Q125" i="18"/>
  <c r="B125" i="18"/>
  <c r="Q124" i="18"/>
  <c r="B124" i="18"/>
  <c r="Q123" i="18"/>
  <c r="B123" i="18"/>
  <c r="Q122" i="18"/>
  <c r="B122" i="18"/>
  <c r="Q121" i="18"/>
  <c r="B121" i="18"/>
  <c r="Q120" i="18"/>
  <c r="B120" i="18"/>
  <c r="Q119" i="18"/>
  <c r="B119" i="18"/>
  <c r="Q118" i="18"/>
  <c r="B118" i="18"/>
  <c r="Q117" i="18"/>
  <c r="B117" i="18"/>
  <c r="Q116" i="18"/>
  <c r="B116" i="18"/>
  <c r="Q115" i="18"/>
  <c r="B115" i="18"/>
  <c r="Q114" i="18"/>
  <c r="B114" i="18"/>
  <c r="Q113" i="18"/>
  <c r="B113" i="18"/>
  <c r="Q112" i="18"/>
  <c r="B112" i="18"/>
  <c r="Q111" i="18"/>
  <c r="B111" i="18"/>
  <c r="Q110" i="18"/>
  <c r="B110" i="18"/>
  <c r="Q109" i="18"/>
  <c r="B109" i="18"/>
  <c r="Q108" i="18"/>
  <c r="B108" i="18"/>
  <c r="Q107" i="18"/>
  <c r="B107" i="18"/>
  <c r="Q106" i="18"/>
  <c r="B106" i="18"/>
  <c r="Q105" i="18"/>
  <c r="B105" i="18"/>
  <c r="Q104" i="18"/>
  <c r="B104" i="18"/>
  <c r="Q103" i="18"/>
  <c r="B103" i="18"/>
  <c r="Q102" i="18"/>
  <c r="B102" i="18"/>
  <c r="Q101" i="18"/>
  <c r="B101" i="18"/>
  <c r="Q100" i="18"/>
  <c r="B100" i="18"/>
  <c r="Q99" i="18"/>
  <c r="B99" i="18"/>
  <c r="Q98" i="18"/>
  <c r="B98" i="18"/>
  <c r="Q97" i="18"/>
  <c r="B97" i="18"/>
  <c r="Q96" i="18"/>
  <c r="B96" i="18"/>
  <c r="Q95" i="18"/>
  <c r="B95" i="18"/>
  <c r="Q94" i="18"/>
  <c r="B94" i="18"/>
  <c r="Q93" i="18"/>
  <c r="B93" i="18"/>
  <c r="Q92" i="18"/>
  <c r="B92" i="18"/>
  <c r="Q91" i="18"/>
  <c r="B91" i="18"/>
  <c r="Q90" i="18"/>
  <c r="B90" i="18"/>
  <c r="Q89" i="18"/>
  <c r="B89" i="18"/>
  <c r="Q88" i="18"/>
  <c r="B88" i="18"/>
  <c r="O87" i="18"/>
  <c r="N87" i="18"/>
  <c r="M87" i="18"/>
  <c r="M128" i="18" s="1"/>
  <c r="L87" i="18"/>
  <c r="L128" i="18" s="1"/>
  <c r="K87" i="18"/>
  <c r="J87" i="18"/>
  <c r="I87" i="18"/>
  <c r="H87" i="18"/>
  <c r="G87" i="18"/>
  <c r="F87" i="18"/>
  <c r="E87" i="18"/>
  <c r="D87" i="18"/>
  <c r="G85" i="18"/>
  <c r="F85" i="18"/>
  <c r="E85" i="18"/>
  <c r="Q85" i="18" s="1"/>
  <c r="D85" i="18"/>
  <c r="B85" i="18"/>
  <c r="G84" i="18"/>
  <c r="F84" i="18"/>
  <c r="E84" i="18"/>
  <c r="D84" i="18"/>
  <c r="B84" i="18"/>
  <c r="G83" i="18"/>
  <c r="F83" i="18"/>
  <c r="E83" i="18"/>
  <c r="D83" i="18"/>
  <c r="B83" i="18"/>
  <c r="G82" i="18"/>
  <c r="F82" i="18"/>
  <c r="E82" i="18"/>
  <c r="D82" i="18"/>
  <c r="B82" i="18"/>
  <c r="G81" i="18"/>
  <c r="F81" i="18"/>
  <c r="E81" i="18"/>
  <c r="D81" i="18"/>
  <c r="B81" i="18"/>
  <c r="G80" i="18"/>
  <c r="F80" i="18"/>
  <c r="E80" i="18"/>
  <c r="D80" i="18"/>
  <c r="B80" i="18"/>
  <c r="G79" i="18"/>
  <c r="F79" i="18"/>
  <c r="E79" i="18"/>
  <c r="Q79" i="18" s="1"/>
  <c r="D79" i="18"/>
  <c r="B79" i="18"/>
  <c r="G78" i="18"/>
  <c r="F78" i="18"/>
  <c r="E78" i="18"/>
  <c r="D78" i="18"/>
  <c r="Q78" i="18" s="1"/>
  <c r="B78" i="18"/>
  <c r="G77" i="18"/>
  <c r="F77" i="18"/>
  <c r="E77" i="18"/>
  <c r="D77" i="18"/>
  <c r="B77" i="18"/>
  <c r="G76" i="18"/>
  <c r="F76" i="18"/>
  <c r="E76" i="18"/>
  <c r="D76" i="18"/>
  <c r="B76" i="18"/>
  <c r="G75" i="18"/>
  <c r="F75" i="18"/>
  <c r="E75" i="18"/>
  <c r="D75" i="18"/>
  <c r="B75" i="18"/>
  <c r="G74" i="18"/>
  <c r="F74" i="18"/>
  <c r="E74" i="18"/>
  <c r="D74" i="18"/>
  <c r="Q74" i="18" s="1"/>
  <c r="B74" i="18"/>
  <c r="G73" i="18"/>
  <c r="F73" i="18"/>
  <c r="E73" i="18"/>
  <c r="Q73" i="18" s="1"/>
  <c r="D73" i="18"/>
  <c r="B73" i="18"/>
  <c r="G72" i="18"/>
  <c r="F72" i="18"/>
  <c r="E72" i="18"/>
  <c r="D72" i="18"/>
  <c r="B72" i="18"/>
  <c r="G71" i="18"/>
  <c r="F71" i="18"/>
  <c r="E71" i="18"/>
  <c r="D71" i="18"/>
  <c r="B71" i="18"/>
  <c r="G70" i="18"/>
  <c r="F70" i="18"/>
  <c r="E70" i="18"/>
  <c r="D70" i="18"/>
  <c r="B70" i="18"/>
  <c r="G69" i="18"/>
  <c r="F69" i="18"/>
  <c r="E69" i="18"/>
  <c r="D69" i="18"/>
  <c r="B69" i="18"/>
  <c r="G68" i="18"/>
  <c r="F68" i="18"/>
  <c r="E68" i="18"/>
  <c r="Q68" i="18" s="1"/>
  <c r="D68" i="18"/>
  <c r="B68" i="18"/>
  <c r="G67" i="18"/>
  <c r="F67" i="18"/>
  <c r="E67" i="18"/>
  <c r="Q67" i="18" s="1"/>
  <c r="D67" i="18"/>
  <c r="B67" i="18"/>
  <c r="G66" i="18"/>
  <c r="F66" i="18"/>
  <c r="E66" i="18"/>
  <c r="D66" i="18"/>
  <c r="B66" i="18"/>
  <c r="G65" i="18"/>
  <c r="F65" i="18"/>
  <c r="E65" i="18"/>
  <c r="D65" i="18"/>
  <c r="B65" i="18"/>
  <c r="G64" i="18"/>
  <c r="F64" i="18"/>
  <c r="E64" i="18"/>
  <c r="D64" i="18"/>
  <c r="B64" i="18"/>
  <c r="G63" i="18"/>
  <c r="F63" i="18"/>
  <c r="E63" i="18"/>
  <c r="D63" i="18"/>
  <c r="B63" i="18"/>
  <c r="G62" i="18"/>
  <c r="F62" i="18"/>
  <c r="E62" i="18"/>
  <c r="Q62" i="18" s="1"/>
  <c r="D62" i="18"/>
  <c r="B62" i="18"/>
  <c r="G61" i="18"/>
  <c r="F61" i="18"/>
  <c r="E61" i="18"/>
  <c r="Q61" i="18" s="1"/>
  <c r="D61" i="18"/>
  <c r="B61" i="18"/>
  <c r="G60" i="18"/>
  <c r="F60" i="18"/>
  <c r="E60" i="18"/>
  <c r="D60" i="18"/>
  <c r="B60" i="18"/>
  <c r="G59" i="18"/>
  <c r="F59" i="18"/>
  <c r="E59" i="18"/>
  <c r="D59" i="18"/>
  <c r="B59" i="18"/>
  <c r="G58" i="18"/>
  <c r="F58" i="18"/>
  <c r="E58" i="18"/>
  <c r="D58" i="18"/>
  <c r="B58" i="18"/>
  <c r="G57" i="18"/>
  <c r="F57" i="18"/>
  <c r="E57" i="18"/>
  <c r="D57" i="18"/>
  <c r="B57" i="18"/>
  <c r="G56" i="18"/>
  <c r="F56" i="18"/>
  <c r="E56" i="18"/>
  <c r="Q56" i="18" s="1"/>
  <c r="D56" i="18"/>
  <c r="B56" i="18"/>
  <c r="G55" i="18"/>
  <c r="F55" i="18"/>
  <c r="E55" i="18"/>
  <c r="Q55" i="18" s="1"/>
  <c r="D55" i="18"/>
  <c r="B55" i="18"/>
  <c r="G54" i="18"/>
  <c r="F54" i="18"/>
  <c r="E54" i="18"/>
  <c r="D54" i="18"/>
  <c r="B54" i="18"/>
  <c r="G53" i="18"/>
  <c r="F53" i="18"/>
  <c r="E53" i="18"/>
  <c r="D53" i="18"/>
  <c r="B53" i="18"/>
  <c r="G52" i="18"/>
  <c r="F52" i="18"/>
  <c r="E52" i="18"/>
  <c r="D52" i="18"/>
  <c r="B52" i="18"/>
  <c r="G51" i="18"/>
  <c r="F51" i="18"/>
  <c r="E51" i="18"/>
  <c r="D51" i="18"/>
  <c r="B51" i="18"/>
  <c r="G50" i="18"/>
  <c r="F50" i="18"/>
  <c r="E50" i="18"/>
  <c r="Q50" i="18" s="1"/>
  <c r="D50" i="18"/>
  <c r="B50" i="18"/>
  <c r="G49" i="18"/>
  <c r="F49" i="18"/>
  <c r="E49" i="18"/>
  <c r="Q49" i="18" s="1"/>
  <c r="D49" i="18"/>
  <c r="B49" i="18"/>
  <c r="G48" i="18"/>
  <c r="F48" i="18"/>
  <c r="E48" i="18"/>
  <c r="D48" i="18"/>
  <c r="B48" i="18"/>
  <c r="G47" i="18"/>
  <c r="F47" i="18"/>
  <c r="E47" i="18"/>
  <c r="D47" i="18"/>
  <c r="B47" i="18"/>
  <c r="G46" i="18"/>
  <c r="F46" i="18"/>
  <c r="E46" i="18"/>
  <c r="D46" i="18"/>
  <c r="B46" i="18"/>
  <c r="G45" i="18"/>
  <c r="F45" i="18"/>
  <c r="E45" i="18"/>
  <c r="D45" i="18"/>
  <c r="B45" i="18"/>
  <c r="G44" i="18"/>
  <c r="F44" i="18"/>
  <c r="E44" i="18"/>
  <c r="Q44" i="18" s="1"/>
  <c r="D44" i="18"/>
  <c r="B44" i="18"/>
  <c r="G43" i="18"/>
  <c r="F43" i="18"/>
  <c r="E43" i="18"/>
  <c r="Q43" i="18" s="1"/>
  <c r="D43" i="18"/>
  <c r="B43" i="18"/>
  <c r="G42" i="18"/>
  <c r="F42" i="18"/>
  <c r="E42" i="18"/>
  <c r="D42" i="18"/>
  <c r="B42" i="18"/>
  <c r="G41" i="18"/>
  <c r="F41" i="18"/>
  <c r="E41" i="18"/>
  <c r="D41" i="18"/>
  <c r="B41" i="18"/>
  <c r="G40" i="18"/>
  <c r="F40" i="18"/>
  <c r="E40" i="18"/>
  <c r="D40" i="18"/>
  <c r="B40" i="18"/>
  <c r="G39" i="18"/>
  <c r="F39" i="18"/>
  <c r="E39" i="18"/>
  <c r="D39" i="18"/>
  <c r="B39" i="18"/>
  <c r="G38" i="18"/>
  <c r="F38" i="18"/>
  <c r="E38" i="18"/>
  <c r="Q38" i="18" s="1"/>
  <c r="D38" i="18"/>
  <c r="B38" i="18"/>
  <c r="G37" i="18"/>
  <c r="F37" i="18"/>
  <c r="E37" i="18"/>
  <c r="Q37" i="18" s="1"/>
  <c r="D37" i="18"/>
  <c r="B37" i="18"/>
  <c r="G36" i="18"/>
  <c r="F36" i="18"/>
  <c r="E36" i="18"/>
  <c r="D36" i="18"/>
  <c r="B36" i="18"/>
  <c r="G35" i="18"/>
  <c r="F35" i="18"/>
  <c r="E35" i="18"/>
  <c r="D35" i="18"/>
  <c r="B35" i="18"/>
  <c r="G34" i="18"/>
  <c r="F34" i="18"/>
  <c r="E34" i="18"/>
  <c r="D34" i="18"/>
  <c r="B34" i="18"/>
  <c r="G33" i="18"/>
  <c r="F33" i="18"/>
  <c r="E33" i="18"/>
  <c r="D33" i="18"/>
  <c r="B33" i="18"/>
  <c r="G32" i="18"/>
  <c r="F32" i="18"/>
  <c r="E32" i="18"/>
  <c r="Q32" i="18" s="1"/>
  <c r="D32" i="18"/>
  <c r="B32" i="18"/>
  <c r="G31" i="18"/>
  <c r="F31" i="18"/>
  <c r="E31" i="18"/>
  <c r="Q31" i="18" s="1"/>
  <c r="D31" i="18"/>
  <c r="B31" i="18"/>
  <c r="G30" i="18"/>
  <c r="F30" i="18"/>
  <c r="E30" i="18"/>
  <c r="D30" i="18"/>
  <c r="B30" i="18"/>
  <c r="G29" i="18"/>
  <c r="F29" i="18"/>
  <c r="E29" i="18"/>
  <c r="D29" i="18"/>
  <c r="B29" i="18"/>
  <c r="G28" i="18"/>
  <c r="F28" i="18"/>
  <c r="E28" i="18"/>
  <c r="D28" i="18"/>
  <c r="B28" i="18"/>
  <c r="G27" i="18"/>
  <c r="F27" i="18"/>
  <c r="E27" i="18"/>
  <c r="D27" i="18"/>
  <c r="B27" i="18"/>
  <c r="G26" i="18"/>
  <c r="F26" i="18"/>
  <c r="E26" i="18"/>
  <c r="Q26" i="18" s="1"/>
  <c r="D26" i="18"/>
  <c r="B26" i="18"/>
  <c r="G25" i="18"/>
  <c r="F25" i="18"/>
  <c r="E25" i="18"/>
  <c r="Q25" i="18" s="1"/>
  <c r="D25" i="18"/>
  <c r="B25" i="18"/>
  <c r="G24" i="18"/>
  <c r="F24" i="18"/>
  <c r="E24" i="18"/>
  <c r="D24" i="18"/>
  <c r="B24" i="18"/>
  <c r="G23" i="18"/>
  <c r="F23" i="18"/>
  <c r="E23" i="18"/>
  <c r="D23" i="18"/>
  <c r="B23" i="18"/>
  <c r="G22" i="18"/>
  <c r="F22" i="18"/>
  <c r="E22" i="18"/>
  <c r="D22" i="18"/>
  <c r="B22" i="18"/>
  <c r="G21" i="18"/>
  <c r="F21" i="18"/>
  <c r="E21" i="18"/>
  <c r="D21" i="18"/>
  <c r="B21" i="18"/>
  <c r="G20" i="18"/>
  <c r="F20" i="18"/>
  <c r="E20" i="18"/>
  <c r="Q20" i="18" s="1"/>
  <c r="D20" i="18"/>
  <c r="B20" i="18"/>
  <c r="G19" i="18"/>
  <c r="F19" i="18"/>
  <c r="E19" i="18"/>
  <c r="Q19" i="18" s="1"/>
  <c r="D19" i="18"/>
  <c r="B19" i="18"/>
  <c r="G18" i="18"/>
  <c r="F18" i="18"/>
  <c r="E18" i="18"/>
  <c r="D18" i="18"/>
  <c r="B18" i="18"/>
  <c r="Q17" i="18"/>
  <c r="G17" i="18"/>
  <c r="F17" i="18"/>
  <c r="E17" i="18"/>
  <c r="D17" i="18"/>
  <c r="B17" i="18"/>
  <c r="G16" i="18"/>
  <c r="F16" i="18"/>
  <c r="E16" i="18"/>
  <c r="D16" i="18"/>
  <c r="B16" i="18"/>
  <c r="Q15" i="18"/>
  <c r="G15" i="18"/>
  <c r="F15" i="18"/>
  <c r="E15" i="18"/>
  <c r="D15" i="18"/>
  <c r="B15" i="18"/>
  <c r="G14" i="18"/>
  <c r="F14" i="18"/>
  <c r="E14" i="18"/>
  <c r="D14" i="18"/>
  <c r="B14" i="18"/>
  <c r="G13" i="18"/>
  <c r="Q13" i="18" s="1"/>
  <c r="F13" i="18"/>
  <c r="E13" i="18"/>
  <c r="D13" i="18"/>
  <c r="B13" i="18"/>
  <c r="G12" i="18"/>
  <c r="F12" i="18"/>
  <c r="Q12" i="18" s="1"/>
  <c r="E12" i="18"/>
  <c r="D12" i="18"/>
  <c r="B12" i="18"/>
  <c r="G11" i="18"/>
  <c r="F11" i="18"/>
  <c r="E11" i="18"/>
  <c r="Q11" i="18" s="1"/>
  <c r="D11" i="18"/>
  <c r="B11" i="18"/>
  <c r="O10" i="18"/>
  <c r="O128" i="18" s="1"/>
  <c r="N10" i="18"/>
  <c r="N128" i="18" s="1"/>
  <c r="M10" i="18"/>
  <c r="L10" i="18"/>
  <c r="K10" i="18"/>
  <c r="K128" i="18" s="1"/>
  <c r="J10" i="18"/>
  <c r="I10" i="18"/>
  <c r="I128" i="18" s="1"/>
  <c r="H10" i="18"/>
  <c r="H128" i="18" s="1"/>
  <c r="H129" i="18" s="1"/>
  <c r="D10" i="18"/>
  <c r="D128" i="18" s="1"/>
  <c r="D129" i="18" s="1"/>
  <c r="O8" i="18"/>
  <c r="N8" i="18"/>
  <c r="M8" i="18"/>
  <c r="L8" i="18"/>
  <c r="K8" i="18"/>
  <c r="J8" i="18"/>
  <c r="I8" i="18"/>
  <c r="H8" i="18"/>
  <c r="G8" i="18"/>
  <c r="F8" i="18"/>
  <c r="E8" i="18"/>
  <c r="D8" i="18"/>
  <c r="L212" i="15"/>
  <c r="Q210" i="15"/>
  <c r="Q205" i="15"/>
  <c r="G205" i="15"/>
  <c r="F205" i="15"/>
  <c r="E205" i="15"/>
  <c r="D205" i="15"/>
  <c r="Q203" i="15"/>
  <c r="B203" i="15"/>
  <c r="O202" i="15"/>
  <c r="N202" i="15"/>
  <c r="M202" i="15"/>
  <c r="L202" i="15"/>
  <c r="K202" i="15"/>
  <c r="J202" i="15"/>
  <c r="I202" i="15"/>
  <c r="H202" i="15"/>
  <c r="G202" i="15"/>
  <c r="F202" i="15"/>
  <c r="E202" i="15"/>
  <c r="D202" i="15"/>
  <c r="Q202" i="15" s="1"/>
  <c r="B202" i="15"/>
  <c r="Q201" i="15"/>
  <c r="B201" i="15"/>
  <c r="Q200" i="15"/>
  <c r="B200" i="15"/>
  <c r="Q199" i="15"/>
  <c r="B199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B198" i="15"/>
  <c r="Q197" i="15"/>
  <c r="B197" i="15"/>
  <c r="O196" i="15"/>
  <c r="N196" i="15"/>
  <c r="M196" i="15"/>
  <c r="L196" i="15"/>
  <c r="K196" i="15"/>
  <c r="J196" i="15"/>
  <c r="I196" i="15"/>
  <c r="H196" i="15"/>
  <c r="G196" i="15"/>
  <c r="F196" i="15"/>
  <c r="E196" i="15"/>
  <c r="D196" i="15"/>
  <c r="Q196" i="15" s="1"/>
  <c r="B196" i="15"/>
  <c r="Q195" i="15"/>
  <c r="B195" i="15"/>
  <c r="Q194" i="15"/>
  <c r="B194" i="15"/>
  <c r="O193" i="15"/>
  <c r="N193" i="15"/>
  <c r="M193" i="15"/>
  <c r="L193" i="15"/>
  <c r="K193" i="15"/>
  <c r="J193" i="15"/>
  <c r="I193" i="15"/>
  <c r="H193" i="15"/>
  <c r="G193" i="15"/>
  <c r="F193" i="15"/>
  <c r="E193" i="15"/>
  <c r="D193" i="15"/>
  <c r="B193" i="15"/>
  <c r="Q192" i="15"/>
  <c r="B192" i="15"/>
  <c r="Q191" i="15"/>
  <c r="B191" i="15"/>
  <c r="Q190" i="15"/>
  <c r="B190" i="15"/>
  <c r="Q189" i="15"/>
  <c r="B189" i="15"/>
  <c r="Q188" i="15"/>
  <c r="B188" i="15"/>
  <c r="Q187" i="15"/>
  <c r="B187" i="15"/>
  <c r="Q186" i="15"/>
  <c r="B186" i="15"/>
  <c r="Q185" i="15"/>
  <c r="B185" i="15"/>
  <c r="Q184" i="15"/>
  <c r="B184" i="15"/>
  <c r="O183" i="15"/>
  <c r="N183" i="15"/>
  <c r="M183" i="15"/>
  <c r="L183" i="15"/>
  <c r="K183" i="15"/>
  <c r="J183" i="15"/>
  <c r="I183" i="15"/>
  <c r="H183" i="15"/>
  <c r="G183" i="15"/>
  <c r="F183" i="15"/>
  <c r="E183" i="15"/>
  <c r="D183" i="15"/>
  <c r="B183" i="15"/>
  <c r="Q182" i="15"/>
  <c r="B182" i="15"/>
  <c r="Q181" i="15"/>
  <c r="B181" i="15"/>
  <c r="O180" i="15"/>
  <c r="N180" i="15"/>
  <c r="M180" i="15"/>
  <c r="L180" i="15"/>
  <c r="K180" i="15"/>
  <c r="J180" i="15"/>
  <c r="I180" i="15"/>
  <c r="H180" i="15"/>
  <c r="G180" i="15"/>
  <c r="F180" i="15"/>
  <c r="E180" i="15"/>
  <c r="D180" i="15"/>
  <c r="B180" i="15"/>
  <c r="Q179" i="15"/>
  <c r="B179" i="15"/>
  <c r="Q178" i="15"/>
  <c r="B178" i="15"/>
  <c r="Q177" i="15"/>
  <c r="B177" i="15"/>
  <c r="Q176" i="15"/>
  <c r="B176" i="15"/>
  <c r="O175" i="15"/>
  <c r="N175" i="15"/>
  <c r="M175" i="15"/>
  <c r="L175" i="15"/>
  <c r="K175" i="15"/>
  <c r="J175" i="15"/>
  <c r="I175" i="15"/>
  <c r="H175" i="15"/>
  <c r="G175" i="15"/>
  <c r="F175" i="15"/>
  <c r="E175" i="15"/>
  <c r="D175" i="15"/>
  <c r="Q175" i="15" s="1"/>
  <c r="B175" i="15"/>
  <c r="Q174" i="15"/>
  <c r="B174" i="15"/>
  <c r="Q173" i="15"/>
  <c r="B173" i="15"/>
  <c r="Q172" i="15"/>
  <c r="B172" i="15"/>
  <c r="Q171" i="15"/>
  <c r="B171" i="15"/>
  <c r="O170" i="15"/>
  <c r="N170" i="15"/>
  <c r="M170" i="15"/>
  <c r="L170" i="15"/>
  <c r="K170" i="15"/>
  <c r="J170" i="15"/>
  <c r="I170" i="15"/>
  <c r="H170" i="15"/>
  <c r="G170" i="15"/>
  <c r="F170" i="15"/>
  <c r="E170" i="15"/>
  <c r="D170" i="15"/>
  <c r="B170" i="15"/>
  <c r="Q169" i="15"/>
  <c r="B169" i="15"/>
  <c r="Q168" i="15"/>
  <c r="B168" i="15"/>
  <c r="Q167" i="15"/>
  <c r="B167" i="15"/>
  <c r="Q166" i="15"/>
  <c r="B166" i="15"/>
  <c r="O165" i="15"/>
  <c r="N165" i="15"/>
  <c r="M165" i="15"/>
  <c r="L165" i="15"/>
  <c r="K165" i="15"/>
  <c r="J165" i="15"/>
  <c r="I165" i="15"/>
  <c r="H165" i="15"/>
  <c r="G165" i="15"/>
  <c r="F165" i="15"/>
  <c r="E165" i="15"/>
  <c r="D165" i="15"/>
  <c r="B165" i="15"/>
  <c r="Q164" i="15"/>
  <c r="B164" i="15"/>
  <c r="O163" i="15"/>
  <c r="N163" i="15"/>
  <c r="M163" i="15"/>
  <c r="L163" i="15"/>
  <c r="K163" i="15"/>
  <c r="J163" i="15"/>
  <c r="I163" i="15"/>
  <c r="H163" i="15"/>
  <c r="G163" i="15"/>
  <c r="F163" i="15"/>
  <c r="E163" i="15"/>
  <c r="D163" i="15"/>
  <c r="B163" i="15"/>
  <c r="Q162" i="15"/>
  <c r="B162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Q161" i="15" s="1"/>
  <c r="B161" i="15"/>
  <c r="Q160" i="15"/>
  <c r="B160" i="15"/>
  <c r="O159" i="15"/>
  <c r="N159" i="15"/>
  <c r="M159" i="15"/>
  <c r="L159" i="15"/>
  <c r="K159" i="15"/>
  <c r="J159" i="15"/>
  <c r="I159" i="15"/>
  <c r="H159" i="15"/>
  <c r="G159" i="15"/>
  <c r="F159" i="15"/>
  <c r="E159" i="15"/>
  <c r="D159" i="15"/>
  <c r="B159" i="15"/>
  <c r="Q158" i="15"/>
  <c r="B158" i="15"/>
  <c r="O157" i="15"/>
  <c r="N157" i="15"/>
  <c r="M157" i="15"/>
  <c r="L157" i="15"/>
  <c r="K157" i="15"/>
  <c r="J157" i="15"/>
  <c r="I157" i="15"/>
  <c r="H157" i="15"/>
  <c r="G157" i="15"/>
  <c r="F157" i="15"/>
  <c r="E157" i="15"/>
  <c r="D157" i="15"/>
  <c r="B157" i="15"/>
  <c r="Q156" i="15"/>
  <c r="B156" i="15"/>
  <c r="Q155" i="15"/>
  <c r="B155" i="15"/>
  <c r="O154" i="15"/>
  <c r="N154" i="15"/>
  <c r="M154" i="15"/>
  <c r="L154" i="15"/>
  <c r="K154" i="15"/>
  <c r="J154" i="15"/>
  <c r="I154" i="15"/>
  <c r="H154" i="15"/>
  <c r="G154" i="15"/>
  <c r="F154" i="15"/>
  <c r="E154" i="15"/>
  <c r="D154" i="15"/>
  <c r="B154" i="15"/>
  <c r="Q153" i="15"/>
  <c r="B153" i="15"/>
  <c r="Q152" i="15"/>
  <c r="B152" i="15"/>
  <c r="O151" i="15"/>
  <c r="N151" i="15"/>
  <c r="M151" i="15"/>
  <c r="L151" i="15"/>
  <c r="K151" i="15"/>
  <c r="J151" i="15"/>
  <c r="I151" i="15"/>
  <c r="H151" i="15"/>
  <c r="G151" i="15"/>
  <c r="F151" i="15"/>
  <c r="E151" i="15"/>
  <c r="D151" i="15"/>
  <c r="Q151" i="15" s="1"/>
  <c r="B151" i="15"/>
  <c r="Q150" i="15"/>
  <c r="B150" i="15"/>
  <c r="O149" i="15"/>
  <c r="N149" i="15"/>
  <c r="M149" i="15"/>
  <c r="L149" i="15"/>
  <c r="K149" i="15"/>
  <c r="J149" i="15"/>
  <c r="I149" i="15"/>
  <c r="H149" i="15"/>
  <c r="G149" i="15"/>
  <c r="F149" i="15"/>
  <c r="E149" i="15"/>
  <c r="D149" i="15"/>
  <c r="B149" i="15"/>
  <c r="Q148" i="15"/>
  <c r="B148" i="15"/>
  <c r="O147" i="15"/>
  <c r="N147" i="15"/>
  <c r="M147" i="15"/>
  <c r="L147" i="15"/>
  <c r="K147" i="15"/>
  <c r="J147" i="15"/>
  <c r="I147" i="15"/>
  <c r="H147" i="15"/>
  <c r="G147" i="15"/>
  <c r="F147" i="15"/>
  <c r="E147" i="15"/>
  <c r="D147" i="15"/>
  <c r="B147" i="15"/>
  <c r="Q146" i="15"/>
  <c r="B146" i="15"/>
  <c r="O145" i="15"/>
  <c r="N145" i="15"/>
  <c r="M145" i="15"/>
  <c r="L145" i="15"/>
  <c r="K145" i="15"/>
  <c r="J145" i="15"/>
  <c r="I145" i="15"/>
  <c r="H145" i="15"/>
  <c r="G145" i="15"/>
  <c r="F145" i="15"/>
  <c r="E145" i="15"/>
  <c r="D145" i="15"/>
  <c r="B145" i="15"/>
  <c r="Q144" i="15"/>
  <c r="B144" i="15"/>
  <c r="Q143" i="15"/>
  <c r="B143" i="15"/>
  <c r="O142" i="15"/>
  <c r="N142" i="15"/>
  <c r="M142" i="15"/>
  <c r="L142" i="15"/>
  <c r="K142" i="15"/>
  <c r="J142" i="15"/>
  <c r="I142" i="15"/>
  <c r="H142" i="15"/>
  <c r="G142" i="15"/>
  <c r="F142" i="15"/>
  <c r="E142" i="15"/>
  <c r="E109" i="15" s="1"/>
  <c r="D142" i="15"/>
  <c r="B142" i="15"/>
  <c r="Q141" i="15"/>
  <c r="B141" i="15"/>
  <c r="Q140" i="15"/>
  <c r="B140" i="15"/>
  <c r="O139" i="15"/>
  <c r="N139" i="15"/>
  <c r="M139" i="15"/>
  <c r="L139" i="15"/>
  <c r="K139" i="15"/>
  <c r="J139" i="15"/>
  <c r="I139" i="15"/>
  <c r="H139" i="15"/>
  <c r="G139" i="15"/>
  <c r="F139" i="15"/>
  <c r="E139" i="15"/>
  <c r="D139" i="15"/>
  <c r="B139" i="15"/>
  <c r="Q138" i="15"/>
  <c r="B138" i="15"/>
  <c r="O137" i="15"/>
  <c r="N137" i="15"/>
  <c r="M137" i="15"/>
  <c r="L137" i="15"/>
  <c r="K137" i="15"/>
  <c r="J137" i="15"/>
  <c r="I137" i="15"/>
  <c r="H137" i="15"/>
  <c r="G137" i="15"/>
  <c r="F137" i="15"/>
  <c r="E137" i="15"/>
  <c r="D137" i="15"/>
  <c r="D109" i="15" s="1"/>
  <c r="B137" i="15"/>
  <c r="Q136" i="15"/>
  <c r="B136" i="15"/>
  <c r="Q135" i="15"/>
  <c r="B135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B134" i="15"/>
  <c r="Q133" i="15"/>
  <c r="B133" i="15"/>
  <c r="O132" i="15"/>
  <c r="N132" i="15"/>
  <c r="M132" i="15"/>
  <c r="M109" i="15" s="1"/>
  <c r="L132" i="15"/>
  <c r="K132" i="15"/>
  <c r="J132" i="15"/>
  <c r="I132" i="15"/>
  <c r="H132" i="15"/>
  <c r="G132" i="15"/>
  <c r="F132" i="15"/>
  <c r="F109" i="15" s="1"/>
  <c r="E132" i="15"/>
  <c r="D132" i="15"/>
  <c r="B132" i="15"/>
  <c r="Q131" i="15"/>
  <c r="B131" i="15"/>
  <c r="Q130" i="15"/>
  <c r="B130" i="15"/>
  <c r="Q129" i="15"/>
  <c r="B129" i="15"/>
  <c r="Q128" i="15"/>
  <c r="B128" i="15"/>
  <c r="Q127" i="15"/>
  <c r="B127" i="15"/>
  <c r="Q126" i="15"/>
  <c r="B126" i="15"/>
  <c r="Q125" i="15"/>
  <c r="B125" i="15"/>
  <c r="Q124" i="15"/>
  <c r="B124" i="15"/>
  <c r="Q123" i="15"/>
  <c r="B123" i="15"/>
  <c r="Q122" i="15"/>
  <c r="B122" i="15"/>
  <c r="O121" i="15"/>
  <c r="N121" i="15"/>
  <c r="M121" i="15"/>
  <c r="L121" i="15"/>
  <c r="K121" i="15"/>
  <c r="K109" i="15" s="1"/>
  <c r="J121" i="15"/>
  <c r="I121" i="15"/>
  <c r="H121" i="15"/>
  <c r="G121" i="15"/>
  <c r="F121" i="15"/>
  <c r="E121" i="15"/>
  <c r="D121" i="15"/>
  <c r="B121" i="15"/>
  <c r="Q120" i="15"/>
  <c r="B120" i="15"/>
  <c r="Q119" i="15"/>
  <c r="B119" i="15"/>
  <c r="Q118" i="15"/>
  <c r="B118" i="15"/>
  <c r="Q117" i="15"/>
  <c r="B117" i="15"/>
  <c r="Q116" i="15"/>
  <c r="B116" i="15"/>
  <c r="Q115" i="15"/>
  <c r="B115" i="15"/>
  <c r="Q114" i="15"/>
  <c r="B114" i="15"/>
  <c r="Q113" i="15"/>
  <c r="B113" i="15"/>
  <c r="Q112" i="15"/>
  <c r="B112" i="15"/>
  <c r="Q111" i="15"/>
  <c r="B111" i="15"/>
  <c r="O110" i="15"/>
  <c r="N110" i="15"/>
  <c r="N109" i="15" s="1"/>
  <c r="M110" i="15"/>
  <c r="L110" i="15"/>
  <c r="K110" i="15"/>
  <c r="J110" i="15"/>
  <c r="J109" i="15" s="1"/>
  <c r="I110" i="15"/>
  <c r="H110" i="15"/>
  <c r="H109" i="15" s="1"/>
  <c r="G110" i="15"/>
  <c r="F110" i="15"/>
  <c r="E110" i="15"/>
  <c r="D110" i="15"/>
  <c r="Q110" i="15" s="1"/>
  <c r="B110" i="15"/>
  <c r="L109" i="15"/>
  <c r="F107" i="15"/>
  <c r="N106" i="15"/>
  <c r="N207" i="15" s="1"/>
  <c r="M106" i="15"/>
  <c r="H106" i="15"/>
  <c r="F106" i="15"/>
  <c r="F207" i="15" s="1"/>
  <c r="Q104" i="15"/>
  <c r="B104" i="15"/>
  <c r="Q103" i="15"/>
  <c r="B103" i="15"/>
  <c r="Q102" i="15"/>
  <c r="B102" i="15"/>
  <c r="Q101" i="15"/>
  <c r="B101" i="15"/>
  <c r="Q100" i="15"/>
  <c r="B100" i="15"/>
  <c r="Q99" i="15"/>
  <c r="B99" i="15"/>
  <c r="Q98" i="15"/>
  <c r="B98" i="15"/>
  <c r="Q97" i="15"/>
  <c r="B97" i="15"/>
  <c r="Q96" i="15"/>
  <c r="B96" i="15"/>
  <c r="Q95" i="15"/>
  <c r="B95" i="15"/>
  <c r="Q94" i="15"/>
  <c r="B94" i="15"/>
  <c r="Q93" i="15"/>
  <c r="B93" i="15"/>
  <c r="Q92" i="15"/>
  <c r="B92" i="15"/>
  <c r="Q91" i="15"/>
  <c r="B91" i="15"/>
  <c r="Q90" i="15"/>
  <c r="B90" i="15"/>
  <c r="Q89" i="15"/>
  <c r="B89" i="15"/>
  <c r="Q88" i="15"/>
  <c r="B88" i="15"/>
  <c r="Q87" i="15"/>
  <c r="B87" i="15"/>
  <c r="Q86" i="15"/>
  <c r="B86" i="15"/>
  <c r="Q85" i="15"/>
  <c r="B85" i="15"/>
  <c r="Q84" i="15"/>
  <c r="B84" i="15"/>
  <c r="Q83" i="15"/>
  <c r="B83" i="15"/>
  <c r="Q82" i="15"/>
  <c r="B82" i="15"/>
  <c r="Q81" i="15"/>
  <c r="B81" i="15"/>
  <c r="Q80" i="15"/>
  <c r="B80" i="15"/>
  <c r="Q79" i="15"/>
  <c r="B79" i="15"/>
  <c r="Q78" i="15"/>
  <c r="B78" i="15"/>
  <c r="Q77" i="15"/>
  <c r="B77" i="15"/>
  <c r="Q76" i="15"/>
  <c r="Q73" i="15" s="1"/>
  <c r="B76" i="15"/>
  <c r="Q75" i="15"/>
  <c r="B75" i="15"/>
  <c r="Q74" i="15"/>
  <c r="B74" i="15"/>
  <c r="O73" i="15"/>
  <c r="O106" i="15" s="1"/>
  <c r="N73" i="15"/>
  <c r="M73" i="15"/>
  <c r="L73" i="15"/>
  <c r="K73" i="15"/>
  <c r="J73" i="15"/>
  <c r="I73" i="15"/>
  <c r="H73" i="15"/>
  <c r="G73" i="15"/>
  <c r="F73" i="15"/>
  <c r="E73" i="15"/>
  <c r="D73" i="15"/>
  <c r="Q71" i="15"/>
  <c r="G71" i="15"/>
  <c r="F71" i="15"/>
  <c r="E71" i="15"/>
  <c r="D71" i="15"/>
  <c r="B71" i="15"/>
  <c r="G70" i="15"/>
  <c r="F70" i="15"/>
  <c r="E70" i="15"/>
  <c r="D70" i="15"/>
  <c r="Q70" i="15" s="1"/>
  <c r="B70" i="15"/>
  <c r="Q69" i="15"/>
  <c r="G69" i="15"/>
  <c r="F69" i="15"/>
  <c r="E69" i="15"/>
  <c r="D69" i="15"/>
  <c r="B69" i="15"/>
  <c r="G68" i="15"/>
  <c r="F68" i="15"/>
  <c r="E68" i="15"/>
  <c r="D68" i="15"/>
  <c r="Q68" i="15" s="1"/>
  <c r="B68" i="15"/>
  <c r="Q67" i="15"/>
  <c r="G67" i="15"/>
  <c r="F67" i="15"/>
  <c r="E67" i="15"/>
  <c r="D67" i="15"/>
  <c r="B67" i="15"/>
  <c r="G66" i="15"/>
  <c r="F66" i="15"/>
  <c r="E66" i="15"/>
  <c r="D66" i="15"/>
  <c r="Q66" i="15" s="1"/>
  <c r="B66" i="15"/>
  <c r="Q65" i="15"/>
  <c r="G65" i="15"/>
  <c r="F65" i="15"/>
  <c r="E65" i="15"/>
  <c r="D65" i="15"/>
  <c r="B65" i="15"/>
  <c r="G64" i="15"/>
  <c r="F64" i="15"/>
  <c r="E64" i="15"/>
  <c r="D64" i="15"/>
  <c r="Q64" i="15" s="1"/>
  <c r="B64" i="15"/>
  <c r="Q63" i="15"/>
  <c r="G63" i="15"/>
  <c r="F63" i="15"/>
  <c r="E63" i="15"/>
  <c r="D63" i="15"/>
  <c r="B63" i="15"/>
  <c r="G62" i="15"/>
  <c r="F62" i="15"/>
  <c r="E62" i="15"/>
  <c r="D62" i="15"/>
  <c r="Q62" i="15" s="1"/>
  <c r="B62" i="15"/>
  <c r="Q61" i="15"/>
  <c r="G61" i="15"/>
  <c r="F61" i="15"/>
  <c r="E61" i="15"/>
  <c r="D61" i="15"/>
  <c r="B61" i="15"/>
  <c r="G60" i="15"/>
  <c r="F60" i="15"/>
  <c r="E60" i="15"/>
  <c r="D60" i="15"/>
  <c r="Q60" i="15" s="1"/>
  <c r="B60" i="15"/>
  <c r="Q59" i="15"/>
  <c r="G59" i="15"/>
  <c r="F59" i="15"/>
  <c r="E59" i="15"/>
  <c r="D59" i="15"/>
  <c r="B59" i="15"/>
  <c r="G58" i="15"/>
  <c r="F58" i="15"/>
  <c r="E58" i="15"/>
  <c r="D58" i="15"/>
  <c r="Q58" i="15" s="1"/>
  <c r="B58" i="15"/>
  <c r="Q57" i="15"/>
  <c r="G57" i="15"/>
  <c r="F57" i="15"/>
  <c r="E57" i="15"/>
  <c r="D57" i="15"/>
  <c r="B57" i="15"/>
  <c r="G56" i="15"/>
  <c r="F56" i="15"/>
  <c r="E56" i="15"/>
  <c r="D56" i="15"/>
  <c r="Q56" i="15" s="1"/>
  <c r="B56" i="15"/>
  <c r="Q55" i="15"/>
  <c r="G55" i="15"/>
  <c r="F55" i="15"/>
  <c r="E55" i="15"/>
  <c r="D55" i="15"/>
  <c r="B55" i="15"/>
  <c r="G54" i="15"/>
  <c r="F54" i="15"/>
  <c r="E54" i="15"/>
  <c r="D54" i="15"/>
  <c r="Q54" i="15" s="1"/>
  <c r="B54" i="15"/>
  <c r="Q53" i="15"/>
  <c r="G53" i="15"/>
  <c r="F53" i="15"/>
  <c r="E53" i="15"/>
  <c r="D53" i="15"/>
  <c r="B53" i="15"/>
  <c r="G52" i="15"/>
  <c r="F52" i="15"/>
  <c r="E52" i="15"/>
  <c r="D52" i="15"/>
  <c r="Q52" i="15" s="1"/>
  <c r="B52" i="15"/>
  <c r="Q51" i="15"/>
  <c r="G51" i="15"/>
  <c r="F51" i="15"/>
  <c r="E51" i="15"/>
  <c r="D51" i="15"/>
  <c r="B51" i="15"/>
  <c r="G50" i="15"/>
  <c r="F50" i="15"/>
  <c r="E50" i="15"/>
  <c r="D50" i="15"/>
  <c r="Q50" i="15" s="1"/>
  <c r="B50" i="15"/>
  <c r="Q49" i="15"/>
  <c r="G49" i="15"/>
  <c r="F49" i="15"/>
  <c r="E49" i="15"/>
  <c r="D49" i="15"/>
  <c r="B49" i="15"/>
  <c r="G48" i="15"/>
  <c r="F48" i="15"/>
  <c r="E48" i="15"/>
  <c r="D48" i="15"/>
  <c r="Q48" i="15" s="1"/>
  <c r="B48" i="15"/>
  <c r="Q47" i="15"/>
  <c r="G47" i="15"/>
  <c r="F47" i="15"/>
  <c r="E47" i="15"/>
  <c r="D47" i="15"/>
  <c r="B47" i="15"/>
  <c r="G46" i="15"/>
  <c r="F46" i="15"/>
  <c r="E46" i="15"/>
  <c r="D46" i="15"/>
  <c r="Q46" i="15" s="1"/>
  <c r="B46" i="15"/>
  <c r="Q45" i="15"/>
  <c r="G45" i="15"/>
  <c r="F45" i="15"/>
  <c r="E45" i="15"/>
  <c r="D45" i="15"/>
  <c r="B45" i="15"/>
  <c r="G44" i="15"/>
  <c r="F44" i="15"/>
  <c r="E44" i="15"/>
  <c r="D44" i="15"/>
  <c r="Q44" i="15" s="1"/>
  <c r="B44" i="15"/>
  <c r="Q43" i="15"/>
  <c r="G43" i="15"/>
  <c r="F43" i="15"/>
  <c r="E43" i="15"/>
  <c r="D43" i="15"/>
  <c r="B43" i="15"/>
  <c r="G42" i="15"/>
  <c r="F42" i="15"/>
  <c r="E42" i="15"/>
  <c r="D42" i="15"/>
  <c r="Q42" i="15" s="1"/>
  <c r="B42" i="15"/>
  <c r="Q41" i="15"/>
  <c r="G41" i="15"/>
  <c r="F41" i="15"/>
  <c r="E41" i="15"/>
  <c r="D41" i="15"/>
  <c r="B41" i="15"/>
  <c r="G40" i="15"/>
  <c r="F40" i="15"/>
  <c r="E40" i="15"/>
  <c r="D40" i="15"/>
  <c r="Q40" i="15" s="1"/>
  <c r="B40" i="15"/>
  <c r="Q39" i="15"/>
  <c r="G39" i="15"/>
  <c r="F39" i="15"/>
  <c r="E39" i="15"/>
  <c r="D39" i="15"/>
  <c r="B39" i="15"/>
  <c r="G38" i="15"/>
  <c r="F38" i="15"/>
  <c r="E38" i="15"/>
  <c r="D38" i="15"/>
  <c r="Q38" i="15" s="1"/>
  <c r="B38" i="15"/>
  <c r="Q37" i="15"/>
  <c r="G37" i="15"/>
  <c r="F37" i="15"/>
  <c r="E37" i="15"/>
  <c r="D37" i="15"/>
  <c r="B37" i="15"/>
  <c r="G36" i="15"/>
  <c r="F36" i="15"/>
  <c r="E36" i="15"/>
  <c r="D36" i="15"/>
  <c r="Q36" i="15" s="1"/>
  <c r="B36" i="15"/>
  <c r="Q35" i="15"/>
  <c r="G35" i="15"/>
  <c r="F35" i="15"/>
  <c r="E35" i="15"/>
  <c r="D35" i="15"/>
  <c r="B35" i="15"/>
  <c r="G34" i="15"/>
  <c r="F34" i="15"/>
  <c r="E34" i="15"/>
  <c r="D34" i="15"/>
  <c r="Q34" i="15" s="1"/>
  <c r="B34" i="15"/>
  <c r="Q33" i="15"/>
  <c r="G33" i="15"/>
  <c r="F33" i="15"/>
  <c r="E33" i="15"/>
  <c r="D33" i="15"/>
  <c r="B33" i="15"/>
  <c r="G32" i="15"/>
  <c r="F32" i="15"/>
  <c r="E32" i="15"/>
  <c r="D32" i="15"/>
  <c r="Q32" i="15" s="1"/>
  <c r="B32" i="15"/>
  <c r="Q31" i="15"/>
  <c r="G31" i="15"/>
  <c r="F31" i="15"/>
  <c r="E31" i="15"/>
  <c r="D31" i="15"/>
  <c r="B31" i="15"/>
  <c r="G30" i="15"/>
  <c r="F30" i="15"/>
  <c r="E30" i="15"/>
  <c r="D30" i="15"/>
  <c r="Q30" i="15" s="1"/>
  <c r="B30" i="15"/>
  <c r="Q29" i="15"/>
  <c r="G29" i="15"/>
  <c r="F29" i="15"/>
  <c r="E29" i="15"/>
  <c r="D29" i="15"/>
  <c r="B29" i="15"/>
  <c r="G28" i="15"/>
  <c r="F28" i="15"/>
  <c r="E28" i="15"/>
  <c r="D28" i="15"/>
  <c r="Q28" i="15" s="1"/>
  <c r="B28" i="15"/>
  <c r="Q27" i="15"/>
  <c r="G27" i="15"/>
  <c r="F27" i="15"/>
  <c r="E27" i="15"/>
  <c r="D27" i="15"/>
  <c r="B27" i="15"/>
  <c r="G26" i="15"/>
  <c r="F26" i="15"/>
  <c r="E26" i="15"/>
  <c r="D26" i="15"/>
  <c r="Q26" i="15" s="1"/>
  <c r="B26" i="15"/>
  <c r="Q25" i="15"/>
  <c r="G25" i="15"/>
  <c r="F25" i="15"/>
  <c r="E25" i="15"/>
  <c r="D25" i="15"/>
  <c r="B25" i="15"/>
  <c r="G24" i="15"/>
  <c r="F24" i="15"/>
  <c r="E24" i="15"/>
  <c r="D24" i="15"/>
  <c r="Q24" i="15" s="1"/>
  <c r="B24" i="15"/>
  <c r="Q23" i="15"/>
  <c r="G23" i="15"/>
  <c r="F23" i="15"/>
  <c r="E23" i="15"/>
  <c r="D23" i="15"/>
  <c r="B23" i="15"/>
  <c r="G22" i="15"/>
  <c r="F22" i="15"/>
  <c r="E22" i="15"/>
  <c r="D22" i="15"/>
  <c r="Q22" i="15" s="1"/>
  <c r="B22" i="15"/>
  <c r="Q21" i="15"/>
  <c r="G21" i="15"/>
  <c r="F21" i="15"/>
  <c r="E21" i="15"/>
  <c r="D21" i="15"/>
  <c r="B21" i="15"/>
  <c r="G20" i="15"/>
  <c r="F20" i="15"/>
  <c r="E20" i="15"/>
  <c r="D20" i="15"/>
  <c r="Q20" i="15" s="1"/>
  <c r="B20" i="15"/>
  <c r="Q19" i="15"/>
  <c r="G19" i="15"/>
  <c r="F19" i="15"/>
  <c r="E19" i="15"/>
  <c r="D19" i="15"/>
  <c r="B19" i="15"/>
  <c r="G18" i="15"/>
  <c r="F18" i="15"/>
  <c r="E18" i="15"/>
  <c r="D18" i="15"/>
  <c r="Q18" i="15" s="1"/>
  <c r="B18" i="15"/>
  <c r="Q17" i="15"/>
  <c r="G17" i="15"/>
  <c r="F17" i="15"/>
  <c r="E17" i="15"/>
  <c r="D17" i="15"/>
  <c r="B17" i="15"/>
  <c r="G16" i="15"/>
  <c r="F16" i="15"/>
  <c r="E16" i="15"/>
  <c r="D16" i="15"/>
  <c r="Q16" i="15" s="1"/>
  <c r="B16" i="15"/>
  <c r="Q15" i="15"/>
  <c r="G15" i="15"/>
  <c r="F15" i="15"/>
  <c r="E15" i="15"/>
  <c r="D15" i="15"/>
  <c r="B15" i="15"/>
  <c r="G14" i="15"/>
  <c r="F14" i="15"/>
  <c r="E14" i="15"/>
  <c r="D14" i="15"/>
  <c r="Q14" i="15" s="1"/>
  <c r="B14" i="15"/>
  <c r="Q13" i="15"/>
  <c r="G13" i="15"/>
  <c r="F13" i="15"/>
  <c r="E13" i="15"/>
  <c r="D13" i="15"/>
  <c r="B13" i="15"/>
  <c r="G12" i="15"/>
  <c r="F12" i="15"/>
  <c r="E12" i="15"/>
  <c r="D12" i="15"/>
  <c r="Q12" i="15" s="1"/>
  <c r="B12" i="15"/>
  <c r="Q11" i="15"/>
  <c r="G11" i="15"/>
  <c r="G10" i="15" s="1"/>
  <c r="G106" i="15" s="1"/>
  <c r="F11" i="15"/>
  <c r="E11" i="15"/>
  <c r="D11" i="15"/>
  <c r="B11" i="15"/>
  <c r="O10" i="15"/>
  <c r="N10" i="15"/>
  <c r="M10" i="15"/>
  <c r="L10" i="15"/>
  <c r="L106" i="15" s="1"/>
  <c r="L207" i="15" s="1"/>
  <c r="L208" i="15" s="1"/>
  <c r="K10" i="15"/>
  <c r="K106" i="15" s="1"/>
  <c r="J10" i="15"/>
  <c r="J106" i="15" s="1"/>
  <c r="J107" i="15" s="1"/>
  <c r="I10" i="15"/>
  <c r="I106" i="15" s="1"/>
  <c r="H10" i="15"/>
  <c r="F10" i="15"/>
  <c r="E10" i="15"/>
  <c r="E106" i="15" s="1"/>
  <c r="O8" i="15"/>
  <c r="N8" i="15"/>
  <c r="M8" i="15"/>
  <c r="L8" i="15"/>
  <c r="K8" i="15"/>
  <c r="J8" i="15"/>
  <c r="I8" i="15"/>
  <c r="H8" i="15"/>
  <c r="G8" i="15"/>
  <c r="F8" i="15"/>
  <c r="E8" i="15"/>
  <c r="D8" i="15"/>
  <c r="Q216" i="12"/>
  <c r="Q211" i="12"/>
  <c r="G211" i="12"/>
  <c r="F211" i="12"/>
  <c r="E211" i="12"/>
  <c r="D211" i="12"/>
  <c r="Q209" i="12"/>
  <c r="B209" i="12"/>
  <c r="O208" i="12"/>
  <c r="N208" i="12"/>
  <c r="M208" i="12"/>
  <c r="L208" i="12"/>
  <c r="K208" i="12"/>
  <c r="J208" i="12"/>
  <c r="I208" i="12"/>
  <c r="H208" i="12"/>
  <c r="G208" i="12"/>
  <c r="F208" i="12"/>
  <c r="E208" i="12"/>
  <c r="D208" i="12"/>
  <c r="B208" i="12"/>
  <c r="Q207" i="12"/>
  <c r="B207" i="12"/>
  <c r="Q206" i="12"/>
  <c r="B206" i="12"/>
  <c r="Q205" i="12"/>
  <c r="B205" i="12"/>
  <c r="O204" i="12"/>
  <c r="N204" i="12"/>
  <c r="M204" i="12"/>
  <c r="L204" i="12"/>
  <c r="K204" i="12"/>
  <c r="J204" i="12"/>
  <c r="I204" i="12"/>
  <c r="H204" i="12"/>
  <c r="G204" i="12"/>
  <c r="F204" i="12"/>
  <c r="E204" i="12"/>
  <c r="D204" i="12"/>
  <c r="B204" i="12"/>
  <c r="Q203" i="12"/>
  <c r="B203" i="12"/>
  <c r="O202" i="12"/>
  <c r="N202" i="12"/>
  <c r="M202" i="12"/>
  <c r="L202" i="12"/>
  <c r="K202" i="12"/>
  <c r="J202" i="12"/>
  <c r="I202" i="12"/>
  <c r="H202" i="12"/>
  <c r="G202" i="12"/>
  <c r="F202" i="12"/>
  <c r="E202" i="12"/>
  <c r="D202" i="12"/>
  <c r="B202" i="12"/>
  <c r="Q201" i="12"/>
  <c r="B201" i="12"/>
  <c r="Q200" i="12"/>
  <c r="B200" i="12"/>
  <c r="O199" i="12"/>
  <c r="N199" i="12"/>
  <c r="M199" i="12"/>
  <c r="L199" i="12"/>
  <c r="K199" i="12"/>
  <c r="J199" i="12"/>
  <c r="I199" i="12"/>
  <c r="H199" i="12"/>
  <c r="G199" i="12"/>
  <c r="F199" i="12"/>
  <c r="E199" i="12"/>
  <c r="D199" i="12"/>
  <c r="Q199" i="12" s="1"/>
  <c r="B199" i="12"/>
  <c r="Q198" i="12"/>
  <c r="B198" i="12"/>
  <c r="Q197" i="12"/>
  <c r="B197" i="12"/>
  <c r="Q196" i="12"/>
  <c r="B196" i="12"/>
  <c r="Q195" i="12"/>
  <c r="B195" i="12"/>
  <c r="Q194" i="12"/>
  <c r="B194" i="12"/>
  <c r="Q193" i="12"/>
  <c r="B193" i="12"/>
  <c r="Q192" i="12"/>
  <c r="B192" i="12"/>
  <c r="Q191" i="12"/>
  <c r="B191" i="12"/>
  <c r="Q190" i="12"/>
  <c r="B190" i="12"/>
  <c r="O189" i="12"/>
  <c r="N189" i="12"/>
  <c r="M189" i="12"/>
  <c r="L189" i="12"/>
  <c r="K189" i="12"/>
  <c r="J189" i="12"/>
  <c r="I189" i="12"/>
  <c r="H189" i="12"/>
  <c r="G189" i="12"/>
  <c r="F189" i="12"/>
  <c r="E189" i="12"/>
  <c r="D189" i="12"/>
  <c r="B189" i="12"/>
  <c r="Q188" i="12"/>
  <c r="B188" i="12"/>
  <c r="Q187" i="12"/>
  <c r="B187" i="12"/>
  <c r="O186" i="12"/>
  <c r="N186" i="12"/>
  <c r="M186" i="12"/>
  <c r="L186" i="12"/>
  <c r="K186" i="12"/>
  <c r="J186" i="12"/>
  <c r="I186" i="12"/>
  <c r="H186" i="12"/>
  <c r="G186" i="12"/>
  <c r="F186" i="12"/>
  <c r="E186" i="12"/>
  <c r="D186" i="12"/>
  <c r="Q186" i="12" s="1"/>
  <c r="B186" i="12"/>
  <c r="Q185" i="12"/>
  <c r="B185" i="12"/>
  <c r="Q184" i="12"/>
  <c r="B184" i="12"/>
  <c r="Q183" i="12"/>
  <c r="B183" i="12"/>
  <c r="Q182" i="12"/>
  <c r="B182" i="12"/>
  <c r="O181" i="12"/>
  <c r="N181" i="12"/>
  <c r="M181" i="12"/>
  <c r="L181" i="12"/>
  <c r="K181" i="12"/>
  <c r="J181" i="12"/>
  <c r="I181" i="12"/>
  <c r="H181" i="12"/>
  <c r="G181" i="12"/>
  <c r="F181" i="12"/>
  <c r="E181" i="12"/>
  <c r="D181" i="12"/>
  <c r="B181" i="12"/>
  <c r="Q180" i="12"/>
  <c r="B180" i="12"/>
  <c r="Q179" i="12"/>
  <c r="B179" i="12"/>
  <c r="Q178" i="12"/>
  <c r="B178" i="12"/>
  <c r="Q177" i="12"/>
  <c r="B177" i="12"/>
  <c r="O176" i="12"/>
  <c r="N176" i="12"/>
  <c r="M176" i="12"/>
  <c r="L176" i="12"/>
  <c r="K176" i="12"/>
  <c r="J176" i="12"/>
  <c r="I176" i="12"/>
  <c r="H176" i="12"/>
  <c r="G176" i="12"/>
  <c r="F176" i="12"/>
  <c r="E176" i="12"/>
  <c r="D176" i="12"/>
  <c r="Q176" i="12" s="1"/>
  <c r="B176" i="12"/>
  <c r="Q175" i="12"/>
  <c r="B175" i="12"/>
  <c r="Q174" i="12"/>
  <c r="B174" i="12"/>
  <c r="Q173" i="12"/>
  <c r="B173" i="12"/>
  <c r="Q172" i="12"/>
  <c r="B172" i="12"/>
  <c r="O171" i="12"/>
  <c r="N171" i="12"/>
  <c r="M171" i="12"/>
  <c r="L171" i="12"/>
  <c r="K171" i="12"/>
  <c r="J171" i="12"/>
  <c r="I171" i="12"/>
  <c r="H171" i="12"/>
  <c r="G171" i="12"/>
  <c r="F171" i="12"/>
  <c r="E171" i="12"/>
  <c r="D171" i="12"/>
  <c r="B171" i="12"/>
  <c r="Q170" i="12"/>
  <c r="B170" i="12"/>
  <c r="O169" i="12"/>
  <c r="N169" i="12"/>
  <c r="M169" i="12"/>
  <c r="L169" i="12"/>
  <c r="K169" i="12"/>
  <c r="J169" i="12"/>
  <c r="I169" i="12"/>
  <c r="H169" i="12"/>
  <c r="G169" i="12"/>
  <c r="F169" i="12"/>
  <c r="E169" i="12"/>
  <c r="D169" i="12"/>
  <c r="B169" i="12"/>
  <c r="Q168" i="12"/>
  <c r="B168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Q167" i="12" s="1"/>
  <c r="B167" i="12"/>
  <c r="Q166" i="12"/>
  <c r="B166" i="12"/>
  <c r="O165" i="12"/>
  <c r="N165" i="12"/>
  <c r="M165" i="12"/>
  <c r="L165" i="12"/>
  <c r="K165" i="12"/>
  <c r="J165" i="12"/>
  <c r="I165" i="12"/>
  <c r="H165" i="12"/>
  <c r="G165" i="12"/>
  <c r="F165" i="12"/>
  <c r="E165" i="12"/>
  <c r="D165" i="12"/>
  <c r="B165" i="12"/>
  <c r="Q164" i="12"/>
  <c r="B164" i="12"/>
  <c r="O163" i="12"/>
  <c r="N163" i="12"/>
  <c r="M163" i="12"/>
  <c r="L163" i="12"/>
  <c r="K163" i="12"/>
  <c r="J163" i="12"/>
  <c r="I163" i="12"/>
  <c r="H163" i="12"/>
  <c r="G163" i="12"/>
  <c r="F163" i="12"/>
  <c r="E163" i="12"/>
  <c r="D163" i="12"/>
  <c r="Q163" i="12" s="1"/>
  <c r="B163" i="12"/>
  <c r="Q162" i="12"/>
  <c r="B162" i="12"/>
  <c r="O161" i="12"/>
  <c r="N161" i="12"/>
  <c r="M161" i="12"/>
  <c r="L161" i="12"/>
  <c r="K161" i="12"/>
  <c r="J161" i="12"/>
  <c r="I161" i="12"/>
  <c r="H161" i="12"/>
  <c r="G161" i="12"/>
  <c r="F161" i="12"/>
  <c r="E161" i="12"/>
  <c r="D161" i="12"/>
  <c r="Q161" i="12" s="1"/>
  <c r="B161" i="12"/>
  <c r="Q160" i="12"/>
  <c r="B160" i="12"/>
  <c r="Q159" i="12"/>
  <c r="B159" i="12"/>
  <c r="O158" i="12"/>
  <c r="N158" i="12"/>
  <c r="M158" i="12"/>
  <c r="L158" i="12"/>
  <c r="K158" i="12"/>
  <c r="J158" i="12"/>
  <c r="I158" i="12"/>
  <c r="H158" i="12"/>
  <c r="G158" i="12"/>
  <c r="F158" i="12"/>
  <c r="E158" i="12"/>
  <c r="D158" i="12"/>
  <c r="Q158" i="12" s="1"/>
  <c r="B158" i="12"/>
  <c r="Q157" i="12"/>
  <c r="B157" i="12"/>
  <c r="Q156" i="12"/>
  <c r="B156" i="12"/>
  <c r="O155" i="12"/>
  <c r="N155" i="12"/>
  <c r="M155" i="12"/>
  <c r="L155" i="12"/>
  <c r="K155" i="12"/>
  <c r="J155" i="12"/>
  <c r="I155" i="12"/>
  <c r="H155" i="12"/>
  <c r="G155" i="12"/>
  <c r="F155" i="12"/>
  <c r="E155" i="12"/>
  <c r="D155" i="12"/>
  <c r="Q155" i="12" s="1"/>
  <c r="B155" i="12"/>
  <c r="Q154" i="12"/>
  <c r="B154" i="12"/>
  <c r="O153" i="12"/>
  <c r="N153" i="12"/>
  <c r="M153" i="12"/>
  <c r="L153" i="12"/>
  <c r="K153" i="12"/>
  <c r="J153" i="12"/>
  <c r="I153" i="12"/>
  <c r="H153" i="12"/>
  <c r="G153" i="12"/>
  <c r="F153" i="12"/>
  <c r="E153" i="12"/>
  <c r="D153" i="12"/>
  <c r="Q153" i="12" s="1"/>
  <c r="B153" i="12"/>
  <c r="Q152" i="12"/>
  <c r="B152" i="12"/>
  <c r="O151" i="12"/>
  <c r="N151" i="12"/>
  <c r="M151" i="12"/>
  <c r="L151" i="12"/>
  <c r="K151" i="12"/>
  <c r="J151" i="12"/>
  <c r="I151" i="12"/>
  <c r="H151" i="12"/>
  <c r="G151" i="12"/>
  <c r="F151" i="12"/>
  <c r="E151" i="12"/>
  <c r="D151" i="12"/>
  <c r="Q151" i="12" s="1"/>
  <c r="B151" i="12"/>
  <c r="Q150" i="12"/>
  <c r="B150" i="12"/>
  <c r="O149" i="12"/>
  <c r="N149" i="12"/>
  <c r="M149" i="12"/>
  <c r="L149" i="12"/>
  <c r="K149" i="12"/>
  <c r="J149" i="12"/>
  <c r="I149" i="12"/>
  <c r="H149" i="12"/>
  <c r="G149" i="12"/>
  <c r="F149" i="12"/>
  <c r="E149" i="12"/>
  <c r="D149" i="12"/>
  <c r="Q149" i="12" s="1"/>
  <c r="B149" i="12"/>
  <c r="Q148" i="12"/>
  <c r="B148" i="12"/>
  <c r="Q147" i="12"/>
  <c r="B147" i="12"/>
  <c r="O146" i="12"/>
  <c r="N146" i="12"/>
  <c r="M146" i="12"/>
  <c r="L146" i="12"/>
  <c r="K146" i="12"/>
  <c r="J146" i="12"/>
  <c r="I146" i="12"/>
  <c r="H146" i="12"/>
  <c r="G146" i="12"/>
  <c r="F146" i="12"/>
  <c r="E146" i="12"/>
  <c r="D146" i="12"/>
  <c r="Q146" i="12" s="1"/>
  <c r="B146" i="12"/>
  <c r="Q145" i="12"/>
  <c r="B145" i="12"/>
  <c r="Q144" i="12"/>
  <c r="B144" i="12"/>
  <c r="O143" i="12"/>
  <c r="N143" i="12"/>
  <c r="M143" i="12"/>
  <c r="L143" i="12"/>
  <c r="K143" i="12"/>
  <c r="J143" i="12"/>
  <c r="I143" i="12"/>
  <c r="H143" i="12"/>
  <c r="G143" i="12"/>
  <c r="F143" i="12"/>
  <c r="E143" i="12"/>
  <c r="D143" i="12"/>
  <c r="Q143" i="12" s="1"/>
  <c r="B143" i="12"/>
  <c r="Q142" i="12"/>
  <c r="B142" i="12"/>
  <c r="O141" i="12"/>
  <c r="N141" i="12"/>
  <c r="M141" i="12"/>
  <c r="L141" i="12"/>
  <c r="K141" i="12"/>
  <c r="J141" i="12"/>
  <c r="I141" i="12"/>
  <c r="H141" i="12"/>
  <c r="G141" i="12"/>
  <c r="F141" i="12"/>
  <c r="E141" i="12"/>
  <c r="D141" i="12"/>
  <c r="B141" i="12"/>
  <c r="Q140" i="12"/>
  <c r="B140" i="12"/>
  <c r="Q139" i="12"/>
  <c r="B139" i="12"/>
  <c r="O138" i="12"/>
  <c r="N138" i="12"/>
  <c r="M138" i="12"/>
  <c r="L138" i="12"/>
  <c r="K138" i="12"/>
  <c r="J138" i="12"/>
  <c r="I138" i="12"/>
  <c r="H138" i="12"/>
  <c r="G138" i="12"/>
  <c r="F138" i="12"/>
  <c r="E138" i="12"/>
  <c r="D138" i="12"/>
  <c r="B138" i="12"/>
  <c r="Q137" i="12"/>
  <c r="B137" i="12"/>
  <c r="O136" i="12"/>
  <c r="N136" i="12"/>
  <c r="M136" i="12"/>
  <c r="L136" i="12"/>
  <c r="L113" i="12" s="1"/>
  <c r="K136" i="12"/>
  <c r="J136" i="12"/>
  <c r="I136" i="12"/>
  <c r="H136" i="12"/>
  <c r="G136" i="12"/>
  <c r="F136" i="12"/>
  <c r="E136" i="12"/>
  <c r="E113" i="12" s="1"/>
  <c r="D136" i="12"/>
  <c r="B136" i="12"/>
  <c r="Q135" i="12"/>
  <c r="B135" i="12"/>
  <c r="Q134" i="12"/>
  <c r="B134" i="12"/>
  <c r="Q133" i="12"/>
  <c r="B133" i="12"/>
  <c r="Q132" i="12"/>
  <c r="B132" i="12"/>
  <c r="Q131" i="12"/>
  <c r="B131" i="12"/>
  <c r="Q130" i="12"/>
  <c r="B130" i="12"/>
  <c r="Q129" i="12"/>
  <c r="B129" i="12"/>
  <c r="Q128" i="12"/>
  <c r="B128" i="12"/>
  <c r="Q127" i="12"/>
  <c r="B127" i="12"/>
  <c r="Q126" i="12"/>
  <c r="B126" i="12"/>
  <c r="O125" i="12"/>
  <c r="N125" i="12"/>
  <c r="M125" i="12"/>
  <c r="L125" i="12"/>
  <c r="K125" i="12"/>
  <c r="J125" i="12"/>
  <c r="J113" i="12" s="1"/>
  <c r="I125" i="12"/>
  <c r="H125" i="12"/>
  <c r="G125" i="12"/>
  <c r="F125" i="12"/>
  <c r="E125" i="12"/>
  <c r="D125" i="12"/>
  <c r="Q125" i="12" s="1"/>
  <c r="B125" i="12"/>
  <c r="Q124" i="12"/>
  <c r="B124" i="12"/>
  <c r="Q123" i="12"/>
  <c r="B123" i="12"/>
  <c r="Q122" i="12"/>
  <c r="B122" i="12"/>
  <c r="Q121" i="12"/>
  <c r="B121" i="12"/>
  <c r="Q120" i="12"/>
  <c r="B120" i="12"/>
  <c r="Q119" i="12"/>
  <c r="B119" i="12"/>
  <c r="Q118" i="12"/>
  <c r="B118" i="12"/>
  <c r="Q117" i="12"/>
  <c r="B117" i="12"/>
  <c r="Q116" i="12"/>
  <c r="B116" i="12"/>
  <c r="Q115" i="12"/>
  <c r="B115" i="12"/>
  <c r="O114" i="12"/>
  <c r="N114" i="12"/>
  <c r="M114" i="12"/>
  <c r="M113" i="12" s="1"/>
  <c r="L114" i="12"/>
  <c r="K114" i="12"/>
  <c r="J114" i="12"/>
  <c r="I114" i="12"/>
  <c r="I113" i="12" s="1"/>
  <c r="H114" i="12"/>
  <c r="G114" i="12"/>
  <c r="G113" i="12" s="1"/>
  <c r="F114" i="12"/>
  <c r="E114" i="12"/>
  <c r="D114" i="12"/>
  <c r="B114" i="12"/>
  <c r="O113" i="12"/>
  <c r="K113" i="12"/>
  <c r="K111" i="12"/>
  <c r="L110" i="12"/>
  <c r="K110" i="12"/>
  <c r="K213" i="12" s="1"/>
  <c r="Q108" i="12"/>
  <c r="B108" i="12"/>
  <c r="Q107" i="12"/>
  <c r="B107" i="12"/>
  <c r="Q106" i="12"/>
  <c r="B106" i="12"/>
  <c r="Q105" i="12"/>
  <c r="B105" i="12"/>
  <c r="Q104" i="12"/>
  <c r="B104" i="12"/>
  <c r="Q103" i="12"/>
  <c r="B103" i="12"/>
  <c r="Q102" i="12"/>
  <c r="B102" i="12"/>
  <c r="Q101" i="12"/>
  <c r="B101" i="12"/>
  <c r="Q100" i="12"/>
  <c r="B100" i="12"/>
  <c r="Q99" i="12"/>
  <c r="B99" i="12"/>
  <c r="Q98" i="12"/>
  <c r="B98" i="12"/>
  <c r="Q97" i="12"/>
  <c r="B97" i="12"/>
  <c r="Q96" i="12"/>
  <c r="B96" i="12"/>
  <c r="Q95" i="12"/>
  <c r="B95" i="12"/>
  <c r="Q94" i="12"/>
  <c r="B94" i="12"/>
  <c r="Q93" i="12"/>
  <c r="B93" i="12"/>
  <c r="Q92" i="12"/>
  <c r="B92" i="12"/>
  <c r="Q91" i="12"/>
  <c r="B91" i="12"/>
  <c r="Q90" i="12"/>
  <c r="B90" i="12"/>
  <c r="Q89" i="12"/>
  <c r="B89" i="12"/>
  <c r="Q88" i="12"/>
  <c r="B88" i="12"/>
  <c r="Q87" i="12"/>
  <c r="B87" i="12"/>
  <c r="Q86" i="12"/>
  <c r="B86" i="12"/>
  <c r="Q85" i="12"/>
  <c r="B85" i="12"/>
  <c r="Q84" i="12"/>
  <c r="B84" i="12"/>
  <c r="Q83" i="12"/>
  <c r="B83" i="12"/>
  <c r="Q82" i="12"/>
  <c r="B82" i="12"/>
  <c r="Q81" i="12"/>
  <c r="B81" i="12"/>
  <c r="Q80" i="12"/>
  <c r="B80" i="12"/>
  <c r="Q79" i="12"/>
  <c r="B79" i="12"/>
  <c r="Q78" i="12"/>
  <c r="B78" i="12"/>
  <c r="Q77" i="12"/>
  <c r="B77" i="12"/>
  <c r="Q76" i="12"/>
  <c r="Q75" i="12" s="1"/>
  <c r="B76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G73" i="12"/>
  <c r="F73" i="12"/>
  <c r="E73" i="12"/>
  <c r="D73" i="12"/>
  <c r="B73" i="12"/>
  <c r="G72" i="12"/>
  <c r="F72" i="12"/>
  <c r="E72" i="12"/>
  <c r="Q72" i="12" s="1"/>
  <c r="D72" i="12"/>
  <c r="B72" i="12"/>
  <c r="G71" i="12"/>
  <c r="F71" i="12"/>
  <c r="E71" i="12"/>
  <c r="Q71" i="12" s="1"/>
  <c r="D71" i="12"/>
  <c r="B71" i="12"/>
  <c r="G70" i="12"/>
  <c r="F70" i="12"/>
  <c r="E70" i="12"/>
  <c r="Q70" i="12" s="1"/>
  <c r="D70" i="12"/>
  <c r="B70" i="12"/>
  <c r="G69" i="12"/>
  <c r="F69" i="12"/>
  <c r="E69" i="12"/>
  <c r="Q69" i="12" s="1"/>
  <c r="D69" i="12"/>
  <c r="B69" i="12"/>
  <c r="G68" i="12"/>
  <c r="F68" i="12"/>
  <c r="E68" i="12"/>
  <c r="Q68" i="12" s="1"/>
  <c r="D68" i="12"/>
  <c r="B68" i="12"/>
  <c r="G67" i="12"/>
  <c r="F67" i="12"/>
  <c r="E67" i="12"/>
  <c r="D67" i="12"/>
  <c r="B67" i="12"/>
  <c r="G66" i="12"/>
  <c r="F66" i="12"/>
  <c r="E66" i="12"/>
  <c r="Q66" i="12" s="1"/>
  <c r="D66" i="12"/>
  <c r="B66" i="12"/>
  <c r="G65" i="12"/>
  <c r="F65" i="12"/>
  <c r="E65" i="12"/>
  <c r="D65" i="12"/>
  <c r="B65" i="12"/>
  <c r="G64" i="12"/>
  <c r="F64" i="12"/>
  <c r="E64" i="12"/>
  <c r="D64" i="12"/>
  <c r="B64" i="12"/>
  <c r="G63" i="12"/>
  <c r="F63" i="12"/>
  <c r="E63" i="12"/>
  <c r="D63" i="12"/>
  <c r="B63" i="12"/>
  <c r="G62" i="12"/>
  <c r="F62" i="12"/>
  <c r="E62" i="12"/>
  <c r="D62" i="12"/>
  <c r="B62" i="12"/>
  <c r="G61" i="12"/>
  <c r="F61" i="12"/>
  <c r="E61" i="12"/>
  <c r="D61" i="12"/>
  <c r="B61" i="12"/>
  <c r="G60" i="12"/>
  <c r="F60" i="12"/>
  <c r="E60" i="12"/>
  <c r="Q60" i="12" s="1"/>
  <c r="D60" i="12"/>
  <c r="B60" i="12"/>
  <c r="G59" i="12"/>
  <c r="F59" i="12"/>
  <c r="E59" i="12"/>
  <c r="Q59" i="12" s="1"/>
  <c r="D59" i="12"/>
  <c r="B59" i="12"/>
  <c r="G58" i="12"/>
  <c r="F58" i="12"/>
  <c r="E58" i="12"/>
  <c r="Q58" i="12" s="1"/>
  <c r="D58" i="12"/>
  <c r="B58" i="12"/>
  <c r="G57" i="12"/>
  <c r="F57" i="12"/>
  <c r="E57" i="12"/>
  <c r="Q57" i="12" s="1"/>
  <c r="D57" i="12"/>
  <c r="B57" i="12"/>
  <c r="G56" i="12"/>
  <c r="F56" i="12"/>
  <c r="E56" i="12"/>
  <c r="Q56" i="12" s="1"/>
  <c r="D56" i="12"/>
  <c r="B56" i="12"/>
  <c r="G55" i="12"/>
  <c r="F55" i="12"/>
  <c r="E55" i="12"/>
  <c r="D55" i="12"/>
  <c r="B55" i="12"/>
  <c r="G54" i="12"/>
  <c r="F54" i="12"/>
  <c r="E54" i="12"/>
  <c r="Q54" i="12" s="1"/>
  <c r="D54" i="12"/>
  <c r="B54" i="12"/>
  <c r="G53" i="12"/>
  <c r="F53" i="12"/>
  <c r="E53" i="12"/>
  <c r="D53" i="12"/>
  <c r="B53" i="12"/>
  <c r="G52" i="12"/>
  <c r="F52" i="12"/>
  <c r="E52" i="12"/>
  <c r="D52" i="12"/>
  <c r="B52" i="12"/>
  <c r="G51" i="12"/>
  <c r="F51" i="12"/>
  <c r="E51" i="12"/>
  <c r="D51" i="12"/>
  <c r="B51" i="12"/>
  <c r="G50" i="12"/>
  <c r="F50" i="12"/>
  <c r="E50" i="12"/>
  <c r="D50" i="12"/>
  <c r="B50" i="12"/>
  <c r="G49" i="12"/>
  <c r="F49" i="12"/>
  <c r="E49" i="12"/>
  <c r="D49" i="12"/>
  <c r="B49" i="12"/>
  <c r="G48" i="12"/>
  <c r="F48" i="12"/>
  <c r="E48" i="12"/>
  <c r="Q48" i="12" s="1"/>
  <c r="D48" i="12"/>
  <c r="B48" i="12"/>
  <c r="G47" i="12"/>
  <c r="F47" i="12"/>
  <c r="E47" i="12"/>
  <c r="Q47" i="12" s="1"/>
  <c r="D47" i="12"/>
  <c r="B47" i="12"/>
  <c r="G46" i="12"/>
  <c r="F46" i="12"/>
  <c r="E46" i="12"/>
  <c r="Q46" i="12" s="1"/>
  <c r="D46" i="12"/>
  <c r="B46" i="12"/>
  <c r="G45" i="12"/>
  <c r="F45" i="12"/>
  <c r="E45" i="12"/>
  <c r="Q45" i="12" s="1"/>
  <c r="D45" i="12"/>
  <c r="B45" i="12"/>
  <c r="G44" i="12"/>
  <c r="F44" i="12"/>
  <c r="E44" i="12"/>
  <c r="Q44" i="12" s="1"/>
  <c r="D44" i="12"/>
  <c r="B44" i="12"/>
  <c r="G43" i="12"/>
  <c r="F43" i="12"/>
  <c r="E43" i="12"/>
  <c r="D43" i="12"/>
  <c r="B43" i="12"/>
  <c r="G42" i="12"/>
  <c r="F42" i="12"/>
  <c r="E42" i="12"/>
  <c r="Q42" i="12" s="1"/>
  <c r="D42" i="12"/>
  <c r="B42" i="12"/>
  <c r="G41" i="12"/>
  <c r="F41" i="12"/>
  <c r="E41" i="12"/>
  <c r="D41" i="12"/>
  <c r="B41" i="12"/>
  <c r="G40" i="12"/>
  <c r="F40" i="12"/>
  <c r="E40" i="12"/>
  <c r="D40" i="12"/>
  <c r="B40" i="12"/>
  <c r="G39" i="12"/>
  <c r="F39" i="12"/>
  <c r="E39" i="12"/>
  <c r="D39" i="12"/>
  <c r="B39" i="12"/>
  <c r="G38" i="12"/>
  <c r="F38" i="12"/>
  <c r="E38" i="12"/>
  <c r="D38" i="12"/>
  <c r="B38" i="12"/>
  <c r="G37" i="12"/>
  <c r="F37" i="12"/>
  <c r="E37" i="12"/>
  <c r="D37" i="12"/>
  <c r="B37" i="12"/>
  <c r="G36" i="12"/>
  <c r="F36" i="12"/>
  <c r="E36" i="12"/>
  <c r="D36" i="12"/>
  <c r="B36" i="12"/>
  <c r="G35" i="12"/>
  <c r="F35" i="12"/>
  <c r="E35" i="12"/>
  <c r="Q35" i="12" s="1"/>
  <c r="D35" i="12"/>
  <c r="B35" i="12"/>
  <c r="G34" i="12"/>
  <c r="F34" i="12"/>
  <c r="E34" i="12"/>
  <c r="Q34" i="12" s="1"/>
  <c r="D34" i="12"/>
  <c r="B34" i="12"/>
  <c r="G33" i="12"/>
  <c r="F33" i="12"/>
  <c r="E33" i="12"/>
  <c r="Q33" i="12" s="1"/>
  <c r="D33" i="12"/>
  <c r="B33" i="12"/>
  <c r="G32" i="12"/>
  <c r="F32" i="12"/>
  <c r="E32" i="12"/>
  <c r="Q32" i="12" s="1"/>
  <c r="D32" i="12"/>
  <c r="B32" i="12"/>
  <c r="G31" i="12"/>
  <c r="F31" i="12"/>
  <c r="E31" i="12"/>
  <c r="D31" i="12"/>
  <c r="B31" i="12"/>
  <c r="G30" i="12"/>
  <c r="F30" i="12"/>
  <c r="E30" i="12"/>
  <c r="Q30" i="12" s="1"/>
  <c r="D30" i="12"/>
  <c r="B30" i="12"/>
  <c r="G29" i="12"/>
  <c r="F29" i="12"/>
  <c r="E29" i="12"/>
  <c r="D29" i="12"/>
  <c r="B29" i="12"/>
  <c r="G28" i="12"/>
  <c r="F28" i="12"/>
  <c r="E28" i="12"/>
  <c r="D28" i="12"/>
  <c r="B28" i="12"/>
  <c r="G27" i="12"/>
  <c r="F27" i="12"/>
  <c r="E27" i="12"/>
  <c r="D27" i="12"/>
  <c r="B27" i="12"/>
  <c r="G26" i="12"/>
  <c r="F26" i="12"/>
  <c r="E26" i="12"/>
  <c r="D26" i="12"/>
  <c r="B26" i="12"/>
  <c r="G25" i="12"/>
  <c r="F25" i="12"/>
  <c r="E25" i="12"/>
  <c r="D25" i="12"/>
  <c r="B25" i="12"/>
  <c r="G24" i="12"/>
  <c r="F24" i="12"/>
  <c r="E24" i="12"/>
  <c r="D24" i="12"/>
  <c r="B24" i="12"/>
  <c r="G23" i="12"/>
  <c r="F23" i="12"/>
  <c r="E23" i="12"/>
  <c r="Q23" i="12" s="1"/>
  <c r="D23" i="12"/>
  <c r="B23" i="12"/>
  <c r="G22" i="12"/>
  <c r="F22" i="12"/>
  <c r="E22" i="12"/>
  <c r="Q22" i="12" s="1"/>
  <c r="D22" i="12"/>
  <c r="B22" i="12"/>
  <c r="G21" i="12"/>
  <c r="F21" i="12"/>
  <c r="E21" i="12"/>
  <c r="Q21" i="12" s="1"/>
  <c r="D21" i="12"/>
  <c r="B21" i="12"/>
  <c r="G20" i="12"/>
  <c r="F20" i="12"/>
  <c r="E20" i="12"/>
  <c r="Q20" i="12" s="1"/>
  <c r="D20" i="12"/>
  <c r="B20" i="12"/>
  <c r="G19" i="12"/>
  <c r="F19" i="12"/>
  <c r="E19" i="12"/>
  <c r="D19" i="12"/>
  <c r="B19" i="12"/>
  <c r="G18" i="12"/>
  <c r="F18" i="12"/>
  <c r="E18" i="12"/>
  <c r="Q18" i="12" s="1"/>
  <c r="D18" i="12"/>
  <c r="B18" i="12"/>
  <c r="G17" i="12"/>
  <c r="F17" i="12"/>
  <c r="E17" i="12"/>
  <c r="D17" i="12"/>
  <c r="B17" i="12"/>
  <c r="G16" i="12"/>
  <c r="F16" i="12"/>
  <c r="E16" i="12"/>
  <c r="D16" i="12"/>
  <c r="B16" i="12"/>
  <c r="G15" i="12"/>
  <c r="F15" i="12"/>
  <c r="E15" i="12"/>
  <c r="D15" i="12"/>
  <c r="B15" i="12"/>
  <c r="G14" i="12"/>
  <c r="F14" i="12"/>
  <c r="E14" i="12"/>
  <c r="D14" i="12"/>
  <c r="B14" i="12"/>
  <c r="G13" i="12"/>
  <c r="F13" i="12"/>
  <c r="E13" i="12"/>
  <c r="D13" i="12"/>
  <c r="B13" i="12"/>
  <c r="G12" i="12"/>
  <c r="G10" i="12" s="1"/>
  <c r="G110" i="12" s="1"/>
  <c r="F12" i="12"/>
  <c r="E12" i="12"/>
  <c r="D12" i="12"/>
  <c r="B12" i="12"/>
  <c r="G11" i="12"/>
  <c r="F11" i="12"/>
  <c r="E11" i="12"/>
  <c r="Q11" i="12" s="1"/>
  <c r="D11" i="12"/>
  <c r="B11" i="12"/>
  <c r="O10" i="12"/>
  <c r="O110" i="12" s="1"/>
  <c r="N10" i="12"/>
  <c r="N110" i="12" s="1"/>
  <c r="M10" i="12"/>
  <c r="M110" i="12" s="1"/>
  <c r="L10" i="12"/>
  <c r="K10" i="12"/>
  <c r="J10" i="12"/>
  <c r="J110" i="12" s="1"/>
  <c r="J111" i="12" s="1"/>
  <c r="I10" i="12"/>
  <c r="I110" i="12" s="1"/>
  <c r="H10" i="12"/>
  <c r="H110" i="12" s="1"/>
  <c r="D10" i="12"/>
  <c r="D110" i="12" s="1"/>
  <c r="D111" i="12" s="1"/>
  <c r="O8" i="12"/>
  <c r="N8" i="12"/>
  <c r="M8" i="12"/>
  <c r="L8" i="12"/>
  <c r="K8" i="12"/>
  <c r="J8" i="12"/>
  <c r="I8" i="12"/>
  <c r="H8" i="12"/>
  <c r="G8" i="12"/>
  <c r="F8" i="12"/>
  <c r="E8" i="12"/>
  <c r="D8" i="12"/>
  <c r="Q98" i="9"/>
  <c r="G93" i="9"/>
  <c r="F93" i="9"/>
  <c r="E93" i="9"/>
  <c r="D93" i="9"/>
  <c r="Q91" i="9"/>
  <c r="B91" i="9"/>
  <c r="Q90" i="9"/>
  <c r="B90" i="9"/>
  <c r="O89" i="9"/>
  <c r="N89" i="9"/>
  <c r="M89" i="9"/>
  <c r="L89" i="9"/>
  <c r="K89" i="9"/>
  <c r="J89" i="9"/>
  <c r="I89" i="9"/>
  <c r="H89" i="9"/>
  <c r="G89" i="9"/>
  <c r="F89" i="9"/>
  <c r="E89" i="9"/>
  <c r="D89" i="9"/>
  <c r="Q89" i="9" s="1"/>
  <c r="B89" i="9"/>
  <c r="Q88" i="9"/>
  <c r="B88" i="9"/>
  <c r="O87" i="9"/>
  <c r="N87" i="9"/>
  <c r="M87" i="9"/>
  <c r="L87" i="9"/>
  <c r="K87" i="9"/>
  <c r="J87" i="9"/>
  <c r="I87" i="9"/>
  <c r="H87" i="9"/>
  <c r="G87" i="9"/>
  <c r="F87" i="9"/>
  <c r="E87" i="9"/>
  <c r="D87" i="9"/>
  <c r="B87" i="9"/>
  <c r="Q86" i="9"/>
  <c r="B86" i="9"/>
  <c r="Q85" i="9"/>
  <c r="B85" i="9"/>
  <c r="O84" i="9"/>
  <c r="N84" i="9"/>
  <c r="M84" i="9"/>
  <c r="L84" i="9"/>
  <c r="K84" i="9"/>
  <c r="J84" i="9"/>
  <c r="I84" i="9"/>
  <c r="H84" i="9"/>
  <c r="G84" i="9"/>
  <c r="F84" i="9"/>
  <c r="E84" i="9"/>
  <c r="D84" i="9"/>
  <c r="Q84" i="9" s="1"/>
  <c r="B84" i="9"/>
  <c r="Q83" i="9"/>
  <c r="B83" i="9"/>
  <c r="Q82" i="9"/>
  <c r="B82" i="9"/>
  <c r="Q81" i="9"/>
  <c r="B81" i="9"/>
  <c r="Q80" i="9"/>
  <c r="B80" i="9"/>
  <c r="O79" i="9"/>
  <c r="N79" i="9"/>
  <c r="M79" i="9"/>
  <c r="L79" i="9"/>
  <c r="K79" i="9"/>
  <c r="J79" i="9"/>
  <c r="I79" i="9"/>
  <c r="H79" i="9"/>
  <c r="G79" i="9"/>
  <c r="F79" i="9"/>
  <c r="E79" i="9"/>
  <c r="D79" i="9"/>
  <c r="Q79" i="9" s="1"/>
  <c r="B79" i="9"/>
  <c r="Q78" i="9"/>
  <c r="B78" i="9"/>
  <c r="Q77" i="9"/>
  <c r="B77" i="9"/>
  <c r="O76" i="9"/>
  <c r="N76" i="9"/>
  <c r="M76" i="9"/>
  <c r="L76" i="9"/>
  <c r="K76" i="9"/>
  <c r="J76" i="9"/>
  <c r="I76" i="9"/>
  <c r="H76" i="9"/>
  <c r="G76" i="9"/>
  <c r="F76" i="9"/>
  <c r="E76" i="9"/>
  <c r="D76" i="9"/>
  <c r="B76" i="9"/>
  <c r="Q75" i="9"/>
  <c r="B75" i="9"/>
  <c r="Q74" i="9"/>
  <c r="B74" i="9"/>
  <c r="O73" i="9"/>
  <c r="N73" i="9"/>
  <c r="M73" i="9"/>
  <c r="L73" i="9"/>
  <c r="K73" i="9"/>
  <c r="J73" i="9"/>
  <c r="I73" i="9"/>
  <c r="H73" i="9"/>
  <c r="G73" i="9"/>
  <c r="F73" i="9"/>
  <c r="E73" i="9"/>
  <c r="D73" i="9"/>
  <c r="B73" i="9"/>
  <c r="Q72" i="9"/>
  <c r="B72" i="9"/>
  <c r="Q71" i="9"/>
  <c r="B71" i="9"/>
  <c r="Q70" i="9"/>
  <c r="B70" i="9"/>
  <c r="Q69" i="9"/>
  <c r="B69" i="9"/>
  <c r="O68" i="9"/>
  <c r="N68" i="9"/>
  <c r="M68" i="9"/>
  <c r="L68" i="9"/>
  <c r="K68" i="9"/>
  <c r="J68" i="9"/>
  <c r="I68" i="9"/>
  <c r="H68" i="9"/>
  <c r="G68" i="9"/>
  <c r="F68" i="9"/>
  <c r="E68" i="9"/>
  <c r="D68" i="9"/>
  <c r="Q68" i="9" s="1"/>
  <c r="B68" i="9"/>
  <c r="Q67" i="9"/>
  <c r="B67" i="9"/>
  <c r="Q66" i="9"/>
  <c r="B66" i="9"/>
  <c r="Q65" i="9"/>
  <c r="B65" i="9"/>
  <c r="Q64" i="9"/>
  <c r="B64" i="9"/>
  <c r="O63" i="9"/>
  <c r="N63" i="9"/>
  <c r="M63" i="9"/>
  <c r="L63" i="9"/>
  <c r="K63" i="9"/>
  <c r="J63" i="9"/>
  <c r="I63" i="9"/>
  <c r="H63" i="9"/>
  <c r="G63" i="9"/>
  <c r="F63" i="9"/>
  <c r="E63" i="9"/>
  <c r="D63" i="9"/>
  <c r="B63" i="9"/>
  <c r="Q62" i="9"/>
  <c r="B62" i="9"/>
  <c r="O61" i="9"/>
  <c r="N61" i="9"/>
  <c r="M61" i="9"/>
  <c r="L61" i="9"/>
  <c r="K61" i="9"/>
  <c r="J61" i="9"/>
  <c r="I61" i="9"/>
  <c r="H61" i="9"/>
  <c r="G61" i="9"/>
  <c r="F61" i="9"/>
  <c r="E61" i="9"/>
  <c r="D61" i="9"/>
  <c r="B61" i="9"/>
  <c r="Q60" i="9"/>
  <c r="B60" i="9"/>
  <c r="O59" i="9"/>
  <c r="N59" i="9"/>
  <c r="M59" i="9"/>
  <c r="L59" i="9"/>
  <c r="K59" i="9"/>
  <c r="J59" i="9"/>
  <c r="I59" i="9"/>
  <c r="H59" i="9"/>
  <c r="G59" i="9"/>
  <c r="F59" i="9"/>
  <c r="E59" i="9"/>
  <c r="E17" i="9" s="1"/>
  <c r="D59" i="9"/>
  <c r="Q59" i="9" s="1"/>
  <c r="B59" i="9"/>
  <c r="Q58" i="9"/>
  <c r="B58" i="9"/>
  <c r="Q57" i="9"/>
  <c r="B57" i="9"/>
  <c r="O56" i="9"/>
  <c r="N56" i="9"/>
  <c r="M56" i="9"/>
  <c r="L56" i="9"/>
  <c r="K56" i="9"/>
  <c r="J56" i="9"/>
  <c r="I56" i="9"/>
  <c r="H56" i="9"/>
  <c r="G56" i="9"/>
  <c r="F56" i="9"/>
  <c r="E56" i="9"/>
  <c r="D56" i="9"/>
  <c r="Q56" i="9" s="1"/>
  <c r="B56" i="9"/>
  <c r="Q55" i="9"/>
  <c r="B55" i="9"/>
  <c r="O54" i="9"/>
  <c r="N54" i="9"/>
  <c r="M54" i="9"/>
  <c r="L54" i="9"/>
  <c r="K54" i="9"/>
  <c r="J54" i="9"/>
  <c r="I54" i="9"/>
  <c r="H54" i="9"/>
  <c r="G54" i="9"/>
  <c r="F54" i="9"/>
  <c r="E54" i="9"/>
  <c r="D54" i="9"/>
  <c r="Q54" i="9" s="1"/>
  <c r="B54" i="9"/>
  <c r="Q53" i="9"/>
  <c r="B53" i="9"/>
  <c r="O52" i="9"/>
  <c r="N52" i="9"/>
  <c r="M52" i="9"/>
  <c r="L52" i="9"/>
  <c r="K52" i="9"/>
  <c r="J52" i="9"/>
  <c r="I52" i="9"/>
  <c r="H52" i="9"/>
  <c r="G52" i="9"/>
  <c r="F52" i="9"/>
  <c r="E52" i="9"/>
  <c r="D52" i="9"/>
  <c r="Q52" i="9" s="1"/>
  <c r="B52" i="9"/>
  <c r="Q51" i="9"/>
  <c r="B51" i="9"/>
  <c r="Q50" i="9"/>
  <c r="B50" i="9"/>
  <c r="O49" i="9"/>
  <c r="N49" i="9"/>
  <c r="M49" i="9"/>
  <c r="L49" i="9"/>
  <c r="K49" i="9"/>
  <c r="J49" i="9"/>
  <c r="I49" i="9"/>
  <c r="H49" i="9"/>
  <c r="G49" i="9"/>
  <c r="F49" i="9"/>
  <c r="E49" i="9"/>
  <c r="D49" i="9"/>
  <c r="Q49" i="9" s="1"/>
  <c r="B49" i="9"/>
  <c r="Q48" i="9"/>
  <c r="B48" i="9"/>
  <c r="O47" i="9"/>
  <c r="N47" i="9"/>
  <c r="M47" i="9"/>
  <c r="L47" i="9"/>
  <c r="K47" i="9"/>
  <c r="J47" i="9"/>
  <c r="J17" i="9" s="1"/>
  <c r="I47" i="9"/>
  <c r="H47" i="9"/>
  <c r="G47" i="9"/>
  <c r="F47" i="9"/>
  <c r="E47" i="9"/>
  <c r="D47" i="9"/>
  <c r="Q47" i="9" s="1"/>
  <c r="B47" i="9"/>
  <c r="Q46" i="9"/>
  <c r="B46" i="9"/>
  <c r="O45" i="9"/>
  <c r="N45" i="9"/>
  <c r="M45" i="9"/>
  <c r="L45" i="9"/>
  <c r="K45" i="9"/>
  <c r="J45" i="9"/>
  <c r="I45" i="9"/>
  <c r="H45" i="9"/>
  <c r="G45" i="9"/>
  <c r="F45" i="9"/>
  <c r="E45" i="9"/>
  <c r="D45" i="9"/>
  <c r="Q45" i="9" s="1"/>
  <c r="B45" i="9"/>
  <c r="Q44" i="9"/>
  <c r="B44" i="9"/>
  <c r="O43" i="9"/>
  <c r="N43" i="9"/>
  <c r="M43" i="9"/>
  <c r="L43" i="9"/>
  <c r="K43" i="9"/>
  <c r="J43" i="9"/>
  <c r="I43" i="9"/>
  <c r="H43" i="9"/>
  <c r="G43" i="9"/>
  <c r="G17" i="9" s="1"/>
  <c r="F43" i="9"/>
  <c r="E43" i="9"/>
  <c r="D43" i="9"/>
  <c r="B43" i="9"/>
  <c r="Q42" i="9"/>
  <c r="B42" i="9"/>
  <c r="O41" i="9"/>
  <c r="N41" i="9"/>
  <c r="M41" i="9"/>
  <c r="L41" i="9"/>
  <c r="K41" i="9"/>
  <c r="K17" i="9" s="1"/>
  <c r="J41" i="9"/>
  <c r="I41" i="9"/>
  <c r="H41" i="9"/>
  <c r="G41" i="9"/>
  <c r="F41" i="9"/>
  <c r="E41" i="9"/>
  <c r="D41" i="9"/>
  <c r="Q41" i="9" s="1"/>
  <c r="B41" i="9"/>
  <c r="Q40" i="9"/>
  <c r="B40" i="9"/>
  <c r="Q39" i="9"/>
  <c r="B39" i="9"/>
  <c r="Q38" i="9"/>
  <c r="B38" i="9"/>
  <c r="Q37" i="9"/>
  <c r="B37" i="9"/>
  <c r="Q36" i="9"/>
  <c r="B36" i="9"/>
  <c r="Q35" i="9"/>
  <c r="B35" i="9"/>
  <c r="Q34" i="9"/>
  <c r="B34" i="9"/>
  <c r="Q33" i="9"/>
  <c r="B33" i="9"/>
  <c r="Q32" i="9"/>
  <c r="B32" i="9"/>
  <c r="Q31" i="9"/>
  <c r="B31" i="9"/>
  <c r="O30" i="9"/>
  <c r="N30" i="9"/>
  <c r="M30" i="9"/>
  <c r="L30" i="9"/>
  <c r="K30" i="9"/>
  <c r="J30" i="9"/>
  <c r="I30" i="9"/>
  <c r="H30" i="9"/>
  <c r="G30" i="9"/>
  <c r="F30" i="9"/>
  <c r="E30" i="9"/>
  <c r="D30" i="9"/>
  <c r="Q30" i="9" s="1"/>
  <c r="B30" i="9"/>
  <c r="Q29" i="9"/>
  <c r="B29" i="9"/>
  <c r="Q28" i="9"/>
  <c r="B28" i="9"/>
  <c r="Q27" i="9"/>
  <c r="B27" i="9"/>
  <c r="Q26" i="9"/>
  <c r="B26" i="9"/>
  <c r="Q25" i="9"/>
  <c r="B25" i="9"/>
  <c r="Q24" i="9"/>
  <c r="B24" i="9"/>
  <c r="Q23" i="9"/>
  <c r="B23" i="9"/>
  <c r="Q22" i="9"/>
  <c r="B22" i="9"/>
  <c r="Q21" i="9"/>
  <c r="B21" i="9"/>
  <c r="Q20" i="9"/>
  <c r="B20" i="9"/>
  <c r="Q19" i="9"/>
  <c r="B19" i="9"/>
  <c r="O18" i="9"/>
  <c r="N18" i="9"/>
  <c r="M18" i="9"/>
  <c r="L18" i="9"/>
  <c r="K18" i="9"/>
  <c r="J18" i="9"/>
  <c r="I18" i="9"/>
  <c r="I17" i="9" s="1"/>
  <c r="H18" i="9"/>
  <c r="G18" i="9"/>
  <c r="F18" i="9"/>
  <c r="E18" i="9"/>
  <c r="D18" i="9"/>
  <c r="Q18" i="9" s="1"/>
  <c r="B18" i="9"/>
  <c r="F17" i="9"/>
  <c r="D17" i="9"/>
  <c r="L14" i="9"/>
  <c r="L15" i="9" s="1"/>
  <c r="F14" i="9"/>
  <c r="F15" i="9" s="1"/>
  <c r="Q12" i="9"/>
  <c r="Q14" i="9" s="1"/>
  <c r="O12" i="9"/>
  <c r="N12" i="9"/>
  <c r="M12" i="9"/>
  <c r="M14" i="9" s="1"/>
  <c r="L12" i="9"/>
  <c r="K12" i="9"/>
  <c r="J12" i="9"/>
  <c r="I12" i="9"/>
  <c r="H12" i="9"/>
  <c r="G12" i="9"/>
  <c r="G14" i="9" s="1"/>
  <c r="F12" i="9"/>
  <c r="E12" i="9"/>
  <c r="D12" i="9"/>
  <c r="D14" i="9" s="1"/>
  <c r="Q10" i="9"/>
  <c r="O10" i="9"/>
  <c r="O14" i="9" s="1"/>
  <c r="N10" i="9"/>
  <c r="N14" i="9" s="1"/>
  <c r="M10" i="9"/>
  <c r="L10" i="9"/>
  <c r="K10" i="9"/>
  <c r="K14" i="9" s="1"/>
  <c r="J10" i="9"/>
  <c r="J14" i="9" s="1"/>
  <c r="I10" i="9"/>
  <c r="I14" i="9" s="1"/>
  <c r="H10" i="9"/>
  <c r="H14" i="9" s="1"/>
  <c r="G10" i="9"/>
  <c r="F10" i="9"/>
  <c r="E10" i="9"/>
  <c r="E14" i="9" s="1"/>
  <c r="D10" i="9"/>
  <c r="O8" i="9"/>
  <c r="N8" i="9"/>
  <c r="M8" i="9"/>
  <c r="L8" i="9"/>
  <c r="K8" i="9"/>
  <c r="J8" i="9"/>
  <c r="I8" i="9"/>
  <c r="H8" i="9"/>
  <c r="G8" i="9"/>
  <c r="F8" i="9"/>
  <c r="E8" i="9"/>
  <c r="D8" i="9"/>
  <c r="O30" i="6"/>
  <c r="N30" i="6"/>
  <c r="M30" i="6"/>
  <c r="L30" i="6"/>
  <c r="K30" i="6"/>
  <c r="J30" i="6"/>
  <c r="I30" i="6"/>
  <c r="H30" i="6"/>
  <c r="G30" i="6"/>
  <c r="F30" i="6"/>
  <c r="E30" i="6"/>
  <c r="D30" i="6"/>
  <c r="Q30" i="6" s="1"/>
  <c r="O29" i="6"/>
  <c r="N29" i="6"/>
  <c r="M29" i="6"/>
  <c r="L29" i="6"/>
  <c r="K29" i="6"/>
  <c r="J29" i="6"/>
  <c r="I29" i="6"/>
  <c r="H29" i="6"/>
  <c r="G29" i="6"/>
  <c r="F29" i="6"/>
  <c r="E29" i="6"/>
  <c r="D29" i="6"/>
  <c r="Q29" i="6" s="1"/>
  <c r="Q24" i="6"/>
  <c r="N22" i="6"/>
  <c r="D21" i="6"/>
  <c r="D22" i="6" s="1"/>
  <c r="Q19" i="6"/>
  <c r="G19" i="6"/>
  <c r="F19" i="6"/>
  <c r="E19" i="6"/>
  <c r="D19" i="6"/>
  <c r="Q17" i="6"/>
  <c r="Q21" i="6" s="1"/>
  <c r="O17" i="6"/>
  <c r="O21" i="6" s="1"/>
  <c r="N17" i="6"/>
  <c r="M17" i="6"/>
  <c r="L17" i="6"/>
  <c r="K17" i="6"/>
  <c r="J17" i="6"/>
  <c r="I17" i="6"/>
  <c r="H17" i="6"/>
  <c r="G17" i="6"/>
  <c r="F17" i="6"/>
  <c r="E17" i="6"/>
  <c r="D17" i="6"/>
  <c r="J15" i="6"/>
  <c r="D15" i="6"/>
  <c r="O14" i="6"/>
  <c r="O15" i="6" s="1"/>
  <c r="K14" i="6"/>
  <c r="K15" i="6" s="1"/>
  <c r="Q12" i="6"/>
  <c r="O12" i="6"/>
  <c r="N12" i="6"/>
  <c r="M12" i="6"/>
  <c r="L12" i="6"/>
  <c r="L14" i="6" s="1"/>
  <c r="K12" i="6"/>
  <c r="J12" i="6"/>
  <c r="I12" i="6"/>
  <c r="H12" i="6"/>
  <c r="G12" i="6"/>
  <c r="F12" i="6"/>
  <c r="F14" i="6" s="1"/>
  <c r="E12" i="6"/>
  <c r="D12" i="6"/>
  <c r="Q10" i="6"/>
  <c r="Q14" i="6" s="1"/>
  <c r="Q15" i="6" s="1"/>
  <c r="O10" i="6"/>
  <c r="N10" i="6"/>
  <c r="N14" i="6" s="1"/>
  <c r="N21" i="6" s="1"/>
  <c r="N26" i="6" s="1"/>
  <c r="M10" i="6"/>
  <c r="M14" i="6" s="1"/>
  <c r="L10" i="6"/>
  <c r="K10" i="6"/>
  <c r="J10" i="6"/>
  <c r="J14" i="6" s="1"/>
  <c r="J21" i="6" s="1"/>
  <c r="I10" i="6"/>
  <c r="I14" i="6" s="1"/>
  <c r="I15" i="6" s="1"/>
  <c r="H10" i="6"/>
  <c r="H14" i="6" s="1"/>
  <c r="G10" i="6"/>
  <c r="G14" i="6" s="1"/>
  <c r="G15" i="6" s="1"/>
  <c r="F10" i="6"/>
  <c r="E10" i="6"/>
  <c r="E14" i="6" s="1"/>
  <c r="D10" i="6"/>
  <c r="D14" i="6" s="1"/>
  <c r="O8" i="6"/>
  <c r="N8" i="6"/>
  <c r="M8" i="6"/>
  <c r="L8" i="6"/>
  <c r="K8" i="6"/>
  <c r="J8" i="6"/>
  <c r="I8" i="6"/>
  <c r="H8" i="6"/>
  <c r="G8" i="6"/>
  <c r="F8" i="6"/>
  <c r="E8" i="6"/>
  <c r="D8" i="6"/>
  <c r="O255" i="3"/>
  <c r="N255" i="3"/>
  <c r="M255" i="3"/>
  <c r="L255" i="3"/>
  <c r="K255" i="3"/>
  <c r="J255" i="3"/>
  <c r="I255" i="3"/>
  <c r="H255" i="3"/>
  <c r="G255" i="3"/>
  <c r="F255" i="3"/>
  <c r="E255" i="3"/>
  <c r="D255" i="3"/>
  <c r="Q255" i="3" s="1"/>
  <c r="O254" i="3"/>
  <c r="N254" i="3"/>
  <c r="M254" i="3"/>
  <c r="L254" i="3"/>
  <c r="K254" i="3"/>
  <c r="J254" i="3"/>
  <c r="I254" i="3"/>
  <c r="H254" i="3"/>
  <c r="G254" i="3"/>
  <c r="F254" i="3"/>
  <c r="E254" i="3"/>
  <c r="D254" i="3"/>
  <c r="Q254" i="3" s="1"/>
  <c r="Q249" i="3"/>
  <c r="Q244" i="3"/>
  <c r="G244" i="3"/>
  <c r="F244" i="3"/>
  <c r="E244" i="3"/>
  <c r="D244" i="3"/>
  <c r="Q242" i="3"/>
  <c r="B242" i="3"/>
  <c r="Q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B241" i="3"/>
  <c r="Q240" i="3"/>
  <c r="B240" i="3"/>
  <c r="Q239" i="3"/>
  <c r="B239" i="3"/>
  <c r="Q238" i="3"/>
  <c r="B238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Q237" i="3" s="1"/>
  <c r="B237" i="3"/>
  <c r="Q236" i="3"/>
  <c r="B236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Q235" i="3" s="1"/>
  <c r="B235" i="3"/>
  <c r="Q234" i="3"/>
  <c r="B234" i="3"/>
  <c r="Q233" i="3"/>
  <c r="B233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Q232" i="3" s="1"/>
  <c r="B232" i="3"/>
  <c r="Q231" i="3"/>
  <c r="B231" i="3"/>
  <c r="Q230" i="3"/>
  <c r="B230" i="3"/>
  <c r="Q229" i="3"/>
  <c r="B229" i="3"/>
  <c r="Q228" i="3"/>
  <c r="B228" i="3"/>
  <c r="Q227" i="3"/>
  <c r="B227" i="3"/>
  <c r="Q226" i="3"/>
  <c r="B226" i="3"/>
  <c r="Q225" i="3"/>
  <c r="B225" i="3"/>
  <c r="Q224" i="3"/>
  <c r="B224" i="3"/>
  <c r="Q223" i="3"/>
  <c r="B223" i="3"/>
  <c r="Q222" i="3"/>
  <c r="B222" i="3"/>
  <c r="Q221" i="3"/>
  <c r="B221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Q220" i="3" s="1"/>
  <c r="B220" i="3"/>
  <c r="Q219" i="3"/>
  <c r="B219" i="3"/>
  <c r="Q218" i="3"/>
  <c r="B218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Q217" i="3" s="1"/>
  <c r="B217" i="3"/>
  <c r="Q216" i="3"/>
  <c r="B216" i="3"/>
  <c r="Q215" i="3"/>
  <c r="B215" i="3"/>
  <c r="Q214" i="3"/>
  <c r="B214" i="3"/>
  <c r="Q213" i="3"/>
  <c r="B213" i="3"/>
  <c r="Q212" i="3"/>
  <c r="B212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Q211" i="3" s="1"/>
  <c r="B211" i="3"/>
  <c r="Q210" i="3"/>
  <c r="B210" i="3"/>
  <c r="Q209" i="3"/>
  <c r="B209" i="3"/>
  <c r="Q208" i="3"/>
  <c r="B208" i="3"/>
  <c r="Q207" i="3"/>
  <c r="B207" i="3"/>
  <c r="O206" i="3"/>
  <c r="N206" i="3"/>
  <c r="M206" i="3"/>
  <c r="L206" i="3"/>
  <c r="K206" i="3"/>
  <c r="J206" i="3"/>
  <c r="I206" i="3"/>
  <c r="H206" i="3"/>
  <c r="G206" i="3"/>
  <c r="F206" i="3"/>
  <c r="E206" i="3"/>
  <c r="D206" i="3"/>
  <c r="Q206" i="3" s="1"/>
  <c r="B206" i="3"/>
  <c r="Q205" i="3"/>
  <c r="B205" i="3"/>
  <c r="Q204" i="3"/>
  <c r="B204" i="3"/>
  <c r="Q203" i="3"/>
  <c r="B203" i="3"/>
  <c r="Q202" i="3"/>
  <c r="B202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Q201" i="3" s="1"/>
  <c r="B201" i="3"/>
  <c r="Q200" i="3"/>
  <c r="B200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Q199" i="3" s="1"/>
  <c r="B199" i="3"/>
  <c r="Q198" i="3"/>
  <c r="B198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Q197" i="3" s="1"/>
  <c r="B197" i="3"/>
  <c r="Q196" i="3"/>
  <c r="B196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Q195" i="3" s="1"/>
  <c r="B195" i="3"/>
  <c r="Q194" i="3"/>
  <c r="B194" i="3"/>
  <c r="Q193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B193" i="3"/>
  <c r="Q192" i="3"/>
  <c r="B192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Q191" i="3" s="1"/>
  <c r="B191" i="3"/>
  <c r="Q190" i="3"/>
  <c r="B190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Q189" i="3" s="1"/>
  <c r="B189" i="3"/>
  <c r="Q188" i="3"/>
  <c r="B188" i="3"/>
  <c r="Q187" i="3"/>
  <c r="B187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Q186" i="3" s="1"/>
  <c r="B186" i="3"/>
  <c r="Q185" i="3"/>
  <c r="B185" i="3"/>
  <c r="Q184" i="3"/>
  <c r="B184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Q183" i="3" s="1"/>
  <c r="B183" i="3"/>
  <c r="Q182" i="3"/>
  <c r="B182" i="3"/>
  <c r="O181" i="3"/>
  <c r="N181" i="3"/>
  <c r="M181" i="3"/>
  <c r="L181" i="3"/>
  <c r="K181" i="3"/>
  <c r="J181" i="3"/>
  <c r="I181" i="3"/>
  <c r="H181" i="3"/>
  <c r="G181" i="3"/>
  <c r="F181" i="3"/>
  <c r="E181" i="3"/>
  <c r="D181" i="3"/>
  <c r="Q181" i="3" s="1"/>
  <c r="B181" i="3"/>
  <c r="Q180" i="3"/>
  <c r="B180" i="3"/>
  <c r="O179" i="3"/>
  <c r="N179" i="3"/>
  <c r="M179" i="3"/>
  <c r="L179" i="3"/>
  <c r="K179" i="3"/>
  <c r="J179" i="3"/>
  <c r="I179" i="3"/>
  <c r="I140" i="3" s="1"/>
  <c r="H179" i="3"/>
  <c r="G179" i="3"/>
  <c r="F179" i="3"/>
  <c r="E179" i="3"/>
  <c r="D179" i="3"/>
  <c r="Q179" i="3" s="1"/>
  <c r="B179" i="3"/>
  <c r="Q178" i="3"/>
  <c r="B178" i="3"/>
  <c r="O177" i="3"/>
  <c r="N177" i="3"/>
  <c r="M177" i="3"/>
  <c r="L177" i="3"/>
  <c r="K177" i="3"/>
  <c r="J177" i="3"/>
  <c r="I177" i="3"/>
  <c r="H177" i="3"/>
  <c r="G177" i="3"/>
  <c r="F177" i="3"/>
  <c r="E177" i="3"/>
  <c r="D177" i="3"/>
  <c r="Q177" i="3" s="1"/>
  <c r="B177" i="3"/>
  <c r="Q176" i="3"/>
  <c r="B176" i="3"/>
  <c r="Q175" i="3"/>
  <c r="B175" i="3"/>
  <c r="O174" i="3"/>
  <c r="N174" i="3"/>
  <c r="M174" i="3"/>
  <c r="L174" i="3"/>
  <c r="K174" i="3"/>
  <c r="J174" i="3"/>
  <c r="I174" i="3"/>
  <c r="H174" i="3"/>
  <c r="G174" i="3"/>
  <c r="F174" i="3"/>
  <c r="E174" i="3"/>
  <c r="D174" i="3"/>
  <c r="Q174" i="3" s="1"/>
  <c r="B174" i="3"/>
  <c r="Q173" i="3"/>
  <c r="B173" i="3"/>
  <c r="Q172" i="3"/>
  <c r="B172" i="3"/>
  <c r="Q171" i="3"/>
  <c r="B171" i="3"/>
  <c r="O170" i="3"/>
  <c r="N170" i="3"/>
  <c r="Q170" i="3" s="1"/>
  <c r="M170" i="3"/>
  <c r="L170" i="3"/>
  <c r="K170" i="3"/>
  <c r="J170" i="3"/>
  <c r="I170" i="3"/>
  <c r="H170" i="3"/>
  <c r="G170" i="3"/>
  <c r="F170" i="3"/>
  <c r="E170" i="3"/>
  <c r="D170" i="3"/>
  <c r="B170" i="3"/>
  <c r="Q169" i="3"/>
  <c r="B169" i="3"/>
  <c r="O168" i="3"/>
  <c r="N168" i="3"/>
  <c r="M168" i="3"/>
  <c r="L168" i="3"/>
  <c r="K168" i="3"/>
  <c r="J168" i="3"/>
  <c r="I168" i="3"/>
  <c r="H168" i="3"/>
  <c r="H140" i="3" s="1"/>
  <c r="G168" i="3"/>
  <c r="F168" i="3"/>
  <c r="E168" i="3"/>
  <c r="D168" i="3"/>
  <c r="Q168" i="3" s="1"/>
  <c r="B168" i="3"/>
  <c r="Q167" i="3"/>
  <c r="B167" i="3"/>
  <c r="Q166" i="3"/>
  <c r="B166" i="3"/>
  <c r="O165" i="3"/>
  <c r="N165" i="3"/>
  <c r="M165" i="3"/>
  <c r="L165" i="3"/>
  <c r="K165" i="3"/>
  <c r="J165" i="3"/>
  <c r="I165" i="3"/>
  <c r="H165" i="3"/>
  <c r="G165" i="3"/>
  <c r="F165" i="3"/>
  <c r="E165" i="3"/>
  <c r="D165" i="3"/>
  <c r="Q165" i="3" s="1"/>
  <c r="B165" i="3"/>
  <c r="Q164" i="3"/>
  <c r="B164" i="3"/>
  <c r="O163" i="3"/>
  <c r="N163" i="3"/>
  <c r="M163" i="3"/>
  <c r="L163" i="3"/>
  <c r="K163" i="3"/>
  <c r="K140" i="3" s="1"/>
  <c r="J163" i="3"/>
  <c r="I163" i="3"/>
  <c r="H163" i="3"/>
  <c r="G163" i="3"/>
  <c r="F163" i="3"/>
  <c r="F140" i="3" s="1"/>
  <c r="E163" i="3"/>
  <c r="D163" i="3"/>
  <c r="D140" i="3" s="1"/>
  <c r="B163" i="3"/>
  <c r="Q162" i="3"/>
  <c r="B162" i="3"/>
  <c r="Q161" i="3"/>
  <c r="B161" i="3"/>
  <c r="Q160" i="3"/>
  <c r="B160" i="3"/>
  <c r="Q159" i="3"/>
  <c r="B159" i="3"/>
  <c r="Q158" i="3"/>
  <c r="B158" i="3"/>
  <c r="Q157" i="3"/>
  <c r="B157" i="3"/>
  <c r="Q156" i="3"/>
  <c r="B156" i="3"/>
  <c r="Q155" i="3"/>
  <c r="B155" i="3"/>
  <c r="Q154" i="3"/>
  <c r="B154" i="3"/>
  <c r="Q153" i="3"/>
  <c r="B153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Q152" i="3" s="1"/>
  <c r="B152" i="3"/>
  <c r="Q151" i="3"/>
  <c r="B151" i="3"/>
  <c r="Q150" i="3"/>
  <c r="B150" i="3"/>
  <c r="Q149" i="3"/>
  <c r="B149" i="3"/>
  <c r="Q148" i="3"/>
  <c r="B148" i="3"/>
  <c r="Q147" i="3"/>
  <c r="B147" i="3"/>
  <c r="Q146" i="3"/>
  <c r="B146" i="3"/>
  <c r="Q145" i="3"/>
  <c r="B145" i="3"/>
  <c r="Q144" i="3"/>
  <c r="B144" i="3"/>
  <c r="Q143" i="3"/>
  <c r="B143" i="3"/>
  <c r="Q142" i="3"/>
  <c r="B142" i="3"/>
  <c r="O141" i="3"/>
  <c r="N141" i="3"/>
  <c r="M141" i="3"/>
  <c r="M140" i="3" s="1"/>
  <c r="L141" i="3"/>
  <c r="L140" i="3" s="1"/>
  <c r="K141" i="3"/>
  <c r="J141" i="3"/>
  <c r="J140" i="3" s="1"/>
  <c r="I141" i="3"/>
  <c r="H141" i="3"/>
  <c r="G141" i="3"/>
  <c r="G140" i="3" s="1"/>
  <c r="F141" i="3"/>
  <c r="E141" i="3"/>
  <c r="E140" i="3" s="1"/>
  <c r="D141" i="3"/>
  <c r="Q141" i="3" s="1"/>
  <c r="B141" i="3"/>
  <c r="O140" i="3"/>
  <c r="N140" i="3"/>
  <c r="Q135" i="3"/>
  <c r="B135" i="3"/>
  <c r="Q134" i="3"/>
  <c r="B134" i="3"/>
  <c r="Q133" i="3"/>
  <c r="B133" i="3"/>
  <c r="Q132" i="3"/>
  <c r="B132" i="3"/>
  <c r="Q131" i="3"/>
  <c r="B131" i="3"/>
  <c r="Q130" i="3"/>
  <c r="B130" i="3"/>
  <c r="Q129" i="3"/>
  <c r="B129" i="3"/>
  <c r="Q128" i="3"/>
  <c r="B128" i="3"/>
  <c r="Q127" i="3"/>
  <c r="B127" i="3"/>
  <c r="Q126" i="3"/>
  <c r="B126" i="3"/>
  <c r="Q125" i="3"/>
  <c r="B125" i="3"/>
  <c r="Q124" i="3"/>
  <c r="B124" i="3"/>
  <c r="Q123" i="3"/>
  <c r="B123" i="3"/>
  <c r="Q122" i="3"/>
  <c r="B122" i="3"/>
  <c r="Q121" i="3"/>
  <c r="B121" i="3"/>
  <c r="Q120" i="3"/>
  <c r="B120" i="3"/>
  <c r="Q119" i="3"/>
  <c r="B119" i="3"/>
  <c r="Q118" i="3"/>
  <c r="B118" i="3"/>
  <c r="Q117" i="3"/>
  <c r="B117" i="3"/>
  <c r="Q116" i="3"/>
  <c r="B116" i="3"/>
  <c r="Q115" i="3"/>
  <c r="B115" i="3"/>
  <c r="Q114" i="3"/>
  <c r="B114" i="3"/>
  <c r="Q113" i="3"/>
  <c r="B113" i="3"/>
  <c r="Q112" i="3"/>
  <c r="B112" i="3"/>
  <c r="Q111" i="3"/>
  <c r="B111" i="3"/>
  <c r="Q110" i="3"/>
  <c r="B110" i="3"/>
  <c r="Q109" i="3"/>
  <c r="B109" i="3"/>
  <c r="Q108" i="3"/>
  <c r="B108" i="3"/>
  <c r="Q107" i="3"/>
  <c r="B107" i="3"/>
  <c r="Q106" i="3"/>
  <c r="B106" i="3"/>
  <c r="Q105" i="3"/>
  <c r="B105" i="3"/>
  <c r="Q104" i="3"/>
  <c r="B104" i="3"/>
  <c r="Q103" i="3"/>
  <c r="B103" i="3"/>
  <c r="Q102" i="3"/>
  <c r="B102" i="3"/>
  <c r="Q101" i="3"/>
  <c r="B101" i="3"/>
  <c r="Q100" i="3"/>
  <c r="B100" i="3"/>
  <c r="Q99" i="3"/>
  <c r="B99" i="3"/>
  <c r="Q98" i="3"/>
  <c r="B98" i="3"/>
  <c r="Q97" i="3"/>
  <c r="B97" i="3"/>
  <c r="Q96" i="3"/>
  <c r="B96" i="3"/>
  <c r="Q95" i="3"/>
  <c r="B95" i="3"/>
  <c r="Q94" i="3"/>
  <c r="O94" i="3"/>
  <c r="N94" i="3"/>
  <c r="M94" i="3"/>
  <c r="L94" i="3"/>
  <c r="K94" i="3"/>
  <c r="J94" i="3"/>
  <c r="I94" i="3"/>
  <c r="H94" i="3"/>
  <c r="G94" i="3"/>
  <c r="F94" i="3"/>
  <c r="E94" i="3"/>
  <c r="D94" i="3"/>
  <c r="Q92" i="3"/>
  <c r="G92" i="3"/>
  <c r="F92" i="3"/>
  <c r="E92" i="3"/>
  <c r="D92" i="3"/>
  <c r="B92" i="3"/>
  <c r="G91" i="3"/>
  <c r="F91" i="3"/>
  <c r="E91" i="3"/>
  <c r="D91" i="3"/>
  <c r="Q91" i="3" s="1"/>
  <c r="B91" i="3"/>
  <c r="Q90" i="3"/>
  <c r="G90" i="3"/>
  <c r="F90" i="3"/>
  <c r="E90" i="3"/>
  <c r="D90" i="3"/>
  <c r="B90" i="3"/>
  <c r="G89" i="3"/>
  <c r="F89" i="3"/>
  <c r="E89" i="3"/>
  <c r="D89" i="3"/>
  <c r="Q89" i="3" s="1"/>
  <c r="B89" i="3"/>
  <c r="Q88" i="3"/>
  <c r="G88" i="3"/>
  <c r="F88" i="3"/>
  <c r="E88" i="3"/>
  <c r="D88" i="3"/>
  <c r="B88" i="3"/>
  <c r="G87" i="3"/>
  <c r="F87" i="3"/>
  <c r="E87" i="3"/>
  <c r="D87" i="3"/>
  <c r="Q87" i="3" s="1"/>
  <c r="B87" i="3"/>
  <c r="Q86" i="3"/>
  <c r="G86" i="3"/>
  <c r="F86" i="3"/>
  <c r="E86" i="3"/>
  <c r="D86" i="3"/>
  <c r="B86" i="3"/>
  <c r="G85" i="3"/>
  <c r="F85" i="3"/>
  <c r="E85" i="3"/>
  <c r="D85" i="3"/>
  <c r="Q85" i="3" s="1"/>
  <c r="B85" i="3"/>
  <c r="Q84" i="3"/>
  <c r="G84" i="3"/>
  <c r="F84" i="3"/>
  <c r="E84" i="3"/>
  <c r="D84" i="3"/>
  <c r="B84" i="3"/>
  <c r="G83" i="3"/>
  <c r="F83" i="3"/>
  <c r="E83" i="3"/>
  <c r="D83" i="3"/>
  <c r="Q83" i="3" s="1"/>
  <c r="B83" i="3"/>
  <c r="Q82" i="3"/>
  <c r="G82" i="3"/>
  <c r="F82" i="3"/>
  <c r="E82" i="3"/>
  <c r="D82" i="3"/>
  <c r="B82" i="3"/>
  <c r="G81" i="3"/>
  <c r="F81" i="3"/>
  <c r="E81" i="3"/>
  <c r="D81" i="3"/>
  <c r="Q81" i="3" s="1"/>
  <c r="B81" i="3"/>
  <c r="Q80" i="3"/>
  <c r="G80" i="3"/>
  <c r="F80" i="3"/>
  <c r="E80" i="3"/>
  <c r="D80" i="3"/>
  <c r="B80" i="3"/>
  <c r="G79" i="3"/>
  <c r="F79" i="3"/>
  <c r="E79" i="3"/>
  <c r="D79" i="3"/>
  <c r="Q79" i="3" s="1"/>
  <c r="B79" i="3"/>
  <c r="Q78" i="3"/>
  <c r="G78" i="3"/>
  <c r="F78" i="3"/>
  <c r="E78" i="3"/>
  <c r="D78" i="3"/>
  <c r="B78" i="3"/>
  <c r="G77" i="3"/>
  <c r="F77" i="3"/>
  <c r="E77" i="3"/>
  <c r="D77" i="3"/>
  <c r="Q77" i="3" s="1"/>
  <c r="B77" i="3"/>
  <c r="Q76" i="3"/>
  <c r="G76" i="3"/>
  <c r="F76" i="3"/>
  <c r="E76" i="3"/>
  <c r="D76" i="3"/>
  <c r="B76" i="3"/>
  <c r="G75" i="3"/>
  <c r="F75" i="3"/>
  <c r="E75" i="3"/>
  <c r="D75" i="3"/>
  <c r="Q75" i="3" s="1"/>
  <c r="B75" i="3"/>
  <c r="Q74" i="3"/>
  <c r="G74" i="3"/>
  <c r="F74" i="3"/>
  <c r="E74" i="3"/>
  <c r="D74" i="3"/>
  <c r="B74" i="3"/>
  <c r="G73" i="3"/>
  <c r="F73" i="3"/>
  <c r="E73" i="3"/>
  <c r="D73" i="3"/>
  <c r="Q73" i="3" s="1"/>
  <c r="B73" i="3"/>
  <c r="Q72" i="3"/>
  <c r="G72" i="3"/>
  <c r="F72" i="3"/>
  <c r="E72" i="3"/>
  <c r="D72" i="3"/>
  <c r="B72" i="3"/>
  <c r="G71" i="3"/>
  <c r="F71" i="3"/>
  <c r="E71" i="3"/>
  <c r="D71" i="3"/>
  <c r="Q71" i="3" s="1"/>
  <c r="B71" i="3"/>
  <c r="Q70" i="3"/>
  <c r="G70" i="3"/>
  <c r="F70" i="3"/>
  <c r="E70" i="3"/>
  <c r="D70" i="3"/>
  <c r="B70" i="3"/>
  <c r="G69" i="3"/>
  <c r="F69" i="3"/>
  <c r="E69" i="3"/>
  <c r="D69" i="3"/>
  <c r="Q69" i="3" s="1"/>
  <c r="B69" i="3"/>
  <c r="Q68" i="3"/>
  <c r="G68" i="3"/>
  <c r="F68" i="3"/>
  <c r="E68" i="3"/>
  <c r="D68" i="3"/>
  <c r="B68" i="3"/>
  <c r="G67" i="3"/>
  <c r="F67" i="3"/>
  <c r="E67" i="3"/>
  <c r="D67" i="3"/>
  <c r="Q67" i="3" s="1"/>
  <c r="B67" i="3"/>
  <c r="Q66" i="3"/>
  <c r="G66" i="3"/>
  <c r="F66" i="3"/>
  <c r="E66" i="3"/>
  <c r="D66" i="3"/>
  <c r="B66" i="3"/>
  <c r="G65" i="3"/>
  <c r="F65" i="3"/>
  <c r="E65" i="3"/>
  <c r="D65" i="3"/>
  <c r="Q65" i="3" s="1"/>
  <c r="B65" i="3"/>
  <c r="Q64" i="3"/>
  <c r="G64" i="3"/>
  <c r="F64" i="3"/>
  <c r="E64" i="3"/>
  <c r="D64" i="3"/>
  <c r="B64" i="3"/>
  <c r="G63" i="3"/>
  <c r="F63" i="3"/>
  <c r="E63" i="3"/>
  <c r="D63" i="3"/>
  <c r="Q63" i="3" s="1"/>
  <c r="B63" i="3"/>
  <c r="Q62" i="3"/>
  <c r="G62" i="3"/>
  <c r="F62" i="3"/>
  <c r="E62" i="3"/>
  <c r="D62" i="3"/>
  <c r="B62" i="3"/>
  <c r="G61" i="3"/>
  <c r="F61" i="3"/>
  <c r="E61" i="3"/>
  <c r="D61" i="3"/>
  <c r="Q61" i="3" s="1"/>
  <c r="B61" i="3"/>
  <c r="Q60" i="3"/>
  <c r="G60" i="3"/>
  <c r="F60" i="3"/>
  <c r="E60" i="3"/>
  <c r="D60" i="3"/>
  <c r="B60" i="3"/>
  <c r="G59" i="3"/>
  <c r="F59" i="3"/>
  <c r="E59" i="3"/>
  <c r="D59" i="3"/>
  <c r="Q59" i="3" s="1"/>
  <c r="B59" i="3"/>
  <c r="Q58" i="3"/>
  <c r="G58" i="3"/>
  <c r="F58" i="3"/>
  <c r="E58" i="3"/>
  <c r="D58" i="3"/>
  <c r="B58" i="3"/>
  <c r="G57" i="3"/>
  <c r="F57" i="3"/>
  <c r="E57" i="3"/>
  <c r="D57" i="3"/>
  <c r="Q57" i="3" s="1"/>
  <c r="B57" i="3"/>
  <c r="Q56" i="3"/>
  <c r="G56" i="3"/>
  <c r="F56" i="3"/>
  <c r="E56" i="3"/>
  <c r="D56" i="3"/>
  <c r="B56" i="3"/>
  <c r="G55" i="3"/>
  <c r="F55" i="3"/>
  <c r="E55" i="3"/>
  <c r="D55" i="3"/>
  <c r="Q55" i="3" s="1"/>
  <c r="B55" i="3"/>
  <c r="Q54" i="3"/>
  <c r="G54" i="3"/>
  <c r="F54" i="3"/>
  <c r="E54" i="3"/>
  <c r="D54" i="3"/>
  <c r="B54" i="3"/>
  <c r="G53" i="3"/>
  <c r="F53" i="3"/>
  <c r="E53" i="3"/>
  <c r="D53" i="3"/>
  <c r="Q53" i="3" s="1"/>
  <c r="B53" i="3"/>
  <c r="Q52" i="3"/>
  <c r="G52" i="3"/>
  <c r="F52" i="3"/>
  <c r="E52" i="3"/>
  <c r="D52" i="3"/>
  <c r="B52" i="3"/>
  <c r="G51" i="3"/>
  <c r="F51" i="3"/>
  <c r="E51" i="3"/>
  <c r="D51" i="3"/>
  <c r="Q51" i="3" s="1"/>
  <c r="B51" i="3"/>
  <c r="Q50" i="3"/>
  <c r="G50" i="3"/>
  <c r="F50" i="3"/>
  <c r="E50" i="3"/>
  <c r="D50" i="3"/>
  <c r="B50" i="3"/>
  <c r="G49" i="3"/>
  <c r="F49" i="3"/>
  <c r="E49" i="3"/>
  <c r="D49" i="3"/>
  <c r="Q49" i="3" s="1"/>
  <c r="B49" i="3"/>
  <c r="Q48" i="3"/>
  <c r="G48" i="3"/>
  <c r="F48" i="3"/>
  <c r="E48" i="3"/>
  <c r="D48" i="3"/>
  <c r="B48" i="3"/>
  <c r="G47" i="3"/>
  <c r="F47" i="3"/>
  <c r="E47" i="3"/>
  <c r="D47" i="3"/>
  <c r="Q47" i="3" s="1"/>
  <c r="B47" i="3"/>
  <c r="Q46" i="3"/>
  <c r="G46" i="3"/>
  <c r="F46" i="3"/>
  <c r="E46" i="3"/>
  <c r="D46" i="3"/>
  <c r="B46" i="3"/>
  <c r="G45" i="3"/>
  <c r="F45" i="3"/>
  <c r="E45" i="3"/>
  <c r="D45" i="3"/>
  <c r="Q45" i="3" s="1"/>
  <c r="B45" i="3"/>
  <c r="Q44" i="3"/>
  <c r="G44" i="3"/>
  <c r="F44" i="3"/>
  <c r="E44" i="3"/>
  <c r="D44" i="3"/>
  <c r="B44" i="3"/>
  <c r="G43" i="3"/>
  <c r="F43" i="3"/>
  <c r="E43" i="3"/>
  <c r="D43" i="3"/>
  <c r="Q43" i="3" s="1"/>
  <c r="B43" i="3"/>
  <c r="Q42" i="3"/>
  <c r="G42" i="3"/>
  <c r="F42" i="3"/>
  <c r="E42" i="3"/>
  <c r="D42" i="3"/>
  <c r="B42" i="3"/>
  <c r="G41" i="3"/>
  <c r="F41" i="3"/>
  <c r="E41" i="3"/>
  <c r="D41" i="3"/>
  <c r="Q41" i="3" s="1"/>
  <c r="B41" i="3"/>
  <c r="Q40" i="3"/>
  <c r="G40" i="3"/>
  <c r="F40" i="3"/>
  <c r="E40" i="3"/>
  <c r="D40" i="3"/>
  <c r="B40" i="3"/>
  <c r="G39" i="3"/>
  <c r="F39" i="3"/>
  <c r="E39" i="3"/>
  <c r="D39" i="3"/>
  <c r="Q39" i="3" s="1"/>
  <c r="B39" i="3"/>
  <c r="Q38" i="3"/>
  <c r="G38" i="3"/>
  <c r="F38" i="3"/>
  <c r="E38" i="3"/>
  <c r="D38" i="3"/>
  <c r="B38" i="3"/>
  <c r="G37" i="3"/>
  <c r="F37" i="3"/>
  <c r="E37" i="3"/>
  <c r="D37" i="3"/>
  <c r="Q37" i="3" s="1"/>
  <c r="B37" i="3"/>
  <c r="Q36" i="3"/>
  <c r="G36" i="3"/>
  <c r="F36" i="3"/>
  <c r="E36" i="3"/>
  <c r="D36" i="3"/>
  <c r="B36" i="3"/>
  <c r="G35" i="3"/>
  <c r="F35" i="3"/>
  <c r="E35" i="3"/>
  <c r="D35" i="3"/>
  <c r="Q35" i="3" s="1"/>
  <c r="B35" i="3"/>
  <c r="Q34" i="3"/>
  <c r="G34" i="3"/>
  <c r="F34" i="3"/>
  <c r="E34" i="3"/>
  <c r="D34" i="3"/>
  <c r="B34" i="3"/>
  <c r="G33" i="3"/>
  <c r="F33" i="3"/>
  <c r="E33" i="3"/>
  <c r="D33" i="3"/>
  <c r="Q33" i="3" s="1"/>
  <c r="B33" i="3"/>
  <c r="Q32" i="3"/>
  <c r="G32" i="3"/>
  <c r="F32" i="3"/>
  <c r="E32" i="3"/>
  <c r="D32" i="3"/>
  <c r="B32" i="3"/>
  <c r="G31" i="3"/>
  <c r="F31" i="3"/>
  <c r="E31" i="3"/>
  <c r="D31" i="3"/>
  <c r="Q31" i="3" s="1"/>
  <c r="B31" i="3"/>
  <c r="Q30" i="3"/>
  <c r="G30" i="3"/>
  <c r="F30" i="3"/>
  <c r="E30" i="3"/>
  <c r="D30" i="3"/>
  <c r="B30" i="3"/>
  <c r="G29" i="3"/>
  <c r="F29" i="3"/>
  <c r="E29" i="3"/>
  <c r="D29" i="3"/>
  <c r="Q29" i="3" s="1"/>
  <c r="B29" i="3"/>
  <c r="Q28" i="3"/>
  <c r="G28" i="3"/>
  <c r="F28" i="3"/>
  <c r="E28" i="3"/>
  <c r="D28" i="3"/>
  <c r="B28" i="3"/>
  <c r="G27" i="3"/>
  <c r="F27" i="3"/>
  <c r="E27" i="3"/>
  <c r="D27" i="3"/>
  <c r="Q27" i="3" s="1"/>
  <c r="B27" i="3"/>
  <c r="Q26" i="3"/>
  <c r="G26" i="3"/>
  <c r="F26" i="3"/>
  <c r="E26" i="3"/>
  <c r="D26" i="3"/>
  <c r="B26" i="3"/>
  <c r="G25" i="3"/>
  <c r="F25" i="3"/>
  <c r="E25" i="3"/>
  <c r="D25" i="3"/>
  <c r="Q25" i="3" s="1"/>
  <c r="B25" i="3"/>
  <c r="Q24" i="3"/>
  <c r="G24" i="3"/>
  <c r="F24" i="3"/>
  <c r="E24" i="3"/>
  <c r="D24" i="3"/>
  <c r="B24" i="3"/>
  <c r="G23" i="3"/>
  <c r="F23" i="3"/>
  <c r="E23" i="3"/>
  <c r="D23" i="3"/>
  <c r="Q23" i="3" s="1"/>
  <c r="B23" i="3"/>
  <c r="Q22" i="3"/>
  <c r="G22" i="3"/>
  <c r="F22" i="3"/>
  <c r="E22" i="3"/>
  <c r="D22" i="3"/>
  <c r="B22" i="3"/>
  <c r="G21" i="3"/>
  <c r="F21" i="3"/>
  <c r="E21" i="3"/>
  <c r="D21" i="3"/>
  <c r="Q21" i="3" s="1"/>
  <c r="B21" i="3"/>
  <c r="Q20" i="3"/>
  <c r="G20" i="3"/>
  <c r="F20" i="3"/>
  <c r="E20" i="3"/>
  <c r="D20" i="3"/>
  <c r="B20" i="3"/>
  <c r="G19" i="3"/>
  <c r="F19" i="3"/>
  <c r="E19" i="3"/>
  <c r="D19" i="3"/>
  <c r="Q19" i="3" s="1"/>
  <c r="B19" i="3"/>
  <c r="Q18" i="3"/>
  <c r="G18" i="3"/>
  <c r="F18" i="3"/>
  <c r="E18" i="3"/>
  <c r="D18" i="3"/>
  <c r="B18" i="3"/>
  <c r="G17" i="3"/>
  <c r="F17" i="3"/>
  <c r="E17" i="3"/>
  <c r="D17" i="3"/>
  <c r="Q17" i="3" s="1"/>
  <c r="B17" i="3"/>
  <c r="Q16" i="3"/>
  <c r="G16" i="3"/>
  <c r="F16" i="3"/>
  <c r="E16" i="3"/>
  <c r="D16" i="3"/>
  <c r="B16" i="3"/>
  <c r="G15" i="3"/>
  <c r="F15" i="3"/>
  <c r="E15" i="3"/>
  <c r="D15" i="3"/>
  <c r="Q15" i="3" s="1"/>
  <c r="B15" i="3"/>
  <c r="Q14" i="3"/>
  <c r="G14" i="3"/>
  <c r="F14" i="3"/>
  <c r="E14" i="3"/>
  <c r="D14" i="3"/>
  <c r="B14" i="3"/>
  <c r="G13" i="3"/>
  <c r="F13" i="3"/>
  <c r="E13" i="3"/>
  <c r="D13" i="3"/>
  <c r="Q13" i="3" s="1"/>
  <c r="B13" i="3"/>
  <c r="Q12" i="3"/>
  <c r="G12" i="3"/>
  <c r="F12" i="3"/>
  <c r="E12" i="3"/>
  <c r="D12" i="3"/>
  <c r="B12" i="3"/>
  <c r="G11" i="3"/>
  <c r="G10" i="3" s="1"/>
  <c r="G137" i="3" s="1"/>
  <c r="F11" i="3"/>
  <c r="E11" i="3"/>
  <c r="D11" i="3"/>
  <c r="Q11" i="3" s="1"/>
  <c r="B11" i="3"/>
  <c r="O10" i="3"/>
  <c r="O137" i="3" s="1"/>
  <c r="N10" i="3"/>
  <c r="N137" i="3" s="1"/>
  <c r="M10" i="3"/>
  <c r="M137" i="3" s="1"/>
  <c r="L10" i="3"/>
  <c r="L137" i="3" s="1"/>
  <c r="K10" i="3"/>
  <c r="K137" i="3" s="1"/>
  <c r="J10" i="3"/>
  <c r="J137" i="3" s="1"/>
  <c r="I10" i="3"/>
  <c r="I137" i="3" s="1"/>
  <c r="H10" i="3"/>
  <c r="H137" i="3" s="1"/>
  <c r="F10" i="3"/>
  <c r="F137" i="3" s="1"/>
  <c r="E10" i="3"/>
  <c r="E137" i="3" s="1"/>
  <c r="D10" i="3"/>
  <c r="D137" i="3" s="1"/>
  <c r="O8" i="3"/>
  <c r="N8" i="3"/>
  <c r="M8" i="3"/>
  <c r="L8" i="3"/>
  <c r="K8" i="3"/>
  <c r="J8" i="3"/>
  <c r="I8" i="3"/>
  <c r="H8" i="3"/>
  <c r="G8" i="3"/>
  <c r="F8" i="3"/>
  <c r="E8" i="3"/>
  <c r="D8" i="3"/>
  <c r="B39" i="112"/>
  <c r="E33" i="112"/>
  <c r="G20" i="112"/>
  <c r="G10" i="112"/>
  <c r="E23" i="111"/>
  <c r="D19" i="111"/>
  <c r="E13" i="111"/>
  <c r="B39" i="110"/>
  <c r="E33" i="110"/>
  <c r="G20" i="110"/>
  <c r="G10" i="110"/>
  <c r="B38" i="112"/>
  <c r="D33" i="112"/>
  <c r="E20" i="112"/>
  <c r="G14" i="112"/>
  <c r="E10" i="112"/>
  <c r="D23" i="111"/>
  <c r="D13" i="111"/>
  <c r="B38" i="110"/>
  <c r="D33" i="110"/>
  <c r="E20" i="110"/>
  <c r="G14" i="110"/>
  <c r="E10" i="110"/>
  <c r="D20" i="112"/>
  <c r="E14" i="112"/>
  <c r="D10" i="112"/>
  <c r="G34" i="111"/>
  <c r="G28" i="111"/>
  <c r="G21" i="111"/>
  <c r="G11" i="111"/>
  <c r="D20" i="110"/>
  <c r="E14" i="110"/>
  <c r="D10" i="110"/>
  <c r="B20" i="112"/>
  <c r="D14" i="112"/>
  <c r="E8" i="112"/>
  <c r="E34" i="111"/>
  <c r="E28" i="111"/>
  <c r="E21" i="111"/>
  <c r="E11" i="111"/>
  <c r="B20" i="110"/>
  <c r="D14" i="110"/>
  <c r="E8" i="110"/>
  <c r="G19" i="112"/>
  <c r="B14" i="112"/>
  <c r="D8" i="112"/>
  <c r="D34" i="111"/>
  <c r="D28" i="111"/>
  <c r="D21" i="111"/>
  <c r="D11" i="111"/>
  <c r="G19" i="110"/>
  <c r="B14" i="110"/>
  <c r="D8" i="110"/>
  <c r="G23" i="112"/>
  <c r="E19" i="112"/>
  <c r="G13" i="112"/>
  <c r="B5" i="112"/>
  <c r="G33" i="111"/>
  <c r="B21" i="111"/>
  <c r="B11" i="111"/>
  <c r="G23" i="110"/>
  <c r="E19" i="110"/>
  <c r="G13" i="110"/>
  <c r="B5" i="110"/>
  <c r="E23" i="112"/>
  <c r="D19" i="112"/>
  <c r="E13" i="112"/>
  <c r="B39" i="111"/>
  <c r="E33" i="111"/>
  <c r="G20" i="111"/>
  <c r="G10" i="111"/>
  <c r="E23" i="110"/>
  <c r="D19" i="110"/>
  <c r="E13" i="110"/>
  <c r="D23" i="112"/>
  <c r="D13" i="112"/>
  <c r="B38" i="111"/>
  <c r="D33" i="111"/>
  <c r="E20" i="111"/>
  <c r="G14" i="111"/>
  <c r="E10" i="111"/>
  <c r="D23" i="110"/>
  <c r="D13" i="110"/>
  <c r="G34" i="112"/>
  <c r="G28" i="112"/>
  <c r="G21" i="112"/>
  <c r="G11" i="112"/>
  <c r="D20" i="111"/>
  <c r="E14" i="111"/>
  <c r="D10" i="111"/>
  <c r="G34" i="110"/>
  <c r="G28" i="110"/>
  <c r="G21" i="110"/>
  <c r="G11" i="110"/>
  <c r="E34" i="112"/>
  <c r="E28" i="112"/>
  <c r="E21" i="112"/>
  <c r="E11" i="112"/>
  <c r="B20" i="111"/>
  <c r="D14" i="111"/>
  <c r="E8" i="111"/>
  <c r="E34" i="110"/>
  <c r="E28" i="110"/>
  <c r="E21" i="110"/>
  <c r="E11" i="110"/>
  <c r="D34" i="112"/>
  <c r="D28" i="112"/>
  <c r="D21" i="112"/>
  <c r="D11" i="112"/>
  <c r="G19" i="111"/>
  <c r="B14" i="111"/>
  <c r="D8" i="111"/>
  <c r="D34" i="110"/>
  <c r="D28" i="110"/>
  <c r="D21" i="110"/>
  <c r="D11" i="110"/>
  <c r="G33" i="112"/>
  <c r="B21" i="112"/>
  <c r="B11" i="112"/>
  <c r="G23" i="111"/>
  <c r="E19" i="111"/>
  <c r="G13" i="111"/>
  <c r="B5" i="111"/>
  <c r="G33" i="110"/>
  <c r="B21" i="110"/>
  <c r="B11" i="110"/>
  <c r="G23" i="53"/>
  <c r="E19" i="53"/>
  <c r="G13" i="53"/>
  <c r="B39" i="52"/>
  <c r="E33" i="52"/>
  <c r="G20" i="52"/>
  <c r="G10" i="52"/>
  <c r="E23" i="50"/>
  <c r="D19" i="50"/>
  <c r="E13" i="50"/>
  <c r="B38" i="49"/>
  <c r="D33" i="49"/>
  <c r="E20" i="49"/>
  <c r="G14" i="49"/>
  <c r="E10" i="49"/>
  <c r="G33" i="47"/>
  <c r="B21" i="47"/>
  <c r="B11" i="47"/>
  <c r="E23" i="46"/>
  <c r="D19" i="46"/>
  <c r="E13" i="46"/>
  <c r="G34" i="44"/>
  <c r="G28" i="44"/>
  <c r="G21" i="44"/>
  <c r="G11" i="44"/>
  <c r="B20" i="43"/>
  <c r="D14" i="43"/>
  <c r="E8" i="43"/>
  <c r="E23" i="53"/>
  <c r="D19" i="53"/>
  <c r="E13" i="53"/>
  <c r="B38" i="52"/>
  <c r="D33" i="52"/>
  <c r="E20" i="52"/>
  <c r="G14" i="52"/>
  <c r="E10" i="52"/>
  <c r="D23" i="50"/>
  <c r="D13" i="50"/>
  <c r="D20" i="49"/>
  <c r="E14" i="49"/>
  <c r="D10" i="49"/>
  <c r="B39" i="47"/>
  <c r="E33" i="47"/>
  <c r="G20" i="47"/>
  <c r="G10" i="47"/>
  <c r="D23" i="46"/>
  <c r="D13" i="46"/>
  <c r="E34" i="44"/>
  <c r="E28" i="44"/>
  <c r="E21" i="44"/>
  <c r="E11" i="44"/>
  <c r="G19" i="43"/>
  <c r="B14" i="43"/>
  <c r="D8" i="43"/>
  <c r="D23" i="53"/>
  <c r="D13" i="53"/>
  <c r="D20" i="52"/>
  <c r="E14" i="52"/>
  <c r="D10" i="52"/>
  <c r="G34" i="50"/>
  <c r="G28" i="50"/>
  <c r="G21" i="50"/>
  <c r="G11" i="50"/>
  <c r="B20" i="49"/>
  <c r="D14" i="49"/>
  <c r="E8" i="49"/>
  <c r="B38" i="47"/>
  <c r="D33" i="47"/>
  <c r="E20" i="47"/>
  <c r="G14" i="47"/>
  <c r="E10" i="47"/>
  <c r="G34" i="46"/>
  <c r="G28" i="46"/>
  <c r="G21" i="46"/>
  <c r="G11" i="46"/>
  <c r="D34" i="44"/>
  <c r="D28" i="44"/>
  <c r="D21" i="44"/>
  <c r="D11" i="44"/>
  <c r="G23" i="43"/>
  <c r="E19" i="43"/>
  <c r="G13" i="43"/>
  <c r="G34" i="53"/>
  <c r="G28" i="53"/>
  <c r="G21" i="53"/>
  <c r="G11" i="53"/>
  <c r="B20" i="52"/>
  <c r="D14" i="52"/>
  <c r="E8" i="52"/>
  <c r="E34" i="50"/>
  <c r="E28" i="50"/>
  <c r="E21" i="50"/>
  <c r="E11" i="50"/>
  <c r="G19" i="49"/>
  <c r="B14" i="49"/>
  <c r="D8" i="49"/>
  <c r="E34" i="53"/>
  <c r="E28" i="53"/>
  <c r="E21" i="53"/>
  <c r="E11" i="53"/>
  <c r="G19" i="52"/>
  <c r="B14" i="52"/>
  <c r="D8" i="52"/>
  <c r="D34" i="53"/>
  <c r="D28" i="53"/>
  <c r="D21" i="53"/>
  <c r="D11" i="53"/>
  <c r="G23" i="52"/>
  <c r="E19" i="52"/>
  <c r="G13" i="52"/>
  <c r="G33" i="50"/>
  <c r="B21" i="50"/>
  <c r="B11" i="50"/>
  <c r="E23" i="49"/>
  <c r="D19" i="49"/>
  <c r="E13" i="49"/>
  <c r="G19" i="47"/>
  <c r="B14" i="47"/>
  <c r="D8" i="47"/>
  <c r="G33" i="46"/>
  <c r="B21" i="46"/>
  <c r="B11" i="46"/>
  <c r="B38" i="44"/>
  <c r="D33" i="44"/>
  <c r="E20" i="44"/>
  <c r="G14" i="44"/>
  <c r="E10" i="44"/>
  <c r="G34" i="43"/>
  <c r="G28" i="43"/>
  <c r="G21" i="43"/>
  <c r="G11" i="43"/>
  <c r="G33" i="53"/>
  <c r="B21" i="53"/>
  <c r="B11" i="53"/>
  <c r="E23" i="52"/>
  <c r="D19" i="52"/>
  <c r="E13" i="52"/>
  <c r="B39" i="50"/>
  <c r="E33" i="50"/>
  <c r="G20" i="50"/>
  <c r="G10" i="50"/>
  <c r="D23" i="49"/>
  <c r="D13" i="49"/>
  <c r="B39" i="53"/>
  <c r="E33" i="53"/>
  <c r="G20" i="53"/>
  <c r="G10" i="53"/>
  <c r="D23" i="52"/>
  <c r="D13" i="52"/>
  <c r="B38" i="50"/>
  <c r="D33" i="50"/>
  <c r="E20" i="50"/>
  <c r="G14" i="50"/>
  <c r="E10" i="50"/>
  <c r="G34" i="49"/>
  <c r="G28" i="49"/>
  <c r="G21" i="49"/>
  <c r="G11" i="49"/>
  <c r="E23" i="47"/>
  <c r="D19" i="47"/>
  <c r="E13" i="47"/>
  <c r="B38" i="46"/>
  <c r="D33" i="46"/>
  <c r="E20" i="46"/>
  <c r="G14" i="46"/>
  <c r="E10" i="46"/>
  <c r="B20" i="44"/>
  <c r="D14" i="44"/>
  <c r="E8" i="44"/>
  <c r="D34" i="43"/>
  <c r="D28" i="43"/>
  <c r="D21" i="43"/>
  <c r="D11" i="43"/>
  <c r="B14" i="53"/>
  <c r="B11" i="52"/>
  <c r="E10" i="53"/>
  <c r="G21" i="52"/>
  <c r="D11" i="50"/>
  <c r="D28" i="49"/>
  <c r="D8" i="46"/>
  <c r="G20" i="44"/>
  <c r="D13" i="44"/>
  <c r="E33" i="43"/>
  <c r="E21" i="43"/>
  <c r="E13" i="43"/>
  <c r="D10" i="53"/>
  <c r="E21" i="52"/>
  <c r="G23" i="50"/>
  <c r="D10" i="50"/>
  <c r="G13" i="49"/>
  <c r="G34" i="47"/>
  <c r="G23" i="47"/>
  <c r="E14" i="47"/>
  <c r="E8" i="53"/>
  <c r="D21" i="52"/>
  <c r="D21" i="50"/>
  <c r="E8" i="50"/>
  <c r="E11" i="49"/>
  <c r="E34" i="47"/>
  <c r="D23" i="47"/>
  <c r="D14" i="47"/>
  <c r="G19" i="44"/>
  <c r="G10" i="44"/>
  <c r="G20" i="43"/>
  <c r="E11" i="43"/>
  <c r="D8" i="53"/>
  <c r="B21" i="52"/>
  <c r="D20" i="50"/>
  <c r="D8" i="50"/>
  <c r="G23" i="49"/>
  <c r="D11" i="49"/>
  <c r="D34" i="47"/>
  <c r="G21" i="47"/>
  <c r="G13" i="47"/>
  <c r="E34" i="46"/>
  <c r="E14" i="46"/>
  <c r="B38" i="53"/>
  <c r="E20" i="53"/>
  <c r="G34" i="52"/>
  <c r="D34" i="50"/>
  <c r="B20" i="50"/>
  <c r="B39" i="49"/>
  <c r="E21" i="49"/>
  <c r="B11" i="49"/>
  <c r="E21" i="47"/>
  <c r="D13" i="47"/>
  <c r="D34" i="46"/>
  <c r="G23" i="46"/>
  <c r="D14" i="46"/>
  <c r="D19" i="44"/>
  <c r="D8" i="44"/>
  <c r="D20" i="43"/>
  <c r="G10" i="43"/>
  <c r="D20" i="53"/>
  <c r="E34" i="52"/>
  <c r="D33" i="53"/>
  <c r="G14" i="53"/>
  <c r="G28" i="52"/>
  <c r="G11" i="52"/>
  <c r="E14" i="50"/>
  <c r="G33" i="49"/>
  <c r="E19" i="49"/>
  <c r="G28" i="47"/>
  <c r="E19" i="47"/>
  <c r="D10" i="47"/>
  <c r="D20" i="46"/>
  <c r="D11" i="46"/>
  <c r="G23" i="44"/>
  <c r="E14" i="44"/>
  <c r="E14" i="53"/>
  <c r="E28" i="52"/>
  <c r="E11" i="52"/>
  <c r="D28" i="50"/>
  <c r="D14" i="50"/>
  <c r="E33" i="49"/>
  <c r="E28" i="47"/>
  <c r="E8" i="47"/>
  <c r="B20" i="46"/>
  <c r="G10" i="46"/>
  <c r="G33" i="44"/>
  <c r="E23" i="44"/>
  <c r="B14" i="44"/>
  <c r="G33" i="41"/>
  <c r="B21" i="41"/>
  <c r="B11" i="41"/>
  <c r="D14" i="53"/>
  <c r="D28" i="52"/>
  <c r="D11" i="52"/>
  <c r="B14" i="50"/>
  <c r="D28" i="47"/>
  <c r="B39" i="46"/>
  <c r="E28" i="46"/>
  <c r="G19" i="46"/>
  <c r="D10" i="46"/>
  <c r="E33" i="44"/>
  <c r="D23" i="44"/>
  <c r="G13" i="44"/>
  <c r="E34" i="43"/>
  <c r="E23" i="43"/>
  <c r="G14" i="43"/>
  <c r="D34" i="52"/>
  <c r="D34" i="49"/>
  <c r="B39" i="44"/>
  <c r="E19" i="44"/>
  <c r="B11" i="43"/>
  <c r="D34" i="41"/>
  <c r="E20" i="41"/>
  <c r="E14" i="41"/>
  <c r="E8" i="41"/>
  <c r="G33" i="40"/>
  <c r="B21" i="40"/>
  <c r="B11" i="40"/>
  <c r="G33" i="38"/>
  <c r="B21" i="38"/>
  <c r="B11" i="38"/>
  <c r="E23" i="37"/>
  <c r="D19" i="37"/>
  <c r="E13" i="37"/>
  <c r="G19" i="35"/>
  <c r="B14" i="35"/>
  <c r="D8" i="35"/>
  <c r="G33" i="34"/>
  <c r="B21" i="34"/>
  <c r="B11" i="34"/>
  <c r="B20" i="32"/>
  <c r="D14" i="32"/>
  <c r="E8" i="32"/>
  <c r="D34" i="31"/>
  <c r="D28" i="31"/>
  <c r="D21" i="31"/>
  <c r="D11" i="31"/>
  <c r="G33" i="52"/>
  <c r="E28" i="49"/>
  <c r="D28" i="46"/>
  <c r="E28" i="43"/>
  <c r="E10" i="43"/>
  <c r="E33" i="41"/>
  <c r="D20" i="41"/>
  <c r="D14" i="41"/>
  <c r="D8" i="41"/>
  <c r="E33" i="40"/>
  <c r="G20" i="40"/>
  <c r="G10" i="40"/>
  <c r="B39" i="38"/>
  <c r="E33" i="38"/>
  <c r="G20" i="38"/>
  <c r="G10" i="38"/>
  <c r="D23" i="37"/>
  <c r="D13" i="37"/>
  <c r="G23" i="35"/>
  <c r="E19" i="35"/>
  <c r="G13" i="35"/>
  <c r="B39" i="34"/>
  <c r="E33" i="34"/>
  <c r="G20" i="34"/>
  <c r="G10" i="34"/>
  <c r="G19" i="32"/>
  <c r="B14" i="32"/>
  <c r="D8" i="32"/>
  <c r="G33" i="31"/>
  <c r="B21" i="31"/>
  <c r="B11" i="31"/>
  <c r="D21" i="49"/>
  <c r="D21" i="47"/>
  <c r="E21" i="46"/>
  <c r="D10" i="43"/>
  <c r="B39" i="41"/>
  <c r="D33" i="41"/>
  <c r="B20" i="41"/>
  <c r="B14" i="41"/>
  <c r="B39" i="40"/>
  <c r="D33" i="40"/>
  <c r="E20" i="40"/>
  <c r="G14" i="40"/>
  <c r="E10" i="40"/>
  <c r="B38" i="38"/>
  <c r="D33" i="38"/>
  <c r="E20" i="38"/>
  <c r="G14" i="38"/>
  <c r="E10" i="38"/>
  <c r="G34" i="37"/>
  <c r="G28" i="37"/>
  <c r="G21" i="37"/>
  <c r="G11" i="37"/>
  <c r="E23" i="35"/>
  <c r="D19" i="35"/>
  <c r="E13" i="35"/>
  <c r="B38" i="34"/>
  <c r="D33" i="34"/>
  <c r="E20" i="34"/>
  <c r="G14" i="34"/>
  <c r="E10" i="34"/>
  <c r="B21" i="49"/>
  <c r="D20" i="47"/>
  <c r="D21" i="46"/>
  <c r="B38" i="41"/>
  <c r="G19" i="41"/>
  <c r="G13" i="41"/>
  <c r="B38" i="40"/>
  <c r="D20" i="40"/>
  <c r="E14" i="40"/>
  <c r="D10" i="40"/>
  <c r="D20" i="38"/>
  <c r="E14" i="38"/>
  <c r="D10" i="38"/>
  <c r="E34" i="37"/>
  <c r="E28" i="37"/>
  <c r="E21" i="37"/>
  <c r="E11" i="37"/>
  <c r="D23" i="35"/>
  <c r="D13" i="35"/>
  <c r="D20" i="34"/>
  <c r="E14" i="34"/>
  <c r="D10" i="34"/>
  <c r="E23" i="32"/>
  <c r="D19" i="32"/>
  <c r="E13" i="32"/>
  <c r="B38" i="31"/>
  <c r="D33" i="31"/>
  <c r="E20" i="31"/>
  <c r="G14" i="31"/>
  <c r="E10" i="31"/>
  <c r="G20" i="49"/>
  <c r="B20" i="47"/>
  <c r="G20" i="46"/>
  <c r="E13" i="44"/>
  <c r="D23" i="43"/>
  <c r="E19" i="41"/>
  <c r="E13" i="41"/>
  <c r="B20" i="40"/>
  <c r="D14" i="40"/>
  <c r="E8" i="40"/>
  <c r="E19" i="46"/>
  <c r="B11" i="44"/>
  <c r="B21" i="43"/>
  <c r="G23" i="41"/>
  <c r="D19" i="41"/>
  <c r="D13" i="41"/>
  <c r="G19" i="40"/>
  <c r="B14" i="40"/>
  <c r="D8" i="40"/>
  <c r="G19" i="38"/>
  <c r="B14" i="38"/>
  <c r="D8" i="38"/>
  <c r="G33" i="37"/>
  <c r="B21" i="37"/>
  <c r="B11" i="37"/>
  <c r="E34" i="35"/>
  <c r="E28" i="35"/>
  <c r="E21" i="35"/>
  <c r="E11" i="35"/>
  <c r="G19" i="34"/>
  <c r="B14" i="34"/>
  <c r="D8" i="34"/>
  <c r="G34" i="32"/>
  <c r="G28" i="32"/>
  <c r="G21" i="32"/>
  <c r="G11" i="32"/>
  <c r="B20" i="31"/>
  <c r="D14" i="31"/>
  <c r="E8" i="31"/>
  <c r="G19" i="50"/>
  <c r="G10" i="49"/>
  <c r="G11" i="47"/>
  <c r="B14" i="46"/>
  <c r="D10" i="44"/>
  <c r="E20" i="43"/>
  <c r="E23" i="41"/>
  <c r="G11" i="41"/>
  <c r="G23" i="40"/>
  <c r="E19" i="40"/>
  <c r="G13" i="40"/>
  <c r="G23" i="38"/>
  <c r="E19" i="38"/>
  <c r="G13" i="38"/>
  <c r="B39" i="37"/>
  <c r="E33" i="37"/>
  <c r="G20" i="37"/>
  <c r="G10" i="37"/>
  <c r="D34" i="35"/>
  <c r="D28" i="35"/>
  <c r="D21" i="35"/>
  <c r="D11" i="35"/>
  <c r="G23" i="34"/>
  <c r="E19" i="34"/>
  <c r="G13" i="34"/>
  <c r="E34" i="32"/>
  <c r="E28" i="32"/>
  <c r="E21" i="32"/>
  <c r="E11" i="32"/>
  <c r="G19" i="31"/>
  <c r="B14" i="31"/>
  <c r="D8" i="31"/>
  <c r="G13" i="50"/>
  <c r="E8" i="46"/>
  <c r="G28" i="41"/>
  <c r="E21" i="41"/>
  <c r="G10" i="41"/>
  <c r="G34" i="40"/>
  <c r="G28" i="40"/>
  <c r="G21" i="40"/>
  <c r="G11" i="40"/>
  <c r="G34" i="38"/>
  <c r="G28" i="38"/>
  <c r="G21" i="38"/>
  <c r="G11" i="38"/>
  <c r="B20" i="37"/>
  <c r="D14" i="37"/>
  <c r="E8" i="37"/>
  <c r="B38" i="35"/>
  <c r="D33" i="35"/>
  <c r="E20" i="35"/>
  <c r="G14" i="35"/>
  <c r="E10" i="35"/>
  <c r="G34" i="34"/>
  <c r="G28" i="34"/>
  <c r="G21" i="34"/>
  <c r="G11" i="34"/>
  <c r="B39" i="32"/>
  <c r="E33" i="32"/>
  <c r="G20" i="32"/>
  <c r="G19" i="53"/>
  <c r="E34" i="49"/>
  <c r="D20" i="44"/>
  <c r="D33" i="43"/>
  <c r="D13" i="43"/>
  <c r="E34" i="41"/>
  <c r="D28" i="41"/>
  <c r="G20" i="41"/>
  <c r="G14" i="41"/>
  <c r="D10" i="41"/>
  <c r="D34" i="40"/>
  <c r="D28" i="40"/>
  <c r="D21" i="40"/>
  <c r="D11" i="40"/>
  <c r="D34" i="38"/>
  <c r="D28" i="38"/>
  <c r="D21" i="38"/>
  <c r="D11" i="38"/>
  <c r="G23" i="37"/>
  <c r="E19" i="37"/>
  <c r="G13" i="37"/>
  <c r="B20" i="35"/>
  <c r="D14" i="35"/>
  <c r="E8" i="35"/>
  <c r="D34" i="34"/>
  <c r="D28" i="34"/>
  <c r="D21" i="34"/>
  <c r="D11" i="34"/>
  <c r="E14" i="43"/>
  <c r="G34" i="41"/>
  <c r="E10" i="41"/>
  <c r="E34" i="38"/>
  <c r="B14" i="37"/>
  <c r="B11" i="35"/>
  <c r="E23" i="34"/>
  <c r="D34" i="32"/>
  <c r="D21" i="32"/>
  <c r="D11" i="32"/>
  <c r="E33" i="31"/>
  <c r="G21" i="31"/>
  <c r="E13" i="31"/>
  <c r="E23" i="29"/>
  <c r="D19" i="29"/>
  <c r="E13" i="29"/>
  <c r="B38" i="28"/>
  <c r="D33" i="28"/>
  <c r="E20" i="28"/>
  <c r="G14" i="28"/>
  <c r="E10" i="28"/>
  <c r="G23" i="26"/>
  <c r="E19" i="26"/>
  <c r="G13" i="26"/>
  <c r="B39" i="25"/>
  <c r="E33" i="25"/>
  <c r="G20" i="25"/>
  <c r="G10" i="25"/>
  <c r="B39" i="23"/>
  <c r="E33" i="23"/>
  <c r="G20" i="23"/>
  <c r="G10" i="23"/>
  <c r="D23" i="22"/>
  <c r="D13" i="22"/>
  <c r="B38" i="20"/>
  <c r="D33" i="20"/>
  <c r="E20" i="20"/>
  <c r="G14" i="20"/>
  <c r="E10" i="20"/>
  <c r="G34" i="19"/>
  <c r="G28" i="19"/>
  <c r="G21" i="19"/>
  <c r="G11" i="19"/>
  <c r="E13" i="40"/>
  <c r="D14" i="38"/>
  <c r="D28" i="37"/>
  <c r="D11" i="37"/>
  <c r="G10" i="35"/>
  <c r="D23" i="34"/>
  <c r="G33" i="32"/>
  <c r="B21" i="32"/>
  <c r="B11" i="32"/>
  <c r="E21" i="31"/>
  <c r="D13" i="31"/>
  <c r="D23" i="29"/>
  <c r="D13" i="29"/>
  <c r="D20" i="28"/>
  <c r="E14" i="28"/>
  <c r="D10" i="28"/>
  <c r="E23" i="26"/>
  <c r="D19" i="26"/>
  <c r="E13" i="26"/>
  <c r="B38" i="25"/>
  <c r="D33" i="25"/>
  <c r="E20" i="25"/>
  <c r="G14" i="25"/>
  <c r="E10" i="25"/>
  <c r="B38" i="23"/>
  <c r="D33" i="23"/>
  <c r="E20" i="23"/>
  <c r="G14" i="23"/>
  <c r="E10" i="23"/>
  <c r="G34" i="22"/>
  <c r="G28" i="22"/>
  <c r="G21" i="22"/>
  <c r="G11" i="22"/>
  <c r="D20" i="20"/>
  <c r="E14" i="20"/>
  <c r="D10" i="20"/>
  <c r="E34" i="19"/>
  <c r="E28" i="19"/>
  <c r="E21" i="19"/>
  <c r="E11" i="19"/>
  <c r="B20" i="17"/>
  <c r="D14" i="17"/>
  <c r="E8" i="17"/>
  <c r="D34" i="16"/>
  <c r="D28" i="16"/>
  <c r="D21" i="16"/>
  <c r="D11" i="16"/>
  <c r="D13" i="40"/>
  <c r="E13" i="38"/>
  <c r="E10" i="37"/>
  <c r="D10" i="35"/>
  <c r="E21" i="34"/>
  <c r="D33" i="32"/>
  <c r="E20" i="32"/>
  <c r="G10" i="32"/>
  <c r="G20" i="31"/>
  <c r="G11" i="31"/>
  <c r="G34" i="29"/>
  <c r="G28" i="29"/>
  <c r="G21" i="29"/>
  <c r="G11" i="29"/>
  <c r="B20" i="28"/>
  <c r="D14" i="28"/>
  <c r="E8" i="28"/>
  <c r="D23" i="26"/>
  <c r="D13" i="26"/>
  <c r="D20" i="25"/>
  <c r="E14" i="25"/>
  <c r="D10" i="25"/>
  <c r="D20" i="23"/>
  <c r="E14" i="23"/>
  <c r="D10" i="23"/>
  <c r="E34" i="22"/>
  <c r="E28" i="22"/>
  <c r="E21" i="22"/>
  <c r="E11" i="22"/>
  <c r="B20" i="20"/>
  <c r="D14" i="20"/>
  <c r="E8" i="20"/>
  <c r="D34" i="19"/>
  <c r="D28" i="19"/>
  <c r="D21" i="19"/>
  <c r="D11" i="19"/>
  <c r="E11" i="47"/>
  <c r="E28" i="41"/>
  <c r="E34" i="40"/>
  <c r="E11" i="40"/>
  <c r="D13" i="38"/>
  <c r="D10" i="37"/>
  <c r="G21" i="35"/>
  <c r="B20" i="34"/>
  <c r="D20" i="32"/>
  <c r="E10" i="32"/>
  <c r="D20" i="31"/>
  <c r="E11" i="31"/>
  <c r="E34" i="29"/>
  <c r="E28" i="29"/>
  <c r="E21" i="29"/>
  <c r="E11" i="29"/>
  <c r="G19" i="28"/>
  <c r="B14" i="28"/>
  <c r="D8" i="28"/>
  <c r="G34" i="26"/>
  <c r="G28" i="26"/>
  <c r="G21" i="26"/>
  <c r="G11" i="26"/>
  <c r="B20" i="25"/>
  <c r="D14" i="25"/>
  <c r="E8" i="25"/>
  <c r="B20" i="23"/>
  <c r="D14" i="23"/>
  <c r="E8" i="23"/>
  <c r="D34" i="22"/>
  <c r="D28" i="22"/>
  <c r="D21" i="22"/>
  <c r="D11" i="22"/>
  <c r="G19" i="20"/>
  <c r="B14" i="20"/>
  <c r="D8" i="20"/>
  <c r="G33" i="19"/>
  <c r="B21" i="19"/>
  <c r="B11" i="19"/>
  <c r="D11" i="47"/>
  <c r="D23" i="41"/>
  <c r="E28" i="38"/>
  <c r="E11" i="38"/>
  <c r="D8" i="37"/>
  <c r="B21" i="35"/>
  <c r="D19" i="34"/>
  <c r="E19" i="32"/>
  <c r="D10" i="32"/>
  <c r="E19" i="31"/>
  <c r="G10" i="31"/>
  <c r="D34" i="29"/>
  <c r="D28" i="29"/>
  <c r="D21" i="29"/>
  <c r="D11" i="29"/>
  <c r="G23" i="28"/>
  <c r="E19" i="28"/>
  <c r="G13" i="28"/>
  <c r="E34" i="26"/>
  <c r="E28" i="26"/>
  <c r="E21" i="26"/>
  <c r="E11" i="26"/>
  <c r="G19" i="25"/>
  <c r="B14" i="25"/>
  <c r="D8" i="25"/>
  <c r="G19" i="23"/>
  <c r="B14" i="23"/>
  <c r="D8" i="23"/>
  <c r="G33" i="22"/>
  <c r="B21" i="22"/>
  <c r="B11" i="22"/>
  <c r="E33" i="46"/>
  <c r="G21" i="41"/>
  <c r="E8" i="38"/>
  <c r="D21" i="37"/>
  <c r="E11" i="46"/>
  <c r="B39" i="43"/>
  <c r="E23" i="40"/>
  <c r="D23" i="38"/>
  <c r="D20" i="37"/>
  <c r="G34" i="35"/>
  <c r="D14" i="34"/>
  <c r="B38" i="29"/>
  <c r="D33" i="29"/>
  <c r="E20" i="29"/>
  <c r="G14" i="29"/>
  <c r="E10" i="29"/>
  <c r="G34" i="28"/>
  <c r="G28" i="28"/>
  <c r="G21" i="28"/>
  <c r="G11" i="28"/>
  <c r="B39" i="26"/>
  <c r="E33" i="26"/>
  <c r="G20" i="26"/>
  <c r="G10" i="26"/>
  <c r="D23" i="25"/>
  <c r="D13" i="25"/>
  <c r="D23" i="23"/>
  <c r="D13" i="23"/>
  <c r="D20" i="22"/>
  <c r="E14" i="22"/>
  <c r="D10" i="22"/>
  <c r="G34" i="20"/>
  <c r="G28" i="20"/>
  <c r="G21" i="20"/>
  <c r="G11" i="20"/>
  <c r="B20" i="19"/>
  <c r="D14" i="19"/>
  <c r="E8" i="19"/>
  <c r="E34" i="17"/>
  <c r="E28" i="17"/>
  <c r="E21" i="17"/>
  <c r="E11" i="17"/>
  <c r="G19" i="16"/>
  <c r="B14" i="16"/>
  <c r="D8" i="16"/>
  <c r="G33" i="43"/>
  <c r="E21" i="40"/>
  <c r="B20" i="38"/>
  <c r="D34" i="37"/>
  <c r="E33" i="35"/>
  <c r="D13" i="34"/>
  <c r="E14" i="32"/>
  <c r="G23" i="31"/>
  <c r="B20" i="29"/>
  <c r="D14" i="29"/>
  <c r="E8" i="29"/>
  <c r="D34" i="28"/>
  <c r="D28" i="28"/>
  <c r="D21" i="28"/>
  <c r="D11" i="28"/>
  <c r="D20" i="26"/>
  <c r="E14" i="26"/>
  <c r="D10" i="26"/>
  <c r="E34" i="25"/>
  <c r="E28" i="25"/>
  <c r="E21" i="25"/>
  <c r="E11" i="25"/>
  <c r="E34" i="23"/>
  <c r="E28" i="23"/>
  <c r="E21" i="23"/>
  <c r="E11" i="23"/>
  <c r="G19" i="22"/>
  <c r="B14" i="22"/>
  <c r="D8" i="22"/>
  <c r="D34" i="20"/>
  <c r="D28" i="20"/>
  <c r="D21" i="20"/>
  <c r="D11" i="20"/>
  <c r="G23" i="19"/>
  <c r="E19" i="19"/>
  <c r="G13" i="19"/>
  <c r="E19" i="50"/>
  <c r="D19" i="43"/>
  <c r="E11" i="41"/>
  <c r="D19" i="40"/>
  <c r="D19" i="38"/>
  <c r="D33" i="37"/>
  <c r="G14" i="37"/>
  <c r="E14" i="35"/>
  <c r="E28" i="34"/>
  <c r="E11" i="34"/>
  <c r="G23" i="32"/>
  <c r="G13" i="32"/>
  <c r="G34" i="31"/>
  <c r="E23" i="31"/>
  <c r="E14" i="31"/>
  <c r="G19" i="29"/>
  <c r="B14" i="29"/>
  <c r="D8" i="29"/>
  <c r="G33" i="28"/>
  <c r="B21" i="28"/>
  <c r="B11" i="28"/>
  <c r="B20" i="26"/>
  <c r="D14" i="26"/>
  <c r="E8" i="26"/>
  <c r="D34" i="25"/>
  <c r="D28" i="25"/>
  <c r="D21" i="25"/>
  <c r="D11" i="25"/>
  <c r="D34" i="23"/>
  <c r="D28" i="23"/>
  <c r="D21" i="23"/>
  <c r="D11" i="23"/>
  <c r="G23" i="22"/>
  <c r="E19" i="22"/>
  <c r="G13" i="22"/>
  <c r="G33" i="20"/>
  <c r="B21" i="20"/>
  <c r="B11" i="20"/>
  <c r="E23" i="19"/>
  <c r="D19" i="19"/>
  <c r="E13" i="19"/>
  <c r="E28" i="40"/>
  <c r="D13" i="32"/>
  <c r="G13" i="31"/>
  <c r="G23" i="29"/>
  <c r="B39" i="28"/>
  <c r="G20" i="28"/>
  <c r="G19" i="26"/>
  <c r="G33" i="25"/>
  <c r="E13" i="23"/>
  <c r="E10" i="22"/>
  <c r="E28" i="20"/>
  <c r="G13" i="20"/>
  <c r="D33" i="17"/>
  <c r="E23" i="17"/>
  <c r="B11" i="17"/>
  <c r="G34" i="16"/>
  <c r="E20" i="16"/>
  <c r="D14" i="16"/>
  <c r="G23" i="14"/>
  <c r="E19" i="14"/>
  <c r="G13" i="14"/>
  <c r="B39" i="13"/>
  <c r="E33" i="13"/>
  <c r="G20" i="13"/>
  <c r="G10" i="13"/>
  <c r="D20" i="11"/>
  <c r="E14" i="11"/>
  <c r="D10" i="11"/>
  <c r="E34" i="10"/>
  <c r="E28" i="10"/>
  <c r="E21" i="10"/>
  <c r="E11" i="10"/>
  <c r="D23" i="40"/>
  <c r="B39" i="31"/>
  <c r="D10" i="31"/>
  <c r="B21" i="29"/>
  <c r="D19" i="28"/>
  <c r="D34" i="26"/>
  <c r="G13" i="25"/>
  <c r="G28" i="23"/>
  <c r="G11" i="23"/>
  <c r="E8" i="22"/>
  <c r="E13" i="20"/>
  <c r="D23" i="17"/>
  <c r="G10" i="17"/>
  <c r="E34" i="16"/>
  <c r="D20" i="16"/>
  <c r="G13" i="16"/>
  <c r="E23" i="14"/>
  <c r="D19" i="14"/>
  <c r="E13" i="14"/>
  <c r="B38" i="13"/>
  <c r="D33" i="13"/>
  <c r="E20" i="13"/>
  <c r="G14" i="13"/>
  <c r="E10" i="13"/>
  <c r="B20" i="11"/>
  <c r="D14" i="11"/>
  <c r="E8" i="11"/>
  <c r="D34" i="10"/>
  <c r="D28" i="10"/>
  <c r="D21" i="10"/>
  <c r="D11" i="10"/>
  <c r="G34" i="8"/>
  <c r="G28" i="8"/>
  <c r="G21" i="8"/>
  <c r="G11" i="8"/>
  <c r="B20" i="7"/>
  <c r="D14" i="7"/>
  <c r="E8" i="7"/>
  <c r="B20" i="5"/>
  <c r="D14" i="5"/>
  <c r="E8" i="5"/>
  <c r="D34" i="4"/>
  <c r="D28" i="4"/>
  <c r="D21" i="4"/>
  <c r="D11" i="4"/>
  <c r="E23" i="38"/>
  <c r="B39" i="35"/>
  <c r="B39" i="29"/>
  <c r="G20" i="29"/>
  <c r="G33" i="26"/>
  <c r="E13" i="25"/>
  <c r="B11" i="23"/>
  <c r="E23" i="22"/>
  <c r="G23" i="20"/>
  <c r="D13" i="20"/>
  <c r="G14" i="19"/>
  <c r="B39" i="17"/>
  <c r="G21" i="17"/>
  <c r="E10" i="17"/>
  <c r="G33" i="16"/>
  <c r="B20" i="16"/>
  <c r="E13" i="16"/>
  <c r="D23" i="14"/>
  <c r="D13" i="14"/>
  <c r="D20" i="13"/>
  <c r="E14" i="13"/>
  <c r="D10" i="13"/>
  <c r="G19" i="11"/>
  <c r="B14" i="11"/>
  <c r="D8" i="11"/>
  <c r="G33" i="10"/>
  <c r="B21" i="10"/>
  <c r="B11" i="10"/>
  <c r="E34" i="8"/>
  <c r="E28" i="8"/>
  <c r="E21" i="8"/>
  <c r="E11" i="8"/>
  <c r="G19" i="7"/>
  <c r="B14" i="7"/>
  <c r="D8" i="7"/>
  <c r="G19" i="5"/>
  <c r="B14" i="5"/>
  <c r="D8" i="5"/>
  <c r="G33" i="4"/>
  <c r="B21" i="4"/>
  <c r="B11" i="4"/>
  <c r="E21" i="38"/>
  <c r="B38" i="32"/>
  <c r="D20" i="29"/>
  <c r="E34" i="28"/>
  <c r="D33" i="26"/>
  <c r="G14" i="26"/>
  <c r="G28" i="25"/>
  <c r="G11" i="25"/>
  <c r="G23" i="23"/>
  <c r="B39" i="22"/>
  <c r="G20" i="22"/>
  <c r="B39" i="20"/>
  <c r="E23" i="20"/>
  <c r="E11" i="20"/>
  <c r="E14" i="19"/>
  <c r="B38" i="17"/>
  <c r="D21" i="17"/>
  <c r="D10" i="17"/>
  <c r="E33" i="16"/>
  <c r="E19" i="16"/>
  <c r="D13" i="16"/>
  <c r="G34" i="14"/>
  <c r="G28" i="14"/>
  <c r="G21" i="14"/>
  <c r="G11" i="14"/>
  <c r="B20" i="13"/>
  <c r="D14" i="13"/>
  <c r="E8" i="13"/>
  <c r="G23" i="11"/>
  <c r="E19" i="11"/>
  <c r="G13" i="11"/>
  <c r="B39" i="10"/>
  <c r="E33" i="10"/>
  <c r="G20" i="10"/>
  <c r="G10" i="10"/>
  <c r="D34" i="8"/>
  <c r="D28" i="8"/>
  <c r="D21" i="8"/>
  <c r="D11" i="8"/>
  <c r="G23" i="7"/>
  <c r="E19" i="7"/>
  <c r="G13" i="7"/>
  <c r="G23" i="5"/>
  <c r="E19" i="5"/>
  <c r="G13" i="5"/>
  <c r="B39" i="4"/>
  <c r="E33" i="4"/>
  <c r="B21" i="44"/>
  <c r="G33" i="35"/>
  <c r="E13" i="34"/>
  <c r="E34" i="31"/>
  <c r="E19" i="29"/>
  <c r="E33" i="28"/>
  <c r="B14" i="26"/>
  <c r="B11" i="25"/>
  <c r="E23" i="23"/>
  <c r="B38" i="22"/>
  <c r="E20" i="22"/>
  <c r="D23" i="20"/>
  <c r="G10" i="20"/>
  <c r="B14" i="19"/>
  <c r="B21" i="17"/>
  <c r="G14" i="17"/>
  <c r="D8" i="17"/>
  <c r="D33" i="16"/>
  <c r="D19" i="16"/>
  <c r="G11" i="16"/>
  <c r="E34" i="14"/>
  <c r="E28" i="14"/>
  <c r="E21" i="14"/>
  <c r="E11" i="14"/>
  <c r="G19" i="13"/>
  <c r="B14" i="13"/>
  <c r="D8" i="13"/>
  <c r="E23" i="11"/>
  <c r="D19" i="11"/>
  <c r="E13" i="11"/>
  <c r="B38" i="10"/>
  <c r="D33" i="10"/>
  <c r="E20" i="10"/>
  <c r="G14" i="10"/>
  <c r="E10" i="10"/>
  <c r="G33" i="8"/>
  <c r="B21" i="8"/>
  <c r="B11" i="8"/>
  <c r="E23" i="7"/>
  <c r="D19" i="7"/>
  <c r="E13" i="7"/>
  <c r="E23" i="5"/>
  <c r="D19" i="5"/>
  <c r="E13" i="5"/>
  <c r="B38" i="4"/>
  <c r="D33" i="4"/>
  <c r="E20" i="4"/>
  <c r="G14" i="4"/>
  <c r="E10" i="4"/>
  <c r="G20" i="35"/>
  <c r="D28" i="32"/>
  <c r="E28" i="31"/>
  <c r="E33" i="29"/>
  <c r="D13" i="28"/>
  <c r="B11" i="26"/>
  <c r="E23" i="25"/>
  <c r="B21" i="23"/>
  <c r="D19" i="22"/>
  <c r="G20" i="20"/>
  <c r="B38" i="19"/>
  <c r="G10" i="19"/>
  <c r="D28" i="17"/>
  <c r="E20" i="17"/>
  <c r="B14" i="17"/>
  <c r="B38" i="16"/>
  <c r="E23" i="16"/>
  <c r="B11" i="16"/>
  <c r="G33" i="14"/>
  <c r="B21" i="14"/>
  <c r="B11" i="14"/>
  <c r="E23" i="13"/>
  <c r="D19" i="13"/>
  <c r="E13" i="13"/>
  <c r="G34" i="11"/>
  <c r="G28" i="11"/>
  <c r="G21" i="11"/>
  <c r="G11" i="11"/>
  <c r="B20" i="10"/>
  <c r="D14" i="10"/>
  <c r="E8" i="10"/>
  <c r="D20" i="35"/>
  <c r="E14" i="29"/>
  <c r="E28" i="28"/>
  <c r="E11" i="28"/>
  <c r="E10" i="26"/>
  <c r="G21" i="25"/>
  <c r="E19" i="23"/>
  <c r="E33" i="22"/>
  <c r="E34" i="20"/>
  <c r="E19" i="20"/>
  <c r="D23" i="19"/>
  <c r="E10" i="19"/>
  <c r="D20" i="17"/>
  <c r="G13" i="17"/>
  <c r="D23" i="16"/>
  <c r="G10" i="16"/>
  <c r="B39" i="14"/>
  <c r="E33" i="14"/>
  <c r="G20" i="14"/>
  <c r="G10" i="14"/>
  <c r="D23" i="13"/>
  <c r="D13" i="13"/>
  <c r="E34" i="11"/>
  <c r="E28" i="11"/>
  <c r="E21" i="11"/>
  <c r="E11" i="11"/>
  <c r="G19" i="10"/>
  <c r="B14" i="10"/>
  <c r="D8" i="10"/>
  <c r="D20" i="8"/>
  <c r="E14" i="8"/>
  <c r="D10" i="8"/>
  <c r="E34" i="7"/>
  <c r="E28" i="7"/>
  <c r="E21" i="7"/>
  <c r="E11" i="7"/>
  <c r="E34" i="5"/>
  <c r="E28" i="5"/>
  <c r="E21" i="5"/>
  <c r="E11" i="5"/>
  <c r="G19" i="4"/>
  <c r="B14" i="4"/>
  <c r="D8" i="4"/>
  <c r="E20" i="37"/>
  <c r="D23" i="32"/>
  <c r="D23" i="31"/>
  <c r="G13" i="29"/>
  <c r="G10" i="28"/>
  <c r="D8" i="26"/>
  <c r="B21" i="25"/>
  <c r="D19" i="23"/>
  <c r="D33" i="22"/>
  <c r="G14" i="22"/>
  <c r="E33" i="20"/>
  <c r="D19" i="20"/>
  <c r="G20" i="19"/>
  <c r="D10" i="19"/>
  <c r="G34" i="17"/>
  <c r="G19" i="17"/>
  <c r="E13" i="17"/>
  <c r="G21" i="16"/>
  <c r="E10" i="16"/>
  <c r="B38" i="14"/>
  <c r="D33" i="14"/>
  <c r="E20" i="14"/>
  <c r="G14" i="14"/>
  <c r="E10" i="14"/>
  <c r="G34" i="13"/>
  <c r="G28" i="13"/>
  <c r="G21" i="13"/>
  <c r="G11" i="13"/>
  <c r="D34" i="11"/>
  <c r="D28" i="11"/>
  <c r="D21" i="11"/>
  <c r="D11" i="11"/>
  <c r="G23" i="10"/>
  <c r="E19" i="10"/>
  <c r="G13" i="10"/>
  <c r="B20" i="8"/>
  <c r="D14" i="8"/>
  <c r="E8" i="8"/>
  <c r="D34" i="7"/>
  <c r="D28" i="7"/>
  <c r="D21" i="7"/>
  <c r="D11" i="7"/>
  <c r="B20" i="53"/>
  <c r="G13" i="46"/>
  <c r="D21" i="41"/>
  <c r="G19" i="37"/>
  <c r="G11" i="35"/>
  <c r="D19" i="31"/>
  <c r="B11" i="29"/>
  <c r="E23" i="28"/>
  <c r="D21" i="26"/>
  <c r="E19" i="25"/>
  <c r="G34" i="23"/>
  <c r="D14" i="22"/>
  <c r="E20" i="19"/>
  <c r="D8" i="19"/>
  <c r="D34" i="17"/>
  <c r="E19" i="17"/>
  <c r="D13" i="17"/>
  <c r="E21" i="16"/>
  <c r="D10" i="16"/>
  <c r="D20" i="14"/>
  <c r="E14" i="14"/>
  <c r="D10" i="14"/>
  <c r="E34" i="13"/>
  <c r="E28" i="13"/>
  <c r="E21" i="13"/>
  <c r="E11" i="13"/>
  <c r="G33" i="11"/>
  <c r="B21" i="11"/>
  <c r="B11" i="11"/>
  <c r="E23" i="10"/>
  <c r="D19" i="10"/>
  <c r="E13" i="10"/>
  <c r="G19" i="8"/>
  <c r="B14" i="8"/>
  <c r="D8" i="8"/>
  <c r="G33" i="7"/>
  <c r="B21" i="7"/>
  <c r="B11" i="7"/>
  <c r="G33" i="5"/>
  <c r="B21" i="5"/>
  <c r="E14" i="37"/>
  <c r="G10" i="29"/>
  <c r="D23" i="28"/>
  <c r="B21" i="26"/>
  <c r="D19" i="25"/>
  <c r="G33" i="23"/>
  <c r="E13" i="22"/>
  <c r="E33" i="19"/>
  <c r="D20" i="19"/>
  <c r="G33" i="17"/>
  <c r="D19" i="17"/>
  <c r="G11" i="17"/>
  <c r="G28" i="16"/>
  <c r="B21" i="16"/>
  <c r="G14" i="16"/>
  <c r="E8" i="16"/>
  <c r="B20" i="14"/>
  <c r="D14" i="14"/>
  <c r="E8" i="14"/>
  <c r="D34" i="13"/>
  <c r="D28" i="13"/>
  <c r="D21" i="13"/>
  <c r="D11" i="13"/>
  <c r="B38" i="43"/>
  <c r="D11" i="41"/>
  <c r="G28" i="35"/>
  <c r="G34" i="25"/>
  <c r="G21" i="23"/>
  <c r="D13" i="19"/>
  <c r="G23" i="17"/>
  <c r="E14" i="16"/>
  <c r="G34" i="10"/>
  <c r="G11" i="10"/>
  <c r="B38" i="8"/>
  <c r="E23" i="8"/>
  <c r="G10" i="8"/>
  <c r="E14" i="7"/>
  <c r="D34" i="5"/>
  <c r="D21" i="5"/>
  <c r="D11" i="5"/>
  <c r="D23" i="4"/>
  <c r="E14" i="4"/>
  <c r="E13" i="28"/>
  <c r="E14" i="10"/>
  <c r="G34" i="4"/>
  <c r="E34" i="34"/>
  <c r="G23" i="25"/>
  <c r="G13" i="23"/>
  <c r="G20" i="17"/>
  <c r="E11" i="16"/>
  <c r="G33" i="13"/>
  <c r="D23" i="11"/>
  <c r="D10" i="10"/>
  <c r="D23" i="8"/>
  <c r="E10" i="8"/>
  <c r="D13" i="7"/>
  <c r="E33" i="5"/>
  <c r="G20" i="5"/>
  <c r="B11" i="5"/>
  <c r="G21" i="4"/>
  <c r="D14" i="4"/>
  <c r="G14" i="5"/>
  <c r="E13" i="8"/>
  <c r="D13" i="5"/>
  <c r="E8" i="34"/>
  <c r="G33" i="29"/>
  <c r="D34" i="14"/>
  <c r="G20" i="11"/>
  <c r="G20" i="8"/>
  <c r="B39" i="7"/>
  <c r="G11" i="7"/>
  <c r="D33" i="5"/>
  <c r="E20" i="5"/>
  <c r="G10" i="5"/>
  <c r="E21" i="4"/>
  <c r="G13" i="4"/>
  <c r="E33" i="11"/>
  <c r="G14" i="8"/>
  <c r="B38" i="5"/>
  <c r="G14" i="32"/>
  <c r="E14" i="17"/>
  <c r="E20" i="11"/>
  <c r="G28" i="10"/>
  <c r="E20" i="8"/>
  <c r="B38" i="7"/>
  <c r="D23" i="7"/>
  <c r="G10" i="7"/>
  <c r="D20" i="5"/>
  <c r="E10" i="5"/>
  <c r="G20" i="4"/>
  <c r="E13" i="4"/>
  <c r="G28" i="31"/>
  <c r="B20" i="22"/>
  <c r="D11" i="17"/>
  <c r="D28" i="14"/>
  <c r="G23" i="13"/>
  <c r="E33" i="8"/>
  <c r="E19" i="8"/>
  <c r="G21" i="7"/>
  <c r="E10" i="7"/>
  <c r="D10" i="5"/>
  <c r="D20" i="4"/>
  <c r="D13" i="4"/>
  <c r="B38" i="26"/>
  <c r="G13" i="13"/>
  <c r="B38" i="37"/>
  <c r="D10" i="29"/>
  <c r="G10" i="22"/>
  <c r="B39" i="16"/>
  <c r="B21" i="13"/>
  <c r="B39" i="11"/>
  <c r="D23" i="10"/>
  <c r="D33" i="8"/>
  <c r="D19" i="8"/>
  <c r="G20" i="7"/>
  <c r="D10" i="7"/>
  <c r="G28" i="5"/>
  <c r="G28" i="4"/>
  <c r="B20" i="4"/>
  <c r="G11" i="4"/>
  <c r="B39" i="19"/>
  <c r="D10" i="4"/>
  <c r="E21" i="20"/>
  <c r="D21" i="14"/>
  <c r="E19" i="13"/>
  <c r="B38" i="11"/>
  <c r="G14" i="11"/>
  <c r="G21" i="10"/>
  <c r="G34" i="7"/>
  <c r="E20" i="7"/>
  <c r="D28" i="5"/>
  <c r="E28" i="4"/>
  <c r="E19" i="4"/>
  <c r="E11" i="4"/>
  <c r="E28" i="16"/>
  <c r="D23" i="5"/>
  <c r="E21" i="28"/>
  <c r="G19" i="14"/>
  <c r="D13" i="11"/>
  <c r="D20" i="10"/>
  <c r="E33" i="7"/>
  <c r="D20" i="7"/>
  <c r="B39" i="5"/>
  <c r="D19" i="4"/>
  <c r="G10" i="4"/>
  <c r="D28" i="26"/>
  <c r="D33" i="19"/>
  <c r="G23" i="16"/>
  <c r="B14" i="14"/>
  <c r="B11" i="13"/>
  <c r="D33" i="11"/>
  <c r="E10" i="11"/>
  <c r="G13" i="8"/>
  <c r="E14" i="5"/>
  <c r="E8" i="4"/>
  <c r="E20" i="26"/>
  <c r="E33" i="17"/>
  <c r="G23" i="4"/>
  <c r="D11" i="26"/>
  <c r="G19" i="19"/>
  <c r="G28" i="17"/>
  <c r="D8" i="14"/>
  <c r="D13" i="10"/>
  <c r="B39" i="8"/>
  <c r="G23" i="8"/>
  <c r="D13" i="8"/>
  <c r="G28" i="7"/>
  <c r="G14" i="7"/>
  <c r="G34" i="5"/>
  <c r="G21" i="5"/>
  <c r="G11" i="5"/>
  <c r="E34" i="4"/>
  <c r="E23" i="4"/>
  <c r="G10" i="11"/>
  <c r="D33" i="7"/>
  <c r="G20" i="16"/>
  <c r="D11" i="14"/>
  <c r="G16" i="11" l="1"/>
  <c r="E16" i="11"/>
  <c r="G16" i="4"/>
  <c r="D16" i="4"/>
  <c r="D16" i="7"/>
  <c r="G16" i="22"/>
  <c r="D16" i="29"/>
  <c r="D16" i="5"/>
  <c r="E16" i="7"/>
  <c r="E16" i="5"/>
  <c r="G16" i="7"/>
  <c r="G16" i="5"/>
  <c r="E16" i="8"/>
  <c r="D16" i="10"/>
  <c r="G16" i="8"/>
  <c r="G16" i="29"/>
  <c r="D16" i="14"/>
  <c r="D16" i="16"/>
  <c r="E16" i="14"/>
  <c r="E16" i="16"/>
  <c r="D16" i="19"/>
  <c r="G16" i="28"/>
  <c r="D16" i="8"/>
  <c r="G16" i="14"/>
  <c r="G16" i="16"/>
  <c r="E16" i="19"/>
  <c r="E16" i="26"/>
  <c r="G16" i="19"/>
  <c r="E16" i="4"/>
  <c r="E16" i="10"/>
  <c r="G16" i="20"/>
  <c r="G16" i="10"/>
  <c r="D16" i="17"/>
  <c r="D16" i="13"/>
  <c r="E16" i="17"/>
  <c r="E16" i="13"/>
  <c r="G16" i="17"/>
  <c r="D16" i="31"/>
  <c r="D16" i="11"/>
  <c r="G16" i="13"/>
  <c r="E16" i="22"/>
  <c r="D16" i="26"/>
  <c r="D16" i="22"/>
  <c r="G16" i="26"/>
  <c r="E16" i="29"/>
  <c r="G16" i="31"/>
  <c r="D16" i="32"/>
  <c r="E16" i="32"/>
  <c r="D16" i="37"/>
  <c r="D16" i="23"/>
  <c r="D16" i="25"/>
  <c r="G16" i="32"/>
  <c r="D16" i="35"/>
  <c r="E16" i="37"/>
  <c r="D16" i="20"/>
  <c r="E16" i="23"/>
  <c r="E16" i="25"/>
  <c r="D16" i="28"/>
  <c r="G16" i="35"/>
  <c r="E16" i="20"/>
  <c r="G16" i="23"/>
  <c r="G16" i="25"/>
  <c r="E16" i="28"/>
  <c r="E16" i="41"/>
  <c r="D16" i="41"/>
  <c r="E16" i="35"/>
  <c r="G16" i="41"/>
  <c r="G16" i="37"/>
  <c r="D16" i="44"/>
  <c r="G16" i="49"/>
  <c r="E16" i="31"/>
  <c r="D16" i="34"/>
  <c r="D16" i="38"/>
  <c r="D16" i="40"/>
  <c r="E16" i="34"/>
  <c r="E16" i="38"/>
  <c r="E16" i="40"/>
  <c r="D16" i="43"/>
  <c r="G16" i="34"/>
  <c r="G16" i="38"/>
  <c r="G16" i="40"/>
  <c r="E16" i="43"/>
  <c r="D16" i="46"/>
  <c r="G16" i="46"/>
  <c r="D16" i="47"/>
  <c r="G16" i="43"/>
  <c r="G16" i="44"/>
  <c r="D16" i="50"/>
  <c r="D16" i="53"/>
  <c r="E16" i="53"/>
  <c r="E16" i="46"/>
  <c r="E16" i="50"/>
  <c r="G16" i="53"/>
  <c r="G16" i="50"/>
  <c r="E16" i="44"/>
  <c r="E16" i="47"/>
  <c r="D16" i="52"/>
  <c r="G16" i="47"/>
  <c r="D16" i="49"/>
  <c r="E16" i="52"/>
  <c r="E16" i="49"/>
  <c r="G16" i="52"/>
  <c r="D16" i="111"/>
  <c r="E16" i="111"/>
  <c r="G16" i="111"/>
  <c r="D16" i="110"/>
  <c r="D16" i="112"/>
  <c r="E16" i="110"/>
  <c r="E16" i="112"/>
  <c r="G16" i="110"/>
  <c r="G16" i="112"/>
  <c r="I138" i="3"/>
  <c r="I246" i="3"/>
  <c r="N246" i="3"/>
  <c r="N138" i="3"/>
  <c r="L21" i="6"/>
  <c r="L15" i="6"/>
  <c r="O246" i="3"/>
  <c r="O138" i="3"/>
  <c r="N27" i="6"/>
  <c r="N32" i="6"/>
  <c r="N33" i="6" s="1"/>
  <c r="Q49" i="27"/>
  <c r="D246" i="3"/>
  <c r="D138" i="3"/>
  <c r="Q10" i="3"/>
  <c r="Q137" i="3" s="1"/>
  <c r="H138" i="3"/>
  <c r="H246" i="3"/>
  <c r="G138" i="3"/>
  <c r="G246" i="3"/>
  <c r="F15" i="6"/>
  <c r="F21" i="6"/>
  <c r="G207" i="15"/>
  <c r="G107" i="15"/>
  <c r="F246" i="3"/>
  <c r="F138" i="3"/>
  <c r="O26" i="6"/>
  <c r="O22" i="6"/>
  <c r="E21" i="6"/>
  <c r="E15" i="6"/>
  <c r="K138" i="3"/>
  <c r="K246" i="3"/>
  <c r="J26" i="6"/>
  <c r="J22" i="6"/>
  <c r="Q26" i="6"/>
  <c r="Q22" i="6"/>
  <c r="L138" i="3"/>
  <c r="L246" i="3"/>
  <c r="H15" i="9"/>
  <c r="G15" i="9"/>
  <c r="G95" i="9"/>
  <c r="E138" i="3"/>
  <c r="E246" i="3"/>
  <c r="M15" i="9"/>
  <c r="J138" i="3"/>
  <c r="J246" i="3"/>
  <c r="M246" i="3"/>
  <c r="M138" i="3"/>
  <c r="Q140" i="3"/>
  <c r="M21" i="6"/>
  <c r="M15" i="6"/>
  <c r="M160" i="30"/>
  <c r="M156" i="30"/>
  <c r="O15" i="9"/>
  <c r="H17" i="9"/>
  <c r="H95" i="9" s="1"/>
  <c r="Q17" i="12"/>
  <c r="Q29" i="12"/>
  <c r="Q41" i="12"/>
  <c r="Q53" i="12"/>
  <c r="Q65" i="12"/>
  <c r="Q114" i="12"/>
  <c r="J213" i="12"/>
  <c r="F212" i="15"/>
  <c r="F208" i="15"/>
  <c r="Q159" i="15"/>
  <c r="Q180" i="15"/>
  <c r="Q193" i="15"/>
  <c r="O129" i="18"/>
  <c r="O229" i="18"/>
  <c r="Q218" i="18"/>
  <c r="Q74" i="27"/>
  <c r="Q10" i="30"/>
  <c r="Q163" i="3"/>
  <c r="D34" i="24"/>
  <c r="E10" i="24"/>
  <c r="E33" i="24" s="1"/>
  <c r="Q11" i="24"/>
  <c r="Q10" i="24" s="1"/>
  <c r="Q33" i="24" s="1"/>
  <c r="E95" i="9"/>
  <c r="D15" i="9"/>
  <c r="D95" i="9"/>
  <c r="Q15" i="9"/>
  <c r="Q93" i="9"/>
  <c r="N111" i="12"/>
  <c r="Q15" i="12"/>
  <c r="Q27" i="12"/>
  <c r="Q39" i="12"/>
  <c r="Q51" i="12"/>
  <c r="Q63" i="12"/>
  <c r="K218" i="12"/>
  <c r="K214" i="12"/>
  <c r="F113" i="12"/>
  <c r="I107" i="15"/>
  <c r="Q10" i="15"/>
  <c r="Q106" i="15" s="1"/>
  <c r="H207" i="15"/>
  <c r="G109" i="15"/>
  <c r="Q145" i="15"/>
  <c r="L229" i="18"/>
  <c r="L129" i="18"/>
  <c r="G34" i="24"/>
  <c r="G90" i="24"/>
  <c r="Q63" i="27"/>
  <c r="Q147" i="30"/>
  <c r="G21" i="6"/>
  <c r="Q73" i="9"/>
  <c r="Q13" i="12"/>
  <c r="Q25" i="12"/>
  <c r="Q37" i="12"/>
  <c r="Q49" i="12"/>
  <c r="Q61" i="12"/>
  <c r="Q73" i="12"/>
  <c r="H113" i="12"/>
  <c r="Q181" i="12"/>
  <c r="Q208" i="12"/>
  <c r="K207" i="15"/>
  <c r="K107" i="15"/>
  <c r="N212" i="15"/>
  <c r="N208" i="15"/>
  <c r="I109" i="15"/>
  <c r="I207" i="15" s="1"/>
  <c r="Q139" i="15"/>
  <c r="Q154" i="15"/>
  <c r="G10" i="18"/>
  <c r="G128" i="18" s="1"/>
  <c r="F10" i="18"/>
  <c r="F128" i="18" s="1"/>
  <c r="I34" i="24"/>
  <c r="I90" i="24"/>
  <c r="D49" i="27"/>
  <c r="D110" i="27"/>
  <c r="L213" i="15"/>
  <c r="L216" i="15" s="1"/>
  <c r="L217" i="15" s="1"/>
  <c r="I21" i="6"/>
  <c r="D26" i="6"/>
  <c r="Q87" i="9"/>
  <c r="F95" i="9"/>
  <c r="Q132" i="15"/>
  <c r="Q109" i="15" s="1"/>
  <c r="Q147" i="15"/>
  <c r="Q183" i="15"/>
  <c r="F22" i="21"/>
  <c r="G10" i="30"/>
  <c r="G71" i="30" s="1"/>
  <c r="Q12" i="30"/>
  <c r="M207" i="15"/>
  <c r="M107" i="15"/>
  <c r="M129" i="18"/>
  <c r="M229" i="18"/>
  <c r="E72" i="30"/>
  <c r="N15" i="6"/>
  <c r="I15" i="9"/>
  <c r="I95" i="9"/>
  <c r="N17" i="9"/>
  <c r="N95" i="9" s="1"/>
  <c r="L17" i="9"/>
  <c r="L95" i="9" s="1"/>
  <c r="Q61" i="9"/>
  <c r="D113" i="12"/>
  <c r="D213" i="12" s="1"/>
  <c r="Q169" i="12"/>
  <c r="Q189" i="12"/>
  <c r="Q202" i="12"/>
  <c r="L107" i="15"/>
  <c r="Q163" i="15"/>
  <c r="Q170" i="15"/>
  <c r="K95" i="21"/>
  <c r="O72" i="30"/>
  <c r="I72" i="30"/>
  <c r="M213" i="12"/>
  <c r="M111" i="12"/>
  <c r="Q141" i="12"/>
  <c r="J15" i="9"/>
  <c r="J95" i="9"/>
  <c r="O17" i="9"/>
  <c r="O95" i="9" s="1"/>
  <c r="M17" i="9"/>
  <c r="M95" i="9" s="1"/>
  <c r="F10" i="12"/>
  <c r="F110" i="12" s="1"/>
  <c r="Q16" i="12"/>
  <c r="Q28" i="12"/>
  <c r="Q40" i="12"/>
  <c r="Q52" i="12"/>
  <c r="Q64" i="12"/>
  <c r="Q136" i="12"/>
  <c r="L95" i="21"/>
  <c r="Q46" i="21"/>
  <c r="Q69" i="21"/>
  <c r="K95" i="9"/>
  <c r="E15" i="9"/>
  <c r="H111" i="12"/>
  <c r="H213" i="12"/>
  <c r="O107" i="15"/>
  <c r="Q121" i="15"/>
  <c r="Q134" i="15"/>
  <c r="Q149" i="15"/>
  <c r="Q198" i="15"/>
  <c r="G95" i="21"/>
  <c r="G22" i="21"/>
  <c r="M34" i="24"/>
  <c r="M90" i="24"/>
  <c r="Q87" i="27"/>
  <c r="H27" i="39"/>
  <c r="G27" i="39"/>
  <c r="L213" i="12"/>
  <c r="L111" i="12"/>
  <c r="H15" i="6"/>
  <c r="H21" i="6"/>
  <c r="K21" i="6"/>
  <c r="Q63" i="9"/>
  <c r="Q76" i="9"/>
  <c r="I111" i="12"/>
  <c r="I213" i="12"/>
  <c r="Q14" i="12"/>
  <c r="Q26" i="12"/>
  <c r="Q38" i="12"/>
  <c r="Q50" i="12"/>
  <c r="Q62" i="12"/>
  <c r="Q171" i="12"/>
  <c r="Q204" i="12"/>
  <c r="Q142" i="15"/>
  <c r="Q157" i="15"/>
  <c r="Q165" i="15"/>
  <c r="K51" i="27"/>
  <c r="L155" i="30"/>
  <c r="L72" i="30"/>
  <c r="L102" i="45"/>
  <c r="L98" i="45"/>
  <c r="G111" i="12"/>
  <c r="G213" i="12"/>
  <c r="Q43" i="9"/>
  <c r="Q17" i="9" s="1"/>
  <c r="Q95" i="9" s="1"/>
  <c r="Q19" i="12"/>
  <c r="Q31" i="12"/>
  <c r="Q43" i="12"/>
  <c r="Q55" i="12"/>
  <c r="Q67" i="12"/>
  <c r="N113" i="12"/>
  <c r="N213" i="12" s="1"/>
  <c r="Q138" i="12"/>
  <c r="O109" i="15"/>
  <c r="O207" i="15" s="1"/>
  <c r="J207" i="15"/>
  <c r="K230" i="18"/>
  <c r="K234" i="18"/>
  <c r="J22" i="21"/>
  <c r="J95" i="21"/>
  <c r="L83" i="33"/>
  <c r="L79" i="33"/>
  <c r="O213" i="12"/>
  <c r="O111" i="12"/>
  <c r="N15" i="9"/>
  <c r="K15" i="9"/>
  <c r="Q12" i="12"/>
  <c r="Q10" i="12" s="1"/>
  <c r="Q110" i="12" s="1"/>
  <c r="Q24" i="12"/>
  <c r="Q36" i="12"/>
  <c r="Q165" i="12"/>
  <c r="E207" i="15"/>
  <c r="E107" i="15"/>
  <c r="E24" i="21"/>
  <c r="N72" i="30"/>
  <c r="Q137" i="15"/>
  <c r="Q161" i="18"/>
  <c r="Q187" i="18"/>
  <c r="N34" i="24"/>
  <c r="N90" i="24"/>
  <c r="F90" i="24"/>
  <c r="Q61" i="24"/>
  <c r="G49" i="27"/>
  <c r="G110" i="27"/>
  <c r="Q103" i="27"/>
  <c r="J72" i="30"/>
  <c r="E74" i="30"/>
  <c r="E155" i="30" s="1"/>
  <c r="J74" i="30"/>
  <c r="J155" i="30" s="1"/>
  <c r="G74" i="30"/>
  <c r="Q102" i="30"/>
  <c r="I118" i="39"/>
  <c r="N107" i="15"/>
  <c r="I129" i="18"/>
  <c r="I229" i="18"/>
  <c r="Q18" i="18"/>
  <c r="Q30" i="18"/>
  <c r="Q42" i="18"/>
  <c r="Q54" i="18"/>
  <c r="Q66" i="18"/>
  <c r="Q154" i="18"/>
  <c r="M95" i="21"/>
  <c r="O24" i="21"/>
  <c r="Q77" i="21"/>
  <c r="O90" i="24"/>
  <c r="I36" i="24"/>
  <c r="Q69" i="24"/>
  <c r="E110" i="27"/>
  <c r="J49" i="27"/>
  <c r="O51" i="27"/>
  <c r="H51" i="27"/>
  <c r="H110" i="27" s="1"/>
  <c r="Q76" i="27"/>
  <c r="N74" i="30"/>
  <c r="N155" i="30" s="1"/>
  <c r="K74" i="30"/>
  <c r="Q65" i="33"/>
  <c r="Q55" i="36"/>
  <c r="D29" i="39"/>
  <c r="Q40" i="39"/>
  <c r="H46" i="51"/>
  <c r="E10" i="12"/>
  <c r="E110" i="12" s="1"/>
  <c r="J128" i="18"/>
  <c r="Q16" i="18"/>
  <c r="Q23" i="18"/>
  <c r="Q35" i="18"/>
  <c r="Q47" i="18"/>
  <c r="Q59" i="18"/>
  <c r="Q71" i="18"/>
  <c r="Q76" i="18"/>
  <c r="Q83" i="18"/>
  <c r="Q181" i="18"/>
  <c r="Q220" i="18"/>
  <c r="D24" i="21"/>
  <c r="O36" i="24"/>
  <c r="Q82" i="24"/>
  <c r="M49" i="27"/>
  <c r="Q52" i="27"/>
  <c r="Q84" i="27"/>
  <c r="O110" i="27"/>
  <c r="Q48" i="30"/>
  <c r="Q145" i="30"/>
  <c r="Q12" i="36"/>
  <c r="K28" i="36"/>
  <c r="K121" i="36" s="1"/>
  <c r="Q71" i="36"/>
  <c r="Q28" i="18"/>
  <c r="Q40" i="18"/>
  <c r="Q52" i="18"/>
  <c r="Q64" i="18"/>
  <c r="F131" i="18"/>
  <c r="Q37" i="24"/>
  <c r="Q63" i="24"/>
  <c r="Q119" i="30"/>
  <c r="Q126" i="30"/>
  <c r="Q51" i="33"/>
  <c r="Q73" i="33"/>
  <c r="M29" i="39"/>
  <c r="H29" i="39"/>
  <c r="H118" i="39" s="1"/>
  <c r="Q64" i="42"/>
  <c r="Q72" i="42"/>
  <c r="D10" i="15"/>
  <c r="D106" i="15" s="1"/>
  <c r="Q14" i="18"/>
  <c r="Q10" i="18" s="1"/>
  <c r="Q128" i="18" s="1"/>
  <c r="Q21" i="18"/>
  <c r="Q33" i="18"/>
  <c r="Q45" i="18"/>
  <c r="Q57" i="18"/>
  <c r="Q69" i="18"/>
  <c r="Q81" i="18"/>
  <c r="N131" i="18"/>
  <c r="N229" i="18" s="1"/>
  <c r="G131" i="18"/>
  <c r="Q156" i="18"/>
  <c r="Q169" i="18"/>
  <c r="Q202" i="18"/>
  <c r="F24" i="21"/>
  <c r="F95" i="21" s="1"/>
  <c r="Q65" i="21"/>
  <c r="Q72" i="21"/>
  <c r="J90" i="24"/>
  <c r="I48" i="27"/>
  <c r="Q78" i="27"/>
  <c r="N78" i="33"/>
  <c r="N26" i="36"/>
  <c r="G10" i="36"/>
  <c r="G25" i="36" s="1"/>
  <c r="Q93" i="36"/>
  <c r="K24" i="42"/>
  <c r="Q72" i="18"/>
  <c r="Q84" i="18"/>
  <c r="Q87" i="18"/>
  <c r="Q132" i="18"/>
  <c r="D10" i="21"/>
  <c r="D21" i="21" s="1"/>
  <c r="L22" i="21"/>
  <c r="Q59" i="21"/>
  <c r="H90" i="24"/>
  <c r="F34" i="24"/>
  <c r="K49" i="27"/>
  <c r="K110" i="27"/>
  <c r="M51" i="27"/>
  <c r="M110" i="27" s="1"/>
  <c r="D27" i="33"/>
  <c r="Q28" i="33"/>
  <c r="I28" i="36"/>
  <c r="I121" i="36" s="1"/>
  <c r="Q13" i="39"/>
  <c r="H107" i="15"/>
  <c r="Q24" i="18"/>
  <c r="Q36" i="18"/>
  <c r="Q48" i="18"/>
  <c r="Q60" i="18"/>
  <c r="Q171" i="18"/>
  <c r="E21" i="21"/>
  <c r="I24" i="21"/>
  <c r="I95" i="21" s="1"/>
  <c r="N24" i="21"/>
  <c r="Q67" i="21"/>
  <c r="H34" i="24"/>
  <c r="Q85" i="24"/>
  <c r="L110" i="27"/>
  <c r="I51" i="27"/>
  <c r="Q100" i="27"/>
  <c r="Q51" i="36"/>
  <c r="K57" i="61"/>
  <c r="K53" i="61"/>
  <c r="Q29" i="18"/>
  <c r="Q41" i="18"/>
  <c r="Q53" i="18"/>
  <c r="Q65" i="18"/>
  <c r="Q70" i="18"/>
  <c r="Q77" i="18"/>
  <c r="Q82" i="18"/>
  <c r="N129" i="18"/>
  <c r="Q46" i="24"/>
  <c r="Q66" i="24"/>
  <c r="F10" i="27"/>
  <c r="F48" i="27" s="1"/>
  <c r="J51" i="27"/>
  <c r="J110" i="27" s="1"/>
  <c r="Q113" i="39"/>
  <c r="D229" i="18"/>
  <c r="Q22" i="18"/>
  <c r="Q34" i="18"/>
  <c r="Q46" i="18"/>
  <c r="Q58" i="18"/>
  <c r="L131" i="18"/>
  <c r="Q159" i="18"/>
  <c r="Q192" i="18"/>
  <c r="Q205" i="18"/>
  <c r="H95" i="21"/>
  <c r="H22" i="21"/>
  <c r="Q35" i="21"/>
  <c r="Q61" i="21"/>
  <c r="Q88" i="21"/>
  <c r="N95" i="21"/>
  <c r="K34" i="24"/>
  <c r="N110" i="27"/>
  <c r="N49" i="27"/>
  <c r="D72" i="30"/>
  <c r="E25" i="33"/>
  <c r="F10" i="33"/>
  <c r="F24" i="33" s="1"/>
  <c r="Q11" i="33"/>
  <c r="Q10" i="33" s="1"/>
  <c r="Q24" i="33" s="1"/>
  <c r="H25" i="33"/>
  <c r="H78" i="33"/>
  <c r="L28" i="36"/>
  <c r="L121" i="36" s="1"/>
  <c r="O28" i="36"/>
  <c r="E10" i="18"/>
  <c r="E128" i="18" s="1"/>
  <c r="Q27" i="18"/>
  <c r="Q39" i="18"/>
  <c r="Q51" i="18"/>
  <c r="Q63" i="18"/>
  <c r="Q75" i="18"/>
  <c r="Q80" i="18"/>
  <c r="H131" i="18"/>
  <c r="H229" i="18" s="1"/>
  <c r="Q11" i="21"/>
  <c r="Q10" i="21" s="1"/>
  <c r="Q21" i="21" s="1"/>
  <c r="Q48" i="21"/>
  <c r="O95" i="21"/>
  <c r="L33" i="24"/>
  <c r="K36" i="24"/>
  <c r="K90" i="24" s="1"/>
  <c r="O74" i="30"/>
  <c r="O155" i="30" s="1"/>
  <c r="Q150" i="30"/>
  <c r="K78" i="33"/>
  <c r="K25" i="33"/>
  <c r="E118" i="39"/>
  <c r="E27" i="39"/>
  <c r="F118" i="39"/>
  <c r="F27" i="39"/>
  <c r="Q25" i="21"/>
  <c r="K155" i="30"/>
  <c r="Q98" i="30"/>
  <c r="G24" i="33"/>
  <c r="E27" i="33"/>
  <c r="E78" i="33" s="1"/>
  <c r="Q53" i="33"/>
  <c r="L26" i="36"/>
  <c r="G28" i="36"/>
  <c r="Q63" i="36"/>
  <c r="Q119" i="36"/>
  <c r="Q51" i="39"/>
  <c r="Q72" i="39"/>
  <c r="Q111" i="39"/>
  <c r="J24" i="45"/>
  <c r="O46" i="51"/>
  <c r="I15" i="56"/>
  <c r="I77" i="56"/>
  <c r="D36" i="24"/>
  <c r="D90" i="24" s="1"/>
  <c r="K72" i="30"/>
  <c r="Q106" i="30"/>
  <c r="F25" i="36"/>
  <c r="Q111" i="36"/>
  <c r="D10" i="39"/>
  <c r="D26" i="39" s="1"/>
  <c r="Q11" i="39"/>
  <c r="F24" i="42"/>
  <c r="I24" i="42"/>
  <c r="I114" i="42"/>
  <c r="Q63" i="45"/>
  <c r="K46" i="51"/>
  <c r="Q75" i="30"/>
  <c r="Q100" i="30"/>
  <c r="D24" i="33"/>
  <c r="H27" i="33"/>
  <c r="O25" i="36"/>
  <c r="J28" i="36"/>
  <c r="J121" i="36" s="1"/>
  <c r="Q79" i="36"/>
  <c r="L29" i="39"/>
  <c r="L118" i="39" s="1"/>
  <c r="Q74" i="39"/>
  <c r="Q10" i="42"/>
  <c r="Q23" i="42" s="1"/>
  <c r="Q48" i="48"/>
  <c r="L15" i="54"/>
  <c r="L21" i="54"/>
  <c r="Q73" i="36"/>
  <c r="G29" i="39"/>
  <c r="G118" i="39" s="1"/>
  <c r="Q61" i="39"/>
  <c r="Q68" i="39"/>
  <c r="K97" i="51"/>
  <c r="K44" i="51"/>
  <c r="F15" i="59"/>
  <c r="Q122" i="30"/>
  <c r="D121" i="36"/>
  <c r="M28" i="36"/>
  <c r="M121" i="36" s="1"/>
  <c r="M27" i="39"/>
  <c r="M118" i="39"/>
  <c r="J27" i="39"/>
  <c r="O29" i="39"/>
  <c r="L114" i="42"/>
  <c r="L24" i="42"/>
  <c r="Q25" i="45"/>
  <c r="H17" i="48"/>
  <c r="H73" i="48"/>
  <c r="L44" i="51"/>
  <c r="E10" i="51"/>
  <c r="E43" i="51" s="1"/>
  <c r="H72" i="57"/>
  <c r="H68" i="57"/>
  <c r="J61" i="60"/>
  <c r="J57" i="60"/>
  <c r="H74" i="30"/>
  <c r="H155" i="30" s="1"/>
  <c r="J78" i="33"/>
  <c r="Q38" i="33"/>
  <c r="Q11" i="36"/>
  <c r="E10" i="36"/>
  <c r="E25" i="36" s="1"/>
  <c r="Q40" i="36"/>
  <c r="Q67" i="36"/>
  <c r="K26" i="39"/>
  <c r="Q17" i="39"/>
  <c r="O118" i="39"/>
  <c r="Q30" i="39"/>
  <c r="I29" i="39"/>
  <c r="Q55" i="39"/>
  <c r="F22" i="45"/>
  <c r="F97" i="45"/>
  <c r="Q59" i="45"/>
  <c r="G60" i="59"/>
  <c r="G15" i="59"/>
  <c r="I74" i="30"/>
  <c r="I155" i="30" s="1"/>
  <c r="Q142" i="30"/>
  <c r="O78" i="33"/>
  <c r="O25" i="33"/>
  <c r="H28" i="36"/>
  <c r="H121" i="36" s="1"/>
  <c r="Q75" i="36"/>
  <c r="Q108" i="36"/>
  <c r="L27" i="39"/>
  <c r="J29" i="39"/>
  <c r="J118" i="39" s="1"/>
  <c r="Q63" i="39"/>
  <c r="N23" i="42"/>
  <c r="H97" i="45"/>
  <c r="H22" i="45"/>
  <c r="O78" i="48"/>
  <c r="O74" i="48"/>
  <c r="I15" i="59"/>
  <c r="Q117" i="30"/>
  <c r="Q130" i="30"/>
  <c r="N27" i="33"/>
  <c r="I26" i="36"/>
  <c r="H26" i="36"/>
  <c r="D28" i="36"/>
  <c r="Q29" i="36"/>
  <c r="Q61" i="36"/>
  <c r="Q96" i="36"/>
  <c r="Q15" i="39"/>
  <c r="F29" i="39"/>
  <c r="Q109" i="39"/>
  <c r="F17" i="48"/>
  <c r="F73" i="48"/>
  <c r="Q11" i="48"/>
  <c r="E10" i="48"/>
  <c r="E16" i="48" s="1"/>
  <c r="J15" i="56"/>
  <c r="J77" i="56"/>
  <c r="D74" i="30"/>
  <c r="D155" i="30" s="1"/>
  <c r="Q85" i="30"/>
  <c r="F74" i="30"/>
  <c r="F155" i="30" s="1"/>
  <c r="Q104" i="30"/>
  <c r="Q111" i="30"/>
  <c r="M24" i="33"/>
  <c r="Q71" i="33"/>
  <c r="I78" i="33"/>
  <c r="Q69" i="36"/>
  <c r="N28" i="36"/>
  <c r="N121" i="36" s="1"/>
  <c r="Q116" i="36"/>
  <c r="N26" i="39"/>
  <c r="Q57" i="39"/>
  <c r="Q78" i="39"/>
  <c r="Q91" i="39"/>
  <c r="F26" i="42"/>
  <c r="F114" i="42" s="1"/>
  <c r="K26" i="42"/>
  <c r="K114" i="42" s="1"/>
  <c r="J22" i="45"/>
  <c r="J97" i="45"/>
  <c r="Q61" i="45"/>
  <c r="G73" i="48"/>
  <c r="H114" i="42"/>
  <c r="Q60" i="42"/>
  <c r="Q81" i="42"/>
  <c r="F19" i="48"/>
  <c r="I19" i="48"/>
  <c r="K14" i="54"/>
  <c r="J21" i="54"/>
  <c r="J15" i="54"/>
  <c r="J65" i="59"/>
  <c r="J61" i="59"/>
  <c r="J114" i="42"/>
  <c r="Q14" i="42"/>
  <c r="G24" i="42"/>
  <c r="Q54" i="42"/>
  <c r="D17" i="48"/>
  <c r="D73" i="48"/>
  <c r="J73" i="48"/>
  <c r="J17" i="48"/>
  <c r="Q63" i="48"/>
  <c r="J97" i="51"/>
  <c r="J44" i="51"/>
  <c r="Q14" i="51"/>
  <c r="Q73" i="51"/>
  <c r="Q80" i="51"/>
  <c r="K15" i="56"/>
  <c r="K67" i="57"/>
  <c r="K15" i="57"/>
  <c r="E19" i="48"/>
  <c r="J46" i="51"/>
  <c r="N26" i="54"/>
  <c r="N22" i="54"/>
  <c r="O67" i="57"/>
  <c r="O15" i="57"/>
  <c r="D98" i="63"/>
  <c r="D94" i="63"/>
  <c r="Q18" i="63"/>
  <c r="D26" i="42"/>
  <c r="Q37" i="42"/>
  <c r="M22" i="45"/>
  <c r="Q67" i="45"/>
  <c r="K17" i="48"/>
  <c r="K73" i="48"/>
  <c r="Q51" i="48"/>
  <c r="Q90" i="51"/>
  <c r="O26" i="54"/>
  <c r="O22" i="54"/>
  <c r="D67" i="57"/>
  <c r="D15" i="57"/>
  <c r="Q15" i="57"/>
  <c r="L15" i="58"/>
  <c r="K15" i="58"/>
  <c r="K71" i="58"/>
  <c r="K15" i="59"/>
  <c r="O24" i="42"/>
  <c r="N22" i="45"/>
  <c r="M19" i="48"/>
  <c r="Q31" i="48"/>
  <c r="Q44" i="48"/>
  <c r="M26" i="42"/>
  <c r="M114" i="42" s="1"/>
  <c r="Q50" i="42"/>
  <c r="O21" i="45"/>
  <c r="I24" i="45"/>
  <c r="K24" i="45"/>
  <c r="K97" i="45" s="1"/>
  <c r="N24" i="45"/>
  <c r="N97" i="45" s="1"/>
  <c r="Q87" i="45"/>
  <c r="Q18" i="56"/>
  <c r="H83" i="56"/>
  <c r="H86" i="56" s="1"/>
  <c r="H87" i="56" s="1"/>
  <c r="G26" i="42"/>
  <c r="G114" i="42" s="1"/>
  <c r="Q58" i="42"/>
  <c r="O24" i="45"/>
  <c r="M32" i="55"/>
  <c r="M15" i="55"/>
  <c r="E10" i="42"/>
  <c r="E23" i="42" s="1"/>
  <c r="O26" i="42"/>
  <c r="O114" i="42" s="1"/>
  <c r="Q66" i="42"/>
  <c r="Q105" i="42"/>
  <c r="M24" i="45"/>
  <c r="M97" i="45" s="1"/>
  <c r="Q55" i="45"/>
  <c r="Q20" i="48"/>
  <c r="M44" i="51"/>
  <c r="O14" i="55"/>
  <c r="N32" i="55"/>
  <c r="N15" i="55"/>
  <c r="Q44" i="58"/>
  <c r="J24" i="42"/>
  <c r="Q52" i="42"/>
  <c r="Q74" i="42"/>
  <c r="Q87" i="42"/>
  <c r="N73" i="48"/>
  <c r="N17" i="48"/>
  <c r="H19" i="48"/>
  <c r="Q61" i="48"/>
  <c r="D15" i="55"/>
  <c r="Q15" i="55"/>
  <c r="I67" i="57"/>
  <c r="E15" i="58"/>
  <c r="D15" i="58"/>
  <c r="F15" i="60"/>
  <c r="E15" i="60"/>
  <c r="E56" i="60"/>
  <c r="D56" i="60"/>
  <c r="D15" i="60"/>
  <c r="Q68" i="48"/>
  <c r="E15" i="56"/>
  <c r="E77" i="56"/>
  <c r="D15" i="56"/>
  <c r="D77" i="56"/>
  <c r="Q15" i="56"/>
  <c r="N17" i="56"/>
  <c r="Q62" i="56"/>
  <c r="Q39" i="57"/>
  <c r="Q46" i="57"/>
  <c r="Q53" i="57"/>
  <c r="Q60" i="57"/>
  <c r="M15" i="58"/>
  <c r="M17" i="58"/>
  <c r="M71" i="58" s="1"/>
  <c r="I17" i="59"/>
  <c r="I60" i="59" s="1"/>
  <c r="L17" i="59"/>
  <c r="L60" i="59" s="1"/>
  <c r="D10" i="42"/>
  <c r="D23" i="42" s="1"/>
  <c r="E97" i="45"/>
  <c r="H44" i="51"/>
  <c r="H97" i="51"/>
  <c r="Q18" i="51"/>
  <c r="M46" i="51"/>
  <c r="M97" i="51" s="1"/>
  <c r="Q58" i="51"/>
  <c r="Q71" i="51"/>
  <c r="Q92" i="51"/>
  <c r="I17" i="55"/>
  <c r="I32" i="55" s="1"/>
  <c r="F17" i="55"/>
  <c r="F15" i="56"/>
  <c r="F77" i="56"/>
  <c r="Q56" i="56"/>
  <c r="Q70" i="56"/>
  <c r="N17" i="58"/>
  <c r="H14" i="59"/>
  <c r="G17" i="59"/>
  <c r="Q52" i="59"/>
  <c r="Q39" i="61"/>
  <c r="K93" i="63"/>
  <c r="K15" i="63"/>
  <c r="Q49" i="63"/>
  <c r="H90" i="68"/>
  <c r="H34" i="68"/>
  <c r="Q71" i="45"/>
  <c r="I43" i="51"/>
  <c r="Q16" i="51"/>
  <c r="Q10" i="51" s="1"/>
  <c r="Q43" i="51" s="1"/>
  <c r="N46" i="51"/>
  <c r="Q86" i="51"/>
  <c r="M21" i="54"/>
  <c r="G17" i="55"/>
  <c r="G32" i="55" s="1"/>
  <c r="G77" i="56"/>
  <c r="N14" i="57"/>
  <c r="L17" i="58"/>
  <c r="L71" i="58" s="1"/>
  <c r="K17" i="59"/>
  <c r="K60" i="59" s="1"/>
  <c r="Q15" i="60"/>
  <c r="H53" i="61"/>
  <c r="H57" i="61"/>
  <c r="Q42" i="63"/>
  <c r="G17" i="69"/>
  <c r="G61" i="69"/>
  <c r="I15" i="54"/>
  <c r="E32" i="55"/>
  <c r="E15" i="55"/>
  <c r="J15" i="58"/>
  <c r="I17" i="58"/>
  <c r="I71" i="58" s="1"/>
  <c r="Q64" i="58"/>
  <c r="N17" i="59"/>
  <c r="G15" i="60"/>
  <c r="Q44" i="63"/>
  <c r="J60" i="72"/>
  <c r="J56" i="72"/>
  <c r="Q47" i="45"/>
  <c r="Q92" i="45"/>
  <c r="I16" i="48"/>
  <c r="Q46" i="48"/>
  <c r="F46" i="51"/>
  <c r="F97" i="51" s="1"/>
  <c r="L46" i="51"/>
  <c r="L97" i="51" s="1"/>
  <c r="Q29" i="54"/>
  <c r="Q30" i="54"/>
  <c r="Q24" i="55"/>
  <c r="F32" i="55"/>
  <c r="Q52" i="56"/>
  <c r="E67" i="57"/>
  <c r="N17" i="57"/>
  <c r="D17" i="57"/>
  <c r="Q43" i="57"/>
  <c r="Q18" i="58"/>
  <c r="G17" i="58"/>
  <c r="G71" i="58" s="1"/>
  <c r="J17" i="58"/>
  <c r="J71" i="58" s="1"/>
  <c r="H15" i="60"/>
  <c r="H56" i="60"/>
  <c r="K56" i="60"/>
  <c r="K15" i="60"/>
  <c r="F17" i="63"/>
  <c r="F93" i="63" s="1"/>
  <c r="J17" i="63"/>
  <c r="J48" i="70"/>
  <c r="D48" i="70"/>
  <c r="D109" i="70"/>
  <c r="Q53" i="48"/>
  <c r="N97" i="51"/>
  <c r="N44" i="51"/>
  <c r="G46" i="51"/>
  <c r="Q82" i="51"/>
  <c r="L32" i="55"/>
  <c r="L15" i="56"/>
  <c r="L77" i="56"/>
  <c r="J67" i="57"/>
  <c r="G15" i="58"/>
  <c r="E17" i="58"/>
  <c r="E71" i="58" s="1"/>
  <c r="H17" i="58"/>
  <c r="Q58" i="58"/>
  <c r="L15" i="59"/>
  <c r="I15" i="60"/>
  <c r="I56" i="60"/>
  <c r="L56" i="60"/>
  <c r="L15" i="60"/>
  <c r="M52" i="61"/>
  <c r="D97" i="45"/>
  <c r="Q12" i="48"/>
  <c r="O97" i="51"/>
  <c r="O44" i="51"/>
  <c r="Q28" i="51"/>
  <c r="Q75" i="51"/>
  <c r="Q18" i="55"/>
  <c r="Q17" i="55" s="1"/>
  <c r="Q32" i="55" s="1"/>
  <c r="H32" i="55"/>
  <c r="M15" i="56"/>
  <c r="M77" i="56"/>
  <c r="Q39" i="56"/>
  <c r="Q46" i="56"/>
  <c r="Q18" i="57"/>
  <c r="I15" i="58"/>
  <c r="N71" i="58"/>
  <c r="Q52" i="58"/>
  <c r="M15" i="59"/>
  <c r="Q58" i="59"/>
  <c r="Q16" i="45"/>
  <c r="Q21" i="45" s="1"/>
  <c r="Q36" i="45"/>
  <c r="G24" i="45"/>
  <c r="L17" i="48"/>
  <c r="L73" i="48"/>
  <c r="K19" i="48"/>
  <c r="E15" i="54"/>
  <c r="E21" i="54"/>
  <c r="D15" i="54"/>
  <c r="D21" i="54"/>
  <c r="Q15" i="54"/>
  <c r="Q21" i="54"/>
  <c r="N15" i="56"/>
  <c r="N77" i="56"/>
  <c r="L67" i="57"/>
  <c r="Q58" i="57"/>
  <c r="D15" i="61"/>
  <c r="D52" i="61"/>
  <c r="Q15" i="61"/>
  <c r="Q27" i="42"/>
  <c r="Q26" i="42" s="1"/>
  <c r="I21" i="45"/>
  <c r="G10" i="45"/>
  <c r="G21" i="45" s="1"/>
  <c r="M17" i="48"/>
  <c r="M73" i="48"/>
  <c r="L19" i="48"/>
  <c r="D10" i="51"/>
  <c r="D43" i="51" s="1"/>
  <c r="Q24" i="51"/>
  <c r="Q69" i="51"/>
  <c r="Q46" i="51" s="1"/>
  <c r="G97" i="51"/>
  <c r="F15" i="54"/>
  <c r="F21" i="54"/>
  <c r="H21" i="54"/>
  <c r="I26" i="54"/>
  <c r="J15" i="55"/>
  <c r="J32" i="55"/>
  <c r="K17" i="56"/>
  <c r="K77" i="56" s="1"/>
  <c r="O17" i="56"/>
  <c r="Q68" i="56"/>
  <c r="M67" i="57"/>
  <c r="M15" i="57"/>
  <c r="F17" i="57"/>
  <c r="F67" i="57" s="1"/>
  <c r="Q46" i="58"/>
  <c r="Q18" i="59"/>
  <c r="Q28" i="60"/>
  <c r="Q77" i="51"/>
  <c r="G26" i="54"/>
  <c r="G22" i="54"/>
  <c r="K32" i="55"/>
  <c r="K15" i="55"/>
  <c r="L17" i="56"/>
  <c r="Q28" i="56"/>
  <c r="Q41" i="56"/>
  <c r="G17" i="57"/>
  <c r="G67" i="57" s="1"/>
  <c r="E15" i="59"/>
  <c r="E60" i="59"/>
  <c r="D15" i="59"/>
  <c r="M15" i="60"/>
  <c r="J93" i="63"/>
  <c r="J15" i="63"/>
  <c r="Q47" i="60"/>
  <c r="I93" i="63"/>
  <c r="I15" i="63"/>
  <c r="E17" i="63"/>
  <c r="G48" i="70"/>
  <c r="G109" i="70"/>
  <c r="I64" i="72"/>
  <c r="I65" i="72" s="1"/>
  <c r="I61" i="72"/>
  <c r="O71" i="58"/>
  <c r="F17" i="58"/>
  <c r="M17" i="60"/>
  <c r="M56" i="60" s="1"/>
  <c r="F17" i="60"/>
  <c r="F56" i="60" s="1"/>
  <c r="Q41" i="60"/>
  <c r="E15" i="61"/>
  <c r="E52" i="61"/>
  <c r="N17" i="61"/>
  <c r="N52" i="61" s="1"/>
  <c r="Q47" i="61"/>
  <c r="G17" i="63"/>
  <c r="Q72" i="63"/>
  <c r="F72" i="74"/>
  <c r="F142" i="74"/>
  <c r="Q77" i="76"/>
  <c r="H17" i="59"/>
  <c r="N56" i="60"/>
  <c r="N15" i="60"/>
  <c r="Q49" i="60"/>
  <c r="F52" i="61"/>
  <c r="G52" i="61"/>
  <c r="O55" i="72"/>
  <c r="O16" i="72"/>
  <c r="D17" i="55"/>
  <c r="D32" i="55" s="1"/>
  <c r="O17" i="60"/>
  <c r="Q28" i="61"/>
  <c r="Q41" i="61"/>
  <c r="Q50" i="61"/>
  <c r="I17" i="63"/>
  <c r="Q39" i="63"/>
  <c r="N93" i="63"/>
  <c r="D17" i="69"/>
  <c r="D61" i="69"/>
  <c r="D55" i="72"/>
  <c r="D16" i="72"/>
  <c r="Q16" i="72"/>
  <c r="O77" i="56"/>
  <c r="D17" i="59"/>
  <c r="D60" i="59" s="1"/>
  <c r="Q40" i="59"/>
  <c r="Q18" i="60"/>
  <c r="Q43" i="60"/>
  <c r="I52" i="61"/>
  <c r="F90" i="68"/>
  <c r="F34" i="68"/>
  <c r="L17" i="69"/>
  <c r="E15" i="57"/>
  <c r="F71" i="58"/>
  <c r="D17" i="58"/>
  <c r="D71" i="58" s="1"/>
  <c r="Q40" i="58"/>
  <c r="Q15" i="59"/>
  <c r="J52" i="61"/>
  <c r="J15" i="61"/>
  <c r="G10" i="68"/>
  <c r="G33" i="68" s="1"/>
  <c r="K17" i="58"/>
  <c r="Q66" i="58"/>
  <c r="O14" i="59"/>
  <c r="F17" i="59"/>
  <c r="F60" i="59" s="1"/>
  <c r="O56" i="60"/>
  <c r="O17" i="61"/>
  <c r="O52" i="61" s="1"/>
  <c r="M15" i="63"/>
  <c r="L17" i="63"/>
  <c r="L93" i="63" s="1"/>
  <c r="Q28" i="63"/>
  <c r="I90" i="68"/>
  <c r="Q11" i="68"/>
  <c r="Q10" i="68" s="1"/>
  <c r="Q33" i="68" s="1"/>
  <c r="H71" i="58"/>
  <c r="Q60" i="58"/>
  <c r="M17" i="59"/>
  <c r="M60" i="59" s="1"/>
  <c r="Q29" i="59"/>
  <c r="Q48" i="59"/>
  <c r="N60" i="59"/>
  <c r="G17" i="60"/>
  <c r="G56" i="60" s="1"/>
  <c r="Q18" i="61"/>
  <c r="Q15" i="63"/>
  <c r="J34" i="68"/>
  <c r="J90" i="68"/>
  <c r="I34" i="68"/>
  <c r="Q29" i="58"/>
  <c r="Q48" i="58"/>
  <c r="Q69" i="58"/>
  <c r="Q42" i="59"/>
  <c r="Q55" i="59"/>
  <c r="F15" i="61"/>
  <c r="L52" i="61"/>
  <c r="Q82" i="63"/>
  <c r="G36" i="68"/>
  <c r="Q61" i="68"/>
  <c r="M61" i="69"/>
  <c r="M17" i="69"/>
  <c r="I17" i="69"/>
  <c r="I61" i="69"/>
  <c r="K48" i="70"/>
  <c r="Q17" i="70"/>
  <c r="Q29" i="70"/>
  <c r="G55" i="72"/>
  <c r="G16" i="72"/>
  <c r="E55" i="72"/>
  <c r="F48" i="82"/>
  <c r="F22" i="82"/>
  <c r="M17" i="63"/>
  <c r="M93" i="63" s="1"/>
  <c r="O17" i="63"/>
  <c r="Q88" i="63"/>
  <c r="G44" i="76"/>
  <c r="F97" i="76"/>
  <c r="F44" i="76"/>
  <c r="O14" i="63"/>
  <c r="Q77" i="68"/>
  <c r="N61" i="69"/>
  <c r="N17" i="69"/>
  <c r="M48" i="70"/>
  <c r="O48" i="70"/>
  <c r="I114" i="70"/>
  <c r="I110" i="70"/>
  <c r="Q37" i="68"/>
  <c r="M36" i="68"/>
  <c r="M90" i="68" s="1"/>
  <c r="Q63" i="68"/>
  <c r="O50" i="70"/>
  <c r="O109" i="70" s="1"/>
  <c r="M50" i="70"/>
  <c r="M109" i="70" s="1"/>
  <c r="Q59" i="63"/>
  <c r="O34" i="68"/>
  <c r="O90" i="68"/>
  <c r="N36" i="68"/>
  <c r="Q51" i="70"/>
  <c r="Q50" i="70" s="1"/>
  <c r="E15" i="63"/>
  <c r="E93" i="63"/>
  <c r="Q53" i="63"/>
  <c r="Q19" i="72"/>
  <c r="K72" i="74"/>
  <c r="G93" i="63"/>
  <c r="Q47" i="63"/>
  <c r="D10" i="68"/>
  <c r="D33" i="68" s="1"/>
  <c r="Q57" i="68"/>
  <c r="H93" i="63"/>
  <c r="E10" i="68"/>
  <c r="E33" i="68" s="1"/>
  <c r="Q20" i="68"/>
  <c r="Q44" i="69"/>
  <c r="Q79" i="70"/>
  <c r="K34" i="68"/>
  <c r="K90" i="68"/>
  <c r="Q14" i="68"/>
  <c r="L36" i="68"/>
  <c r="L90" i="68" s="1"/>
  <c r="Q71" i="68"/>
  <c r="K17" i="69"/>
  <c r="K61" i="69"/>
  <c r="L19" i="69"/>
  <c r="L61" i="69" s="1"/>
  <c r="O62" i="69"/>
  <c r="L48" i="70"/>
  <c r="Q92" i="70"/>
  <c r="Q99" i="70"/>
  <c r="F55" i="72"/>
  <c r="F16" i="72"/>
  <c r="E97" i="76"/>
  <c r="E44" i="76"/>
  <c r="Q52" i="69"/>
  <c r="Q86" i="70"/>
  <c r="E18" i="72"/>
  <c r="N90" i="68"/>
  <c r="I36" i="68"/>
  <c r="H50" i="70"/>
  <c r="H16" i="72"/>
  <c r="H55" i="72"/>
  <c r="L55" i="72"/>
  <c r="L16" i="72"/>
  <c r="Q46" i="68"/>
  <c r="Q59" i="68"/>
  <c r="Q66" i="68"/>
  <c r="E16" i="69"/>
  <c r="Q11" i="69"/>
  <c r="Q10" i="69" s="1"/>
  <c r="Q16" i="69" s="1"/>
  <c r="Q20" i="69"/>
  <c r="Q46" i="69"/>
  <c r="J50" i="70"/>
  <c r="J109" i="70" s="1"/>
  <c r="Q73" i="70"/>
  <c r="K18" i="72"/>
  <c r="K55" i="72" s="1"/>
  <c r="Q29" i="72"/>
  <c r="Q42" i="72"/>
  <c r="Q50" i="72"/>
  <c r="F16" i="69"/>
  <c r="Q23" i="70"/>
  <c r="K50" i="70"/>
  <c r="K109" i="70" s="1"/>
  <c r="Q88" i="70"/>
  <c r="Q95" i="70"/>
  <c r="Q102" i="70"/>
  <c r="K16" i="72"/>
  <c r="H61" i="69"/>
  <c r="Q40" i="69"/>
  <c r="E10" i="70"/>
  <c r="E47" i="70" s="1"/>
  <c r="N109" i="70"/>
  <c r="L50" i="70"/>
  <c r="L109" i="70" s="1"/>
  <c r="Q81" i="70"/>
  <c r="O70" i="69"/>
  <c r="O71" i="69" s="1"/>
  <c r="F10" i="70"/>
  <c r="F47" i="70" s="1"/>
  <c r="Q21" i="70"/>
  <c r="M55" i="72"/>
  <c r="M16" i="72"/>
  <c r="Q11" i="74"/>
  <c r="Q10" i="74" s="1"/>
  <c r="Q71" i="74" s="1"/>
  <c r="D10" i="74"/>
  <c r="D71" i="74" s="1"/>
  <c r="Q100" i="74"/>
  <c r="F78" i="75"/>
  <c r="F25" i="75"/>
  <c r="Q53" i="75"/>
  <c r="Q23" i="68"/>
  <c r="Q82" i="68"/>
  <c r="J16" i="69"/>
  <c r="H48" i="70"/>
  <c r="H109" i="70"/>
  <c r="Q75" i="70"/>
  <c r="N15" i="72"/>
  <c r="G78" i="75"/>
  <c r="G25" i="75"/>
  <c r="N25" i="75"/>
  <c r="N78" i="75"/>
  <c r="Q29" i="69"/>
  <c r="Q44" i="72"/>
  <c r="Q18" i="74"/>
  <c r="Q30" i="74"/>
  <c r="Q42" i="74"/>
  <c r="O142" i="74"/>
  <c r="O72" i="74"/>
  <c r="E78" i="75"/>
  <c r="E25" i="75"/>
  <c r="Q11" i="76"/>
  <c r="Q23" i="76"/>
  <c r="Q18" i="80"/>
  <c r="D18" i="80"/>
  <c r="Q16" i="74"/>
  <c r="Q21" i="74"/>
  <c r="Q33" i="74"/>
  <c r="Q45" i="74"/>
  <c r="Q75" i="74"/>
  <c r="Q10" i="75"/>
  <c r="Q24" i="75" s="1"/>
  <c r="O27" i="75"/>
  <c r="H97" i="76"/>
  <c r="H44" i="76"/>
  <c r="Q11" i="70"/>
  <c r="H142" i="74"/>
  <c r="Q26" i="74"/>
  <c r="Q38" i="74"/>
  <c r="E74" i="74"/>
  <c r="E142" i="74" s="1"/>
  <c r="Q109" i="74"/>
  <c r="Q117" i="74"/>
  <c r="Q124" i="74"/>
  <c r="J24" i="75"/>
  <c r="Q14" i="75"/>
  <c r="Q28" i="75"/>
  <c r="I97" i="76"/>
  <c r="I44" i="76"/>
  <c r="Q19" i="76"/>
  <c r="Q102" i="74"/>
  <c r="K78" i="75"/>
  <c r="K25" i="75"/>
  <c r="H83" i="75"/>
  <c r="H79" i="75"/>
  <c r="E27" i="75"/>
  <c r="J97" i="76"/>
  <c r="J44" i="76"/>
  <c r="I67" i="80"/>
  <c r="I18" i="80"/>
  <c r="H75" i="83"/>
  <c r="H17" i="83"/>
  <c r="N80" i="83"/>
  <c r="N76" i="83"/>
  <c r="Q24" i="74"/>
  <c r="Q36" i="74"/>
  <c r="L78" i="75"/>
  <c r="I78" i="75"/>
  <c r="I25" i="75"/>
  <c r="Q63" i="75"/>
  <c r="O78" i="75"/>
  <c r="Q17" i="76"/>
  <c r="N46" i="76"/>
  <c r="N97" i="76" s="1"/>
  <c r="J18" i="80"/>
  <c r="J67" i="80"/>
  <c r="H53" i="82"/>
  <c r="H49" i="82"/>
  <c r="Q17" i="74"/>
  <c r="Q29" i="74"/>
  <c r="Q41" i="74"/>
  <c r="Q111" i="74"/>
  <c r="M25" i="75"/>
  <c r="M78" i="75"/>
  <c r="L44" i="76"/>
  <c r="L97" i="76"/>
  <c r="O46" i="76"/>
  <c r="Q55" i="80"/>
  <c r="E16" i="72"/>
  <c r="Q22" i="74"/>
  <c r="Q34" i="74"/>
  <c r="Q46" i="74"/>
  <c r="I142" i="74"/>
  <c r="Q104" i="74"/>
  <c r="Q49" i="75"/>
  <c r="Q57" i="75"/>
  <c r="Q71" i="75"/>
  <c r="M44" i="76"/>
  <c r="M97" i="76"/>
  <c r="Q15" i="76"/>
  <c r="Q27" i="76"/>
  <c r="Q47" i="76"/>
  <c r="Q73" i="76"/>
  <c r="K97" i="76"/>
  <c r="Q49" i="80"/>
  <c r="M142" i="74"/>
  <c r="M72" i="74"/>
  <c r="J142" i="74"/>
  <c r="O74" i="74"/>
  <c r="G142" i="74"/>
  <c r="N44" i="76"/>
  <c r="D71" i="79"/>
  <c r="D18" i="79"/>
  <c r="Q18" i="79"/>
  <c r="N142" i="74"/>
  <c r="Q20" i="74"/>
  <c r="Q32" i="74"/>
  <c r="Q44" i="74"/>
  <c r="K74" i="74"/>
  <c r="K142" i="74" s="1"/>
  <c r="Q85" i="74"/>
  <c r="Q98" i="74"/>
  <c r="Q113" i="74"/>
  <c r="Q134" i="74"/>
  <c r="O97" i="76"/>
  <c r="O44" i="76"/>
  <c r="Q13" i="76"/>
  <c r="Q25" i="76"/>
  <c r="Q82" i="76"/>
  <c r="Q13" i="74"/>
  <c r="Q25" i="74"/>
  <c r="Q37" i="74"/>
  <c r="L142" i="74"/>
  <c r="L72" i="74"/>
  <c r="L74" i="74"/>
  <c r="Q106" i="74"/>
  <c r="D25" i="75"/>
  <c r="Q51" i="75"/>
  <c r="G46" i="76"/>
  <c r="G97" i="76" s="1"/>
  <c r="Q75" i="76"/>
  <c r="F18" i="87"/>
  <c r="F86" i="87"/>
  <c r="D27" i="75"/>
  <c r="D78" i="75" s="1"/>
  <c r="D10" i="76"/>
  <c r="D43" i="76" s="1"/>
  <c r="Q61" i="79"/>
  <c r="M18" i="80"/>
  <c r="M67" i="80"/>
  <c r="H22" i="82"/>
  <c r="E80" i="83"/>
  <c r="E76" i="83"/>
  <c r="D10" i="84"/>
  <c r="D38" i="84" s="1"/>
  <c r="Q11" i="84"/>
  <c r="Q10" i="84" s="1"/>
  <c r="Q38" i="84" s="1"/>
  <c r="O17" i="79"/>
  <c r="N18" i="79"/>
  <c r="Q48" i="79"/>
  <c r="N67" i="80"/>
  <c r="N18" i="80"/>
  <c r="D22" i="82"/>
  <c r="D48" i="82"/>
  <c r="J19" i="83"/>
  <c r="F113" i="84"/>
  <c r="F39" i="84"/>
  <c r="E113" i="84"/>
  <c r="E39" i="84"/>
  <c r="L19" i="85"/>
  <c r="L27" i="85"/>
  <c r="D46" i="76"/>
  <c r="G20" i="79"/>
  <c r="G71" i="79" s="1"/>
  <c r="L20" i="79"/>
  <c r="L71" i="79" s="1"/>
  <c r="Q55" i="79"/>
  <c r="E71" i="79"/>
  <c r="O67" i="80"/>
  <c r="L20" i="80"/>
  <c r="E22" i="82"/>
  <c r="E48" i="82"/>
  <c r="G113" i="84"/>
  <c r="G39" i="84"/>
  <c r="H113" i="84"/>
  <c r="H39" i="84"/>
  <c r="K27" i="85"/>
  <c r="K19" i="85"/>
  <c r="E18" i="85"/>
  <c r="E18" i="80"/>
  <c r="E67" i="80"/>
  <c r="G48" i="82"/>
  <c r="I75" i="83"/>
  <c r="I17" i="83"/>
  <c r="O80" i="83"/>
  <c r="O76" i="83"/>
  <c r="Q105" i="84"/>
  <c r="D15" i="91"/>
  <c r="Q15" i="91"/>
  <c r="Q84" i="76"/>
  <c r="Q64" i="79"/>
  <c r="M71" i="79"/>
  <c r="J20" i="80"/>
  <c r="G67" i="80"/>
  <c r="J22" i="82"/>
  <c r="J48" i="82"/>
  <c r="F75" i="83"/>
  <c r="F17" i="83"/>
  <c r="Q20" i="83"/>
  <c r="J113" i="84"/>
  <c r="J39" i="84"/>
  <c r="Q92" i="76"/>
  <c r="H71" i="79"/>
  <c r="H18" i="79"/>
  <c r="Q31" i="79"/>
  <c r="Q21" i="80"/>
  <c r="K20" i="80"/>
  <c r="K67" i="80" s="1"/>
  <c r="Q47" i="80"/>
  <c r="K22" i="82"/>
  <c r="K48" i="82"/>
  <c r="G75" i="83"/>
  <c r="L19" i="83"/>
  <c r="K114" i="84"/>
  <c r="K118" i="84"/>
  <c r="I71" i="79"/>
  <c r="I18" i="79"/>
  <c r="G18" i="79"/>
  <c r="Q58" i="79"/>
  <c r="H67" i="80"/>
  <c r="L22" i="82"/>
  <c r="L48" i="82"/>
  <c r="L75" i="83"/>
  <c r="L17" i="83"/>
  <c r="K75" i="83"/>
  <c r="K17" i="83"/>
  <c r="J75" i="83"/>
  <c r="Q40" i="83"/>
  <c r="E18" i="87"/>
  <c r="J17" i="92"/>
  <c r="Q86" i="76"/>
  <c r="J71" i="79"/>
  <c r="K71" i="79"/>
  <c r="F20" i="79"/>
  <c r="F71" i="79" s="1"/>
  <c r="Q66" i="79"/>
  <c r="F20" i="80"/>
  <c r="F67" i="80" s="1"/>
  <c r="Q41" i="80"/>
  <c r="I22" i="82"/>
  <c r="I48" i="82"/>
  <c r="Q25" i="82"/>
  <c r="Q24" i="82" s="1"/>
  <c r="M17" i="83"/>
  <c r="M75" i="83"/>
  <c r="I113" i="84"/>
  <c r="D27" i="85"/>
  <c r="D19" i="85"/>
  <c r="N20" i="79"/>
  <c r="N71" i="79" s="1"/>
  <c r="H18" i="80"/>
  <c r="M53" i="82"/>
  <c r="M49" i="82"/>
  <c r="H19" i="83"/>
  <c r="N39" i="84"/>
  <c r="N113" i="84"/>
  <c r="L39" i="84"/>
  <c r="L113" i="84"/>
  <c r="Q80" i="76"/>
  <c r="Q46" i="79"/>
  <c r="K18" i="80"/>
  <c r="O113" i="84"/>
  <c r="O39" i="84"/>
  <c r="Q21" i="79"/>
  <c r="Q69" i="79"/>
  <c r="L18" i="80"/>
  <c r="L67" i="80"/>
  <c r="O18" i="80"/>
  <c r="Q30" i="80"/>
  <c r="Q21" i="82"/>
  <c r="O22" i="82"/>
  <c r="O48" i="82"/>
  <c r="G22" i="82"/>
  <c r="D75" i="83"/>
  <c r="D17" i="83"/>
  <c r="Q17" i="83"/>
  <c r="Q57" i="83"/>
  <c r="Q70" i="83"/>
  <c r="K39" i="84"/>
  <c r="M18" i="87"/>
  <c r="M86" i="87"/>
  <c r="O27" i="85"/>
  <c r="D17" i="87"/>
  <c r="D20" i="87"/>
  <c r="L20" i="87"/>
  <c r="J20" i="87"/>
  <c r="Q45" i="87"/>
  <c r="Q52" i="87"/>
  <c r="Q59" i="87"/>
  <c r="Q66" i="87"/>
  <c r="Q79" i="87"/>
  <c r="Q18" i="88"/>
  <c r="Q26" i="88"/>
  <c r="O14" i="91"/>
  <c r="N80" i="91"/>
  <c r="N15" i="91"/>
  <c r="Q73" i="91"/>
  <c r="M75" i="93"/>
  <c r="Q77" i="84"/>
  <c r="Q22" i="85"/>
  <c r="Q21" i="85" s="1"/>
  <c r="H17" i="87"/>
  <c r="G18" i="87"/>
  <c r="G86" i="87"/>
  <c r="J86" i="87"/>
  <c r="N20" i="87"/>
  <c r="H15" i="88"/>
  <c r="H31" i="88"/>
  <c r="E85" i="91"/>
  <c r="E81" i="91"/>
  <c r="K77" i="92"/>
  <c r="K17" i="92"/>
  <c r="L22" i="108"/>
  <c r="L26" i="108"/>
  <c r="D20" i="80"/>
  <c r="D67" i="80" s="1"/>
  <c r="G17" i="83"/>
  <c r="Q52" i="84"/>
  <c r="Q41" i="84" s="1"/>
  <c r="J19" i="85"/>
  <c r="I17" i="87"/>
  <c r="Q11" i="87"/>
  <c r="Q10" i="87" s="1"/>
  <c r="Q17" i="87" s="1"/>
  <c r="K18" i="87"/>
  <c r="K86" i="87"/>
  <c r="Q54" i="87"/>
  <c r="Q81" i="87"/>
  <c r="I15" i="88"/>
  <c r="Q20" i="88"/>
  <c r="F80" i="91"/>
  <c r="F15" i="91"/>
  <c r="Q39" i="91"/>
  <c r="G19" i="94"/>
  <c r="G75" i="94"/>
  <c r="M41" i="84"/>
  <c r="M113" i="84" s="1"/>
  <c r="Q103" i="84"/>
  <c r="Q111" i="84"/>
  <c r="Q25" i="85"/>
  <c r="J28" i="85"/>
  <c r="L86" i="87"/>
  <c r="Q21" i="87"/>
  <c r="J31" i="88"/>
  <c r="J15" i="88"/>
  <c r="J80" i="91"/>
  <c r="N41" i="84"/>
  <c r="I27" i="85"/>
  <c r="I19" i="85"/>
  <c r="O19" i="85"/>
  <c r="E20" i="87"/>
  <c r="E86" i="87" s="1"/>
  <c r="Q48" i="87"/>
  <c r="K31" i="88"/>
  <c r="K15" i="88"/>
  <c r="Q79" i="84"/>
  <c r="Q11" i="85"/>
  <c r="Q10" i="85" s="1"/>
  <c r="Q18" i="85" s="1"/>
  <c r="F20" i="87"/>
  <c r="Q41" i="87"/>
  <c r="Q22" i="88"/>
  <c r="I80" i="91"/>
  <c r="Q28" i="91"/>
  <c r="D17" i="91"/>
  <c r="D80" i="91" s="1"/>
  <c r="G75" i="93"/>
  <c r="G18" i="93"/>
  <c r="I81" i="97"/>
  <c r="I18" i="97"/>
  <c r="H18" i="97"/>
  <c r="N48" i="82"/>
  <c r="J36" i="85"/>
  <c r="J37" i="85" s="1"/>
  <c r="J33" i="85"/>
  <c r="E15" i="91"/>
  <c r="Q64" i="91"/>
  <c r="F17" i="92"/>
  <c r="Q67" i="84"/>
  <c r="N17" i="87"/>
  <c r="M15" i="88"/>
  <c r="M31" i="88"/>
  <c r="F24" i="95"/>
  <c r="O86" i="87"/>
  <c r="O18" i="87"/>
  <c r="J18" i="87"/>
  <c r="Q30" i="87"/>
  <c r="Q43" i="87"/>
  <c r="Q77" i="87"/>
  <c r="O15" i="88"/>
  <c r="O31" i="88"/>
  <c r="Q24" i="88"/>
  <c r="M19" i="85"/>
  <c r="M27" i="85"/>
  <c r="G27" i="85"/>
  <c r="H32" i="85"/>
  <c r="N17" i="88"/>
  <c r="M80" i="91"/>
  <c r="M15" i="91"/>
  <c r="I39" i="84"/>
  <c r="Q100" i="84"/>
  <c r="N19" i="85"/>
  <c r="N27" i="85"/>
  <c r="I20" i="87"/>
  <c r="E15" i="88"/>
  <c r="E31" i="88"/>
  <c r="D15" i="88"/>
  <c r="Q52" i="91"/>
  <c r="G31" i="88"/>
  <c r="L17" i="88"/>
  <c r="L31" i="88" s="1"/>
  <c r="F17" i="91"/>
  <c r="Q50" i="91"/>
  <c r="Q57" i="91"/>
  <c r="Q78" i="91"/>
  <c r="N16" i="92"/>
  <c r="I20" i="93"/>
  <c r="I75" i="93" s="1"/>
  <c r="Q73" i="93"/>
  <c r="E75" i="94"/>
  <c r="Q10" i="94"/>
  <c r="Q18" i="94" s="1"/>
  <c r="M21" i="94"/>
  <c r="O22" i="95"/>
  <c r="O90" i="95"/>
  <c r="Q18" i="97"/>
  <c r="M86" i="97"/>
  <c r="M82" i="97"/>
  <c r="Q20" i="92"/>
  <c r="Q21" i="93"/>
  <c r="Q64" i="94"/>
  <c r="I15" i="91"/>
  <c r="J17" i="91"/>
  <c r="O19" i="92"/>
  <c r="O77" i="92" s="1"/>
  <c r="Q47" i="92"/>
  <c r="D10" i="93"/>
  <c r="D17" i="93" s="1"/>
  <c r="Q11" i="93"/>
  <c r="Q10" i="93" s="1"/>
  <c r="Q17" i="93" s="1"/>
  <c r="H75" i="93"/>
  <c r="Q61" i="93"/>
  <c r="L75" i="93"/>
  <c r="I75" i="94"/>
  <c r="I19" i="94"/>
  <c r="N14" i="88"/>
  <c r="D17" i="88"/>
  <c r="D31" i="88" s="1"/>
  <c r="H14" i="91"/>
  <c r="J15" i="91"/>
  <c r="Q11" i="92"/>
  <c r="Q10" i="92" s="1"/>
  <c r="Q16" i="92" s="1"/>
  <c r="F19" i="92"/>
  <c r="F77" i="92" s="1"/>
  <c r="Q40" i="92"/>
  <c r="F17" i="93"/>
  <c r="E17" i="93"/>
  <c r="N75" i="93"/>
  <c r="Q12" i="94"/>
  <c r="I62" i="102"/>
  <c r="I58" i="102"/>
  <c r="G15" i="91"/>
  <c r="G80" i="91"/>
  <c r="H77" i="92"/>
  <c r="H17" i="92"/>
  <c r="G19" i="92"/>
  <c r="O75" i="93"/>
  <c r="O18" i="93"/>
  <c r="K75" i="94"/>
  <c r="O21" i="94"/>
  <c r="N95" i="95"/>
  <c r="N91" i="95"/>
  <c r="F86" i="97"/>
  <c r="F82" i="97"/>
  <c r="Q41" i="91"/>
  <c r="Q54" i="91"/>
  <c r="I16" i="92"/>
  <c r="Q56" i="92"/>
  <c r="Q42" i="93"/>
  <c r="Q69" i="93"/>
  <c r="M19" i="94"/>
  <c r="M75" i="94"/>
  <c r="J24" i="95"/>
  <c r="J90" i="95" s="1"/>
  <c r="K80" i="91"/>
  <c r="K15" i="91"/>
  <c r="D19" i="92"/>
  <c r="Q42" i="92"/>
  <c r="G77" i="92"/>
  <c r="I18" i="93"/>
  <c r="N75" i="94"/>
  <c r="N19" i="94"/>
  <c r="I17" i="88"/>
  <c r="I31" i="88" s="1"/>
  <c r="L14" i="91"/>
  <c r="Q48" i="91"/>
  <c r="Q62" i="91"/>
  <c r="J19" i="92"/>
  <c r="J77" i="92" s="1"/>
  <c r="E19" i="92"/>
  <c r="E77" i="92" s="1"/>
  <c r="J17" i="93"/>
  <c r="J20" i="93"/>
  <c r="Q50" i="93"/>
  <c r="O75" i="94"/>
  <c r="O19" i="94"/>
  <c r="L75" i="94"/>
  <c r="L19" i="94"/>
  <c r="G15" i="88"/>
  <c r="Q18" i="91"/>
  <c r="Q75" i="91"/>
  <c r="L17" i="92"/>
  <c r="D17" i="92"/>
  <c r="D77" i="92"/>
  <c r="K19" i="92"/>
  <c r="Q58" i="92"/>
  <c r="K18" i="93"/>
  <c r="K75" i="93"/>
  <c r="K20" i="93"/>
  <c r="Q31" i="93"/>
  <c r="Q32" i="94"/>
  <c r="F31" i="88"/>
  <c r="M17" i="92"/>
  <c r="M77" i="92"/>
  <c r="L19" i="92"/>
  <c r="L77" i="92" s="1"/>
  <c r="Q44" i="92"/>
  <c r="Q44" i="93"/>
  <c r="Q58" i="93"/>
  <c r="D15" i="99"/>
  <c r="D52" i="99"/>
  <c r="Q15" i="99"/>
  <c r="D21" i="94"/>
  <c r="D75" i="94" s="1"/>
  <c r="F21" i="94"/>
  <c r="Q12" i="95"/>
  <c r="Q25" i="95"/>
  <c r="G86" i="97"/>
  <c r="G82" i="97"/>
  <c r="O15" i="99"/>
  <c r="N52" i="99"/>
  <c r="N15" i="99"/>
  <c r="Q18" i="99"/>
  <c r="J62" i="102"/>
  <c r="J58" i="102"/>
  <c r="Q43" i="94"/>
  <c r="L22" i="95"/>
  <c r="J18" i="97"/>
  <c r="O81" i="97"/>
  <c r="Q76" i="97"/>
  <c r="J21" i="94"/>
  <c r="Q58" i="94"/>
  <c r="M22" i="95"/>
  <c r="D24" i="95"/>
  <c r="D90" i="95" s="1"/>
  <c r="Q46" i="95"/>
  <c r="Q68" i="95"/>
  <c r="Q75" i="95"/>
  <c r="K81" i="97"/>
  <c r="K18" i="97"/>
  <c r="J20" i="97"/>
  <c r="J81" i="97" s="1"/>
  <c r="Q30" i="97"/>
  <c r="Q43" i="97"/>
  <c r="Q50" i="97"/>
  <c r="E16" i="98"/>
  <c r="E22" i="98"/>
  <c r="O40" i="101"/>
  <c r="O36" i="101"/>
  <c r="Q16" i="95"/>
  <c r="I24" i="95"/>
  <c r="L81" i="97"/>
  <c r="L18" i="97"/>
  <c r="D22" i="98"/>
  <c r="D16" i="98"/>
  <c r="M27" i="98"/>
  <c r="M23" i="98"/>
  <c r="F22" i="98"/>
  <c r="G53" i="99"/>
  <c r="G57" i="99"/>
  <c r="H52" i="99"/>
  <c r="H15" i="99"/>
  <c r="D22" i="95"/>
  <c r="N18" i="97"/>
  <c r="H16" i="98"/>
  <c r="H22" i="98"/>
  <c r="G16" i="98"/>
  <c r="G22" i="98"/>
  <c r="M53" i="99"/>
  <c r="M57" i="99"/>
  <c r="M34" i="100"/>
  <c r="M30" i="100"/>
  <c r="M15" i="102"/>
  <c r="M57" i="102"/>
  <c r="G95" i="103"/>
  <c r="G91" i="103"/>
  <c r="J23" i="104"/>
  <c r="J15" i="104"/>
  <c r="J75" i="94"/>
  <c r="Q60" i="94"/>
  <c r="E22" i="95"/>
  <c r="E90" i="95"/>
  <c r="F10" i="95"/>
  <c r="F21" i="95" s="1"/>
  <c r="I16" i="98"/>
  <c r="I22" i="98"/>
  <c r="Q22" i="98"/>
  <c r="Q16" i="98"/>
  <c r="O22" i="98"/>
  <c r="O16" i="98"/>
  <c r="J52" i="99"/>
  <c r="J15" i="99"/>
  <c r="I52" i="99"/>
  <c r="I15" i="99"/>
  <c r="N34" i="100"/>
  <c r="N30" i="100"/>
  <c r="G15" i="104"/>
  <c r="G23" i="104"/>
  <c r="H18" i="93"/>
  <c r="H75" i="94"/>
  <c r="F10" i="94"/>
  <c r="F18" i="94" s="1"/>
  <c r="Q53" i="94"/>
  <c r="H21" i="95"/>
  <c r="G10" i="95"/>
  <c r="G21" i="95" s="1"/>
  <c r="Q48" i="95"/>
  <c r="Q55" i="95"/>
  <c r="Q63" i="95"/>
  <c r="N20" i="97"/>
  <c r="N81" i="97" s="1"/>
  <c r="H20" i="97"/>
  <c r="H81" i="97" s="1"/>
  <c r="J16" i="98"/>
  <c r="J22" i="98"/>
  <c r="K52" i="99"/>
  <c r="K15" i="99"/>
  <c r="G15" i="99"/>
  <c r="I15" i="100"/>
  <c r="I29" i="100"/>
  <c r="O15" i="100"/>
  <c r="O29" i="100"/>
  <c r="I15" i="104"/>
  <c r="I23" i="104"/>
  <c r="H22" i="105"/>
  <c r="H90" i="105"/>
  <c r="I21" i="95"/>
  <c r="Q11" i="95"/>
  <c r="Q10" i="95" s="1"/>
  <c r="Q21" i="95" s="1"/>
  <c r="L95" i="95"/>
  <c r="L91" i="95"/>
  <c r="K16" i="98"/>
  <c r="K22" i="98"/>
  <c r="L22" i="98"/>
  <c r="L52" i="99"/>
  <c r="L15" i="99"/>
  <c r="Q22" i="94"/>
  <c r="Q47" i="94"/>
  <c r="J22" i="95"/>
  <c r="M96" i="95"/>
  <c r="M99" i="95" s="1"/>
  <c r="M100" i="95" s="1"/>
  <c r="G24" i="95"/>
  <c r="E18" i="97"/>
  <c r="E81" i="97"/>
  <c r="D18" i="97"/>
  <c r="D20" i="97"/>
  <c r="D81" i="97" s="1"/>
  <c r="Q21" i="97"/>
  <c r="Q20" i="97" s="1"/>
  <c r="Q81" i="97" s="1"/>
  <c r="Q73" i="97"/>
  <c r="N22" i="98"/>
  <c r="N16" i="98"/>
  <c r="F22" i="103"/>
  <c r="H18" i="107"/>
  <c r="Q55" i="94"/>
  <c r="K90" i="95"/>
  <c r="Q14" i="95"/>
  <c r="O24" i="95"/>
  <c r="Q50" i="95"/>
  <c r="Q57" i="95"/>
  <c r="Q65" i="95"/>
  <c r="Q85" i="95"/>
  <c r="M16" i="98"/>
  <c r="O17" i="99"/>
  <c r="O52" i="99" s="1"/>
  <c r="Q43" i="99"/>
  <c r="F15" i="102"/>
  <c r="L16" i="98"/>
  <c r="Q50" i="99"/>
  <c r="J15" i="101"/>
  <c r="J35" i="101"/>
  <c r="I15" i="101"/>
  <c r="I35" i="101"/>
  <c r="O90" i="103"/>
  <c r="O22" i="103"/>
  <c r="D18" i="107"/>
  <c r="J21" i="108"/>
  <c r="J15" i="108"/>
  <c r="K15" i="101"/>
  <c r="K35" i="101"/>
  <c r="G17" i="102"/>
  <c r="D90" i="103"/>
  <c r="N23" i="104"/>
  <c r="K24" i="104"/>
  <c r="Q21" i="105"/>
  <c r="I96" i="105"/>
  <c r="I99" i="105"/>
  <c r="I100" i="105" s="1"/>
  <c r="L18" i="107"/>
  <c r="L84" i="107"/>
  <c r="L38" i="100"/>
  <c r="L39" i="100" s="1"/>
  <c r="L35" i="100"/>
  <c r="K29" i="100"/>
  <c r="K15" i="100"/>
  <c r="L15" i="100"/>
  <c r="F17" i="100"/>
  <c r="K17" i="101"/>
  <c r="D57" i="102"/>
  <c r="O57" i="102"/>
  <c r="O15" i="102"/>
  <c r="Q43" i="102"/>
  <c r="Q25" i="103"/>
  <c r="Q24" i="103" s="1"/>
  <c r="J90" i="105"/>
  <c r="J22" i="105"/>
  <c r="G84" i="107"/>
  <c r="G18" i="107"/>
  <c r="Q49" i="107"/>
  <c r="E17" i="109"/>
  <c r="E73" i="109"/>
  <c r="M15" i="100"/>
  <c r="Q20" i="100"/>
  <c r="N35" i="101"/>
  <c r="M35" i="101"/>
  <c r="M15" i="101"/>
  <c r="L17" i="101"/>
  <c r="Q18" i="102"/>
  <c r="Q50" i="102"/>
  <c r="Q51" i="103"/>
  <c r="Q59" i="103"/>
  <c r="K29" i="104"/>
  <c r="K32" i="104"/>
  <c r="K33" i="104" s="1"/>
  <c r="K90" i="105"/>
  <c r="K22" i="105"/>
  <c r="I18" i="107"/>
  <c r="F26" i="108"/>
  <c r="F22" i="108"/>
  <c r="G17" i="109"/>
  <c r="G73" i="109"/>
  <c r="F17" i="109"/>
  <c r="F73" i="109"/>
  <c r="Q38" i="99"/>
  <c r="N15" i="100"/>
  <c r="Q30" i="101"/>
  <c r="E57" i="102"/>
  <c r="H22" i="103"/>
  <c r="H90" i="103"/>
  <c r="F24" i="103"/>
  <c r="F90" i="103" s="1"/>
  <c r="Q74" i="103"/>
  <c r="L15" i="104"/>
  <c r="L23" i="104"/>
  <c r="I91" i="105"/>
  <c r="J18" i="107"/>
  <c r="J84" i="107"/>
  <c r="G57" i="102"/>
  <c r="G15" i="102"/>
  <c r="F17" i="102"/>
  <c r="F57" i="102" s="1"/>
  <c r="I22" i="103"/>
  <c r="I90" i="103"/>
  <c r="Q51" i="107"/>
  <c r="M18" i="97"/>
  <c r="M15" i="99"/>
  <c r="D14" i="100"/>
  <c r="Q14" i="100"/>
  <c r="J17" i="100"/>
  <c r="Q22" i="100"/>
  <c r="Q17" i="100" s="1"/>
  <c r="E14" i="101"/>
  <c r="Q24" i="101"/>
  <c r="Q17" i="101" s="1"/>
  <c r="Q35" i="101" s="1"/>
  <c r="H15" i="102"/>
  <c r="H57" i="102"/>
  <c r="Q52" i="102"/>
  <c r="J22" i="103"/>
  <c r="Q14" i="103"/>
  <c r="L22" i="103"/>
  <c r="L90" i="103"/>
  <c r="D22" i="103"/>
  <c r="Q53" i="103"/>
  <c r="Q61" i="103"/>
  <c r="I22" i="105"/>
  <c r="J24" i="105"/>
  <c r="Q55" i="105"/>
  <c r="E34" i="100"/>
  <c r="E30" i="100"/>
  <c r="F15" i="101"/>
  <c r="F35" i="101"/>
  <c r="Q39" i="102"/>
  <c r="K22" i="103"/>
  <c r="K90" i="103"/>
  <c r="Q12" i="103"/>
  <c r="Q10" i="103" s="1"/>
  <c r="Q21" i="103" s="1"/>
  <c r="I24" i="103"/>
  <c r="Q69" i="103"/>
  <c r="N26" i="108"/>
  <c r="N22" i="108"/>
  <c r="O18" i="97"/>
  <c r="F15" i="100"/>
  <c r="F29" i="100"/>
  <c r="G15" i="101"/>
  <c r="G35" i="101"/>
  <c r="D15" i="102"/>
  <c r="E10" i="103"/>
  <c r="E21" i="103" s="1"/>
  <c r="J24" i="103"/>
  <c r="J90" i="103" s="1"/>
  <c r="Q15" i="104"/>
  <c r="O23" i="104"/>
  <c r="O15" i="104"/>
  <c r="F24" i="105"/>
  <c r="F90" i="105" s="1"/>
  <c r="Q45" i="107"/>
  <c r="Q61" i="107"/>
  <c r="E52" i="99"/>
  <c r="Q47" i="99"/>
  <c r="Q26" i="101"/>
  <c r="K15" i="102"/>
  <c r="K57" i="102"/>
  <c r="M22" i="103"/>
  <c r="M90" i="103"/>
  <c r="Q47" i="103"/>
  <c r="Q83" i="103"/>
  <c r="D22" i="105"/>
  <c r="D90" i="105"/>
  <c r="Q49" i="105"/>
  <c r="Q57" i="105"/>
  <c r="F52" i="99"/>
  <c r="H15" i="100"/>
  <c r="H29" i="100"/>
  <c r="G15" i="100"/>
  <c r="G29" i="100"/>
  <c r="L15" i="102"/>
  <c r="L57" i="102"/>
  <c r="Q28" i="102"/>
  <c r="N22" i="103"/>
  <c r="N90" i="103"/>
  <c r="F15" i="104"/>
  <c r="F23" i="104"/>
  <c r="F22" i="105"/>
  <c r="Q85" i="105"/>
  <c r="H14" i="104"/>
  <c r="Q53" i="105"/>
  <c r="E84" i="107"/>
  <c r="E18" i="107"/>
  <c r="I14" i="108"/>
  <c r="K21" i="108"/>
  <c r="K15" i="108"/>
  <c r="O27" i="108"/>
  <c r="O30" i="108" s="1"/>
  <c r="O31" i="108" s="1"/>
  <c r="D78" i="109"/>
  <c r="D74" i="109"/>
  <c r="Q42" i="109"/>
  <c r="N24" i="105"/>
  <c r="N90" i="105" s="1"/>
  <c r="K90" i="107"/>
  <c r="K93" i="107" s="1"/>
  <c r="K94" i="107" s="1"/>
  <c r="N18" i="107"/>
  <c r="N84" i="107"/>
  <c r="M20" i="107"/>
  <c r="M84" i="107" s="1"/>
  <c r="Q76" i="107"/>
  <c r="F84" i="107"/>
  <c r="H17" i="109"/>
  <c r="H73" i="109"/>
  <c r="M19" i="109"/>
  <c r="Q31" i="109"/>
  <c r="Q44" i="109"/>
  <c r="D17" i="101"/>
  <c r="D35" i="101" s="1"/>
  <c r="Q18" i="104"/>
  <c r="Q17" i="104" s="1"/>
  <c r="Q23" i="104" s="1"/>
  <c r="O24" i="105"/>
  <c r="O90" i="105" s="1"/>
  <c r="Q69" i="105"/>
  <c r="Q32" i="107"/>
  <c r="M23" i="104"/>
  <c r="M90" i="105"/>
  <c r="M22" i="105"/>
  <c r="Q25" i="105"/>
  <c r="J17" i="109"/>
  <c r="J73" i="109"/>
  <c r="Q53" i="109"/>
  <c r="H35" i="101"/>
  <c r="N57" i="102"/>
  <c r="Q63" i="105"/>
  <c r="D20" i="107"/>
  <c r="D84" i="107" s="1"/>
  <c r="Q21" i="107"/>
  <c r="Q65" i="107"/>
  <c r="M22" i="108"/>
  <c r="K17" i="109"/>
  <c r="K73" i="109"/>
  <c r="Q20" i="109"/>
  <c r="Q46" i="109"/>
  <c r="Q88" i="103"/>
  <c r="O84" i="107"/>
  <c r="K18" i="107"/>
  <c r="E20" i="107"/>
  <c r="Q59" i="107"/>
  <c r="D15" i="108"/>
  <c r="D21" i="108"/>
  <c r="Q15" i="108"/>
  <c r="Q21" i="108"/>
  <c r="L17" i="109"/>
  <c r="L73" i="109"/>
  <c r="E19" i="109"/>
  <c r="L22" i="105"/>
  <c r="L90" i="105"/>
  <c r="G24" i="105"/>
  <c r="G90" i="105" s="1"/>
  <c r="Q53" i="107"/>
  <c r="E15" i="108"/>
  <c r="E21" i="108"/>
  <c r="E14" i="104"/>
  <c r="Q65" i="105"/>
  <c r="Q47" i="107"/>
  <c r="N17" i="109"/>
  <c r="N73" i="109"/>
  <c r="Q48" i="109"/>
  <c r="J29" i="100"/>
  <c r="L35" i="101"/>
  <c r="Q16" i="105"/>
  <c r="O22" i="105"/>
  <c r="Q11" i="107"/>
  <c r="Q10" i="107" s="1"/>
  <c r="Q17" i="107" s="1"/>
  <c r="H20" i="107"/>
  <c r="H84" i="107" s="1"/>
  <c r="K85" i="107"/>
  <c r="H15" i="108"/>
  <c r="H21" i="108"/>
  <c r="O17" i="109"/>
  <c r="O73" i="109"/>
  <c r="D23" i="104"/>
  <c r="E21" i="105"/>
  <c r="Q59" i="105"/>
  <c r="I20" i="107"/>
  <c r="I84" i="107" s="1"/>
  <c r="G21" i="108"/>
  <c r="Q11" i="109"/>
  <c r="Q10" i="109" s="1"/>
  <c r="Q16" i="109" s="1"/>
  <c r="I73" i="109"/>
  <c r="M73" i="109"/>
  <c r="M89" i="107" l="1"/>
  <c r="M85" i="107"/>
  <c r="G72" i="58"/>
  <c r="G76" i="58"/>
  <c r="F102" i="51"/>
  <c r="F98" i="51"/>
  <c r="I37" i="55"/>
  <c r="I33" i="55"/>
  <c r="N234" i="18"/>
  <c r="N230" i="18"/>
  <c r="I76" i="93"/>
  <c r="I80" i="93"/>
  <c r="N72" i="79"/>
  <c r="N76" i="79"/>
  <c r="M110" i="70"/>
  <c r="M114" i="70"/>
  <c r="M65" i="59"/>
  <c r="M61" i="59"/>
  <c r="Q22" i="45"/>
  <c r="F115" i="42"/>
  <c r="F119" i="42"/>
  <c r="O208" i="15"/>
  <c r="O212" i="15"/>
  <c r="Q24" i="104"/>
  <c r="Q28" i="104"/>
  <c r="E147" i="74"/>
  <c r="E143" i="74"/>
  <c r="L91" i="68"/>
  <c r="L95" i="68"/>
  <c r="O110" i="70"/>
  <c r="O114" i="70"/>
  <c r="F61" i="59"/>
  <c r="F65" i="59"/>
  <c r="M72" i="58"/>
  <c r="M76" i="58"/>
  <c r="F160" i="30"/>
  <c r="F156" i="30"/>
  <c r="I160" i="30"/>
  <c r="I156" i="30"/>
  <c r="M100" i="9"/>
  <c r="M96" i="9"/>
  <c r="E82" i="92"/>
  <c r="E78" i="92"/>
  <c r="D85" i="91"/>
  <c r="D81" i="91"/>
  <c r="K114" i="70"/>
  <c r="K110" i="70"/>
  <c r="M98" i="51"/>
  <c r="M102" i="51"/>
  <c r="L123" i="39"/>
  <c r="L119" i="39"/>
  <c r="N214" i="12"/>
  <c r="N218" i="12"/>
  <c r="O96" i="9"/>
  <c r="O100" i="9"/>
  <c r="H100" i="9"/>
  <c r="H96" i="9"/>
  <c r="O91" i="105"/>
  <c r="O95" i="105"/>
  <c r="J78" i="92"/>
  <c r="J82" i="92"/>
  <c r="D83" i="75"/>
  <c r="D79" i="75"/>
  <c r="M95" i="68"/>
  <c r="M91" i="68"/>
  <c r="G119" i="42"/>
  <c r="G115" i="42"/>
  <c r="D156" i="30"/>
  <c r="D160" i="30"/>
  <c r="D91" i="24"/>
  <c r="D95" i="24"/>
  <c r="F95" i="105"/>
  <c r="F91" i="105"/>
  <c r="D68" i="80"/>
  <c r="D72" i="80"/>
  <c r="F72" i="80"/>
  <c r="F68" i="80"/>
  <c r="N57" i="61"/>
  <c r="N53" i="61"/>
  <c r="I65" i="59"/>
  <c r="I61" i="59"/>
  <c r="Q111" i="12"/>
  <c r="I208" i="15"/>
  <c r="I212" i="15"/>
  <c r="H89" i="107"/>
  <c r="H85" i="107"/>
  <c r="I85" i="107"/>
  <c r="I89" i="107"/>
  <c r="J95" i="103"/>
  <c r="J91" i="103"/>
  <c r="Q40" i="101"/>
  <c r="Q36" i="101"/>
  <c r="F91" i="103"/>
  <c r="F95" i="103"/>
  <c r="K147" i="74"/>
  <c r="K143" i="74"/>
  <c r="M94" i="63"/>
  <c r="M98" i="63"/>
  <c r="F61" i="60"/>
  <c r="F57" i="60"/>
  <c r="Q97" i="51"/>
  <c r="Q44" i="51"/>
  <c r="M102" i="45"/>
  <c r="M98" i="45"/>
  <c r="J122" i="36"/>
  <c r="J126" i="36"/>
  <c r="E79" i="33"/>
  <c r="E83" i="33"/>
  <c r="O156" i="30"/>
  <c r="O160" i="30"/>
  <c r="I126" i="36"/>
  <c r="I122" i="36"/>
  <c r="N160" i="30"/>
  <c r="N156" i="30"/>
  <c r="J156" i="30"/>
  <c r="J160" i="30"/>
  <c r="D36" i="88"/>
  <c r="D32" i="88"/>
  <c r="K72" i="80"/>
  <c r="K68" i="80"/>
  <c r="J114" i="70"/>
  <c r="J110" i="70"/>
  <c r="K82" i="56"/>
  <c r="K78" i="56"/>
  <c r="K115" i="42"/>
  <c r="K119" i="42"/>
  <c r="O57" i="99"/>
  <c r="O53" i="99"/>
  <c r="D95" i="95"/>
  <c r="D91" i="95"/>
  <c r="D80" i="94"/>
  <c r="D76" i="94"/>
  <c r="F82" i="92"/>
  <c r="F78" i="92"/>
  <c r="G76" i="79"/>
  <c r="G72" i="79"/>
  <c r="M61" i="60"/>
  <c r="M57" i="60"/>
  <c r="J123" i="39"/>
  <c r="J119" i="39"/>
  <c r="K95" i="24"/>
  <c r="K91" i="24"/>
  <c r="F96" i="21"/>
  <c r="F100" i="21"/>
  <c r="Q129" i="18"/>
  <c r="E160" i="30"/>
  <c r="E156" i="30"/>
  <c r="L78" i="92"/>
  <c r="L82" i="92"/>
  <c r="F72" i="57"/>
  <c r="F68" i="57"/>
  <c r="Q33" i="55"/>
  <c r="Q37" i="55"/>
  <c r="N122" i="36"/>
  <c r="N126" i="36"/>
  <c r="D33" i="55"/>
  <c r="D37" i="55"/>
  <c r="M115" i="42"/>
  <c r="M119" i="42"/>
  <c r="F58" i="102"/>
  <c r="F62" i="102"/>
  <c r="G95" i="105"/>
  <c r="G91" i="105"/>
  <c r="D89" i="107"/>
  <c r="D85" i="107"/>
  <c r="I32" i="88"/>
  <c r="I36" i="88"/>
  <c r="L94" i="63"/>
  <c r="L98" i="63"/>
  <c r="D76" i="58"/>
  <c r="D72" i="58"/>
  <c r="D65" i="59"/>
  <c r="D61" i="59"/>
  <c r="O115" i="42"/>
  <c r="O119" i="42"/>
  <c r="N102" i="45"/>
  <c r="N98" i="45"/>
  <c r="H160" i="30"/>
  <c r="H156" i="30"/>
  <c r="G123" i="39"/>
  <c r="G119" i="39"/>
  <c r="L126" i="36"/>
  <c r="L122" i="36"/>
  <c r="I96" i="21"/>
  <c r="I100" i="21"/>
  <c r="M111" i="27"/>
  <c r="M115" i="27"/>
  <c r="L65" i="59"/>
  <c r="L61" i="59"/>
  <c r="Q86" i="97"/>
  <c r="Q82" i="97"/>
  <c r="H86" i="97"/>
  <c r="H82" i="97"/>
  <c r="L114" i="70"/>
  <c r="L110" i="70"/>
  <c r="G57" i="60"/>
  <c r="G61" i="60"/>
  <c r="K65" i="59"/>
  <c r="K61" i="59"/>
  <c r="Q96" i="9"/>
  <c r="Q100" i="9"/>
  <c r="N100" i="9"/>
  <c r="N96" i="9"/>
  <c r="O57" i="61"/>
  <c r="O53" i="61"/>
  <c r="Q90" i="103"/>
  <c r="Q22" i="103"/>
  <c r="D86" i="97"/>
  <c r="D82" i="97"/>
  <c r="N82" i="97"/>
  <c r="N86" i="97"/>
  <c r="J86" i="97"/>
  <c r="J82" i="97"/>
  <c r="J91" i="95"/>
  <c r="J95" i="95"/>
  <c r="E91" i="87"/>
  <c r="E87" i="87"/>
  <c r="G102" i="76"/>
  <c r="G98" i="76"/>
  <c r="N102" i="76"/>
  <c r="N98" i="76"/>
  <c r="K60" i="72"/>
  <c r="K56" i="72"/>
  <c r="L62" i="69"/>
  <c r="L66" i="69"/>
  <c r="E76" i="58"/>
  <c r="E72" i="58"/>
  <c r="J76" i="58"/>
  <c r="J72" i="58"/>
  <c r="L102" i="51"/>
  <c r="L98" i="51"/>
  <c r="I76" i="58"/>
  <c r="I72" i="58"/>
  <c r="L76" i="58"/>
  <c r="L72" i="58"/>
  <c r="H122" i="36"/>
  <c r="H126" i="36"/>
  <c r="J115" i="27"/>
  <c r="J111" i="27"/>
  <c r="H123" i="39"/>
  <c r="H119" i="39"/>
  <c r="F24" i="104"/>
  <c r="F28" i="104"/>
  <c r="E15" i="101"/>
  <c r="E35" i="101"/>
  <c r="G22" i="95"/>
  <c r="G90" i="95"/>
  <c r="O41" i="101"/>
  <c r="O44" i="101" s="1"/>
  <c r="O45" i="101" s="1"/>
  <c r="H80" i="91"/>
  <c r="H15" i="91"/>
  <c r="H80" i="83"/>
  <c r="H76" i="83"/>
  <c r="K72" i="58"/>
  <c r="K76" i="58"/>
  <c r="I79" i="33"/>
  <c r="I83" i="33"/>
  <c r="E247" i="3"/>
  <c r="E251" i="3"/>
  <c r="G25" i="7"/>
  <c r="G17" i="7"/>
  <c r="I22" i="95"/>
  <c r="I90" i="95"/>
  <c r="L36" i="88"/>
  <c r="L32" i="88"/>
  <c r="J91" i="87"/>
  <c r="J87" i="87"/>
  <c r="L147" i="74"/>
  <c r="L143" i="74"/>
  <c r="Q72" i="74"/>
  <c r="D62" i="69"/>
  <c r="D66" i="69"/>
  <c r="E24" i="42"/>
  <c r="E114" i="42"/>
  <c r="G25" i="28"/>
  <c r="G17" i="28"/>
  <c r="Q17" i="109"/>
  <c r="Q26" i="108"/>
  <c r="Q22" i="108"/>
  <c r="Q19" i="109"/>
  <c r="Q73" i="109" s="1"/>
  <c r="I21" i="108"/>
  <c r="I15" i="108"/>
  <c r="F57" i="99"/>
  <c r="F53" i="99"/>
  <c r="G40" i="101"/>
  <c r="G36" i="101"/>
  <c r="K95" i="103"/>
  <c r="K91" i="103"/>
  <c r="I95" i="103"/>
  <c r="I91" i="103"/>
  <c r="J95" i="105"/>
  <c r="J91" i="105"/>
  <c r="K36" i="101"/>
  <c r="K40" i="101"/>
  <c r="J40" i="101"/>
  <c r="J36" i="101"/>
  <c r="L96" i="95"/>
  <c r="L99" i="95" s="1"/>
  <c r="L100" i="95" s="1"/>
  <c r="I53" i="99"/>
  <c r="I57" i="99"/>
  <c r="G27" i="98"/>
  <c r="G23" i="98"/>
  <c r="G61" i="99"/>
  <c r="G62" i="99" s="1"/>
  <c r="G58" i="99"/>
  <c r="K76" i="93"/>
  <c r="K80" i="93"/>
  <c r="L80" i="94"/>
  <c r="L76" i="94"/>
  <c r="F87" i="97"/>
  <c r="F90" i="97" s="1"/>
  <c r="F91" i="97" s="1"/>
  <c r="G81" i="91"/>
  <c r="G85" i="91"/>
  <c r="D75" i="93"/>
  <c r="D18" i="93"/>
  <c r="M28" i="85"/>
  <c r="M32" i="85"/>
  <c r="M36" i="88"/>
  <c r="M32" i="88"/>
  <c r="G80" i="94"/>
  <c r="G76" i="94"/>
  <c r="O80" i="91"/>
  <c r="O15" i="91"/>
  <c r="D80" i="83"/>
  <c r="D76" i="83"/>
  <c r="Q20" i="79"/>
  <c r="Q71" i="79" s="1"/>
  <c r="D97" i="76"/>
  <c r="D44" i="76"/>
  <c r="Q46" i="76"/>
  <c r="O83" i="75"/>
  <c r="O79" i="75"/>
  <c r="H87" i="75"/>
  <c r="H88" i="75" s="1"/>
  <c r="H84" i="75"/>
  <c r="H114" i="70"/>
  <c r="H110" i="70"/>
  <c r="F61" i="69"/>
  <c r="F17" i="69"/>
  <c r="H98" i="63"/>
  <c r="H94" i="63"/>
  <c r="Q18" i="72"/>
  <c r="Q55" i="72" s="1"/>
  <c r="I115" i="70"/>
  <c r="I118" i="70" s="1"/>
  <c r="I119" i="70" s="1"/>
  <c r="F53" i="82"/>
  <c r="F49" i="82"/>
  <c r="H76" i="58"/>
  <c r="H72" i="58"/>
  <c r="O60" i="59"/>
  <c r="O15" i="59"/>
  <c r="F91" i="68"/>
  <c r="F95" i="68"/>
  <c r="G72" i="57"/>
  <c r="G68" i="57"/>
  <c r="D26" i="54"/>
  <c r="D22" i="54"/>
  <c r="Q17" i="57"/>
  <c r="Q67" i="57" s="1"/>
  <c r="D102" i="45"/>
  <c r="D98" i="45"/>
  <c r="J72" i="57"/>
  <c r="J68" i="57"/>
  <c r="H102" i="51"/>
  <c r="H98" i="51"/>
  <c r="Q17" i="56"/>
  <c r="Q77" i="56" s="1"/>
  <c r="O68" i="57"/>
  <c r="O72" i="57"/>
  <c r="J115" i="42"/>
  <c r="J119" i="42"/>
  <c r="Q10" i="48"/>
  <c r="Q16" i="48" s="1"/>
  <c r="N24" i="42"/>
  <c r="N114" i="42"/>
  <c r="M126" i="36"/>
  <c r="M122" i="36"/>
  <c r="Q10" i="39"/>
  <c r="Q26" i="39" s="1"/>
  <c r="Q24" i="21"/>
  <c r="L34" i="24"/>
  <c r="L90" i="24"/>
  <c r="Q131" i="18"/>
  <c r="Q229" i="18" s="1"/>
  <c r="I49" i="27"/>
  <c r="I110" i="27"/>
  <c r="L84" i="33"/>
  <c r="L87" i="33"/>
  <c r="L88" i="33" s="1"/>
  <c r="K100" i="9"/>
  <c r="K96" i="9"/>
  <c r="E96" i="9"/>
  <c r="E100" i="9"/>
  <c r="J27" i="6"/>
  <c r="J32" i="6"/>
  <c r="J33" i="6" s="1"/>
  <c r="E25" i="110"/>
  <c r="E17" i="110"/>
  <c r="E25" i="47"/>
  <c r="E17" i="47"/>
  <c r="G17" i="46"/>
  <c r="G25" i="46"/>
  <c r="D25" i="34"/>
  <c r="D17" i="34"/>
  <c r="E25" i="20"/>
  <c r="E17" i="20"/>
  <c r="E25" i="32"/>
  <c r="E17" i="32"/>
  <c r="E25" i="13"/>
  <c r="E17" i="13"/>
  <c r="G17" i="14"/>
  <c r="G25" i="14"/>
  <c r="G17" i="5"/>
  <c r="G25" i="5"/>
  <c r="E23" i="104"/>
  <c r="E15" i="104"/>
  <c r="D17" i="8"/>
  <c r="D25" i="8"/>
  <c r="J53" i="99"/>
  <c r="J57" i="99"/>
  <c r="O82" i="92"/>
  <c r="O78" i="92"/>
  <c r="I85" i="91"/>
  <c r="I81" i="91"/>
  <c r="K91" i="87"/>
  <c r="K87" i="87"/>
  <c r="O53" i="82"/>
  <c r="O49" i="82"/>
  <c r="D113" i="84"/>
  <c r="D39" i="84"/>
  <c r="N83" i="75"/>
  <c r="N79" i="75"/>
  <c r="E102" i="45"/>
  <c r="E98" i="45"/>
  <c r="Q27" i="33"/>
  <c r="H26" i="6"/>
  <c r="H22" i="6"/>
  <c r="G229" i="18"/>
  <c r="G129" i="18"/>
  <c r="L234" i="18"/>
  <c r="L230" i="18"/>
  <c r="E34" i="24"/>
  <c r="E90" i="24"/>
  <c r="O251" i="3"/>
  <c r="O247" i="3"/>
  <c r="E25" i="5"/>
  <c r="E17" i="5"/>
  <c r="N91" i="103"/>
  <c r="N95" i="103"/>
  <c r="D95" i="105"/>
  <c r="D91" i="105"/>
  <c r="N40" i="101"/>
  <c r="N36" i="101"/>
  <c r="Q21" i="94"/>
  <c r="H91" i="105"/>
  <c r="H95" i="105"/>
  <c r="J28" i="104"/>
  <c r="J24" i="104"/>
  <c r="E27" i="98"/>
  <c r="E23" i="98"/>
  <c r="Q24" i="95"/>
  <c r="N76" i="94"/>
  <c r="N80" i="94"/>
  <c r="M76" i="94"/>
  <c r="M80" i="94"/>
  <c r="G36" i="88"/>
  <c r="G32" i="88"/>
  <c r="G91" i="87"/>
  <c r="G87" i="87"/>
  <c r="O32" i="85"/>
  <c r="O28" i="85"/>
  <c r="O114" i="84"/>
  <c r="O118" i="84"/>
  <c r="G118" i="84"/>
  <c r="G114" i="84"/>
  <c r="M102" i="76"/>
  <c r="M98" i="76"/>
  <c r="I79" i="75"/>
  <c r="I83" i="75"/>
  <c r="I72" i="80"/>
  <c r="I68" i="80"/>
  <c r="O95" i="68"/>
  <c r="O91" i="68"/>
  <c r="G56" i="72"/>
  <c r="G60" i="72"/>
  <c r="J98" i="63"/>
  <c r="J94" i="63"/>
  <c r="M72" i="57"/>
  <c r="M68" i="57"/>
  <c r="D57" i="61"/>
  <c r="D53" i="61"/>
  <c r="M82" i="56"/>
  <c r="M78" i="56"/>
  <c r="L61" i="60"/>
  <c r="L57" i="60"/>
  <c r="L37" i="55"/>
  <c r="L33" i="55"/>
  <c r="Q17" i="58"/>
  <c r="Q71" i="58" s="1"/>
  <c r="F78" i="56"/>
  <c r="F82" i="56"/>
  <c r="D114" i="42"/>
  <c r="D24" i="42"/>
  <c r="D57" i="60"/>
  <c r="D61" i="60"/>
  <c r="K102" i="45"/>
  <c r="K98" i="45"/>
  <c r="M78" i="33"/>
  <c r="M25" i="33"/>
  <c r="F102" i="45"/>
  <c r="F98" i="45"/>
  <c r="Q10" i="36"/>
  <c r="Q25" i="36" s="1"/>
  <c r="F121" i="36"/>
  <c r="F26" i="36"/>
  <c r="Q22" i="21"/>
  <c r="Q95" i="21"/>
  <c r="Q36" i="24"/>
  <c r="Q90" i="24" s="1"/>
  <c r="K238" i="18"/>
  <c r="K239" i="18" s="1"/>
  <c r="K235" i="18"/>
  <c r="G214" i="12"/>
  <c r="G218" i="12"/>
  <c r="L96" i="21"/>
  <c r="L100" i="21"/>
  <c r="F100" i="9"/>
  <c r="F96" i="9"/>
  <c r="F213" i="15"/>
  <c r="F216" i="15" s="1"/>
  <c r="F217" i="15" s="1"/>
  <c r="M161" i="30"/>
  <c r="M164" i="30"/>
  <c r="M165" i="30" s="1"/>
  <c r="G100" i="9"/>
  <c r="G96" i="9"/>
  <c r="H251" i="3"/>
  <c r="H247" i="3"/>
  <c r="G17" i="111"/>
  <c r="G25" i="111"/>
  <c r="G17" i="53"/>
  <c r="G25" i="53"/>
  <c r="G25" i="40"/>
  <c r="G17" i="40"/>
  <c r="D17" i="44"/>
  <c r="D25" i="44"/>
  <c r="E25" i="25"/>
  <c r="E17" i="25"/>
  <c r="E17" i="29"/>
  <c r="E25" i="29"/>
  <c r="D17" i="17"/>
  <c r="D25" i="17"/>
  <c r="D17" i="19"/>
  <c r="D25" i="19"/>
  <c r="E25" i="7"/>
  <c r="E17" i="7"/>
  <c r="D17" i="46"/>
  <c r="D25" i="46"/>
  <c r="F34" i="100"/>
  <c r="F30" i="100"/>
  <c r="H27" i="98"/>
  <c r="H23" i="98"/>
  <c r="E25" i="43"/>
  <c r="E17" i="43"/>
  <c r="E58" i="102"/>
  <c r="E62" i="102"/>
  <c r="O23" i="98"/>
  <c r="O27" i="98"/>
  <c r="M82" i="92"/>
  <c r="M78" i="92"/>
  <c r="D78" i="92"/>
  <c r="D82" i="92"/>
  <c r="N96" i="95"/>
  <c r="N99" i="95" s="1"/>
  <c r="N100" i="95" s="1"/>
  <c r="Q19" i="94"/>
  <c r="Q75" i="94"/>
  <c r="J36" i="88"/>
  <c r="J32" i="88"/>
  <c r="F81" i="91"/>
  <c r="F85" i="91"/>
  <c r="Q86" i="87"/>
  <c r="Q18" i="87"/>
  <c r="K78" i="92"/>
  <c r="K82" i="92"/>
  <c r="Q17" i="88"/>
  <c r="Q31" i="88" s="1"/>
  <c r="M91" i="87"/>
  <c r="M87" i="87"/>
  <c r="Q22" i="82"/>
  <c r="Q48" i="82"/>
  <c r="N118" i="84"/>
  <c r="N114" i="84"/>
  <c r="D32" i="85"/>
  <c r="D28" i="85"/>
  <c r="F76" i="79"/>
  <c r="F72" i="79"/>
  <c r="K76" i="83"/>
  <c r="K80" i="83"/>
  <c r="F80" i="83"/>
  <c r="F76" i="83"/>
  <c r="O84" i="83"/>
  <c r="O85" i="83" s="1"/>
  <c r="O81" i="83"/>
  <c r="E49" i="82"/>
  <c r="E53" i="82"/>
  <c r="L32" i="85"/>
  <c r="L28" i="85"/>
  <c r="N68" i="80"/>
  <c r="N72" i="80"/>
  <c r="E84" i="83"/>
  <c r="E85" i="83" s="1"/>
  <c r="E81" i="83"/>
  <c r="J147" i="74"/>
  <c r="J143" i="74"/>
  <c r="L102" i="76"/>
  <c r="L98" i="76"/>
  <c r="L79" i="75"/>
  <c r="L83" i="75"/>
  <c r="Q10" i="76"/>
  <c r="Q43" i="76" s="1"/>
  <c r="D90" i="68"/>
  <c r="D34" i="68"/>
  <c r="I53" i="61"/>
  <c r="I57" i="61"/>
  <c r="N98" i="63"/>
  <c r="N94" i="63"/>
  <c r="E53" i="61"/>
  <c r="E57" i="61"/>
  <c r="D97" i="51"/>
  <c r="D44" i="51"/>
  <c r="I61" i="60"/>
  <c r="I57" i="60"/>
  <c r="I73" i="48"/>
  <c r="I17" i="48"/>
  <c r="H95" i="68"/>
  <c r="H91" i="68"/>
  <c r="E57" i="60"/>
  <c r="E61" i="60"/>
  <c r="N37" i="55"/>
  <c r="N33" i="55"/>
  <c r="J22" i="54"/>
  <c r="J26" i="54"/>
  <c r="Q24" i="45"/>
  <c r="Q97" i="45" s="1"/>
  <c r="E123" i="39"/>
  <c r="E119" i="39"/>
  <c r="H230" i="18"/>
  <c r="H234" i="18"/>
  <c r="Q78" i="33"/>
  <c r="Q25" i="33"/>
  <c r="D234" i="18"/>
  <c r="D230" i="18"/>
  <c r="Q51" i="27"/>
  <c r="Q110" i="27" s="1"/>
  <c r="M100" i="21"/>
  <c r="M96" i="21"/>
  <c r="M234" i="18"/>
  <c r="M230" i="18"/>
  <c r="J218" i="12"/>
  <c r="J214" i="12"/>
  <c r="E26" i="6"/>
  <c r="E22" i="6"/>
  <c r="L22" i="6"/>
  <c r="L26" i="6"/>
  <c r="E17" i="111"/>
  <c r="E25" i="111"/>
  <c r="E17" i="50"/>
  <c r="E25" i="50"/>
  <c r="G25" i="38"/>
  <c r="G17" i="38"/>
  <c r="G17" i="37"/>
  <c r="G25" i="37"/>
  <c r="E25" i="23"/>
  <c r="E17" i="23"/>
  <c r="G17" i="26"/>
  <c r="G25" i="26"/>
  <c r="G25" i="10"/>
  <c r="G17" i="10"/>
  <c r="E25" i="16"/>
  <c r="E17" i="16"/>
  <c r="D25" i="5"/>
  <c r="D17" i="5"/>
  <c r="J80" i="94"/>
  <c r="J76" i="94"/>
  <c r="F147" i="74"/>
  <c r="F143" i="74"/>
  <c r="L82" i="56"/>
  <c r="L78" i="56"/>
  <c r="K78" i="48"/>
  <c r="K74" i="48"/>
  <c r="F91" i="24"/>
  <c r="F95" i="24"/>
  <c r="K26" i="6"/>
  <c r="K22" i="6"/>
  <c r="K251" i="3"/>
  <c r="K247" i="3"/>
  <c r="D25" i="32"/>
  <c r="D17" i="32"/>
  <c r="L118" i="84"/>
  <c r="L114" i="84"/>
  <c r="L95" i="103"/>
  <c r="L91" i="103"/>
  <c r="J26" i="108"/>
  <c r="J22" i="108"/>
  <c r="F75" i="94"/>
  <c r="F19" i="94"/>
  <c r="I66" i="102"/>
  <c r="I67" i="102" s="1"/>
  <c r="I63" i="102"/>
  <c r="E90" i="105"/>
  <c r="E22" i="105"/>
  <c r="Q20" i="107"/>
  <c r="D15" i="100"/>
  <c r="D29" i="100"/>
  <c r="J89" i="107"/>
  <c r="J85" i="107"/>
  <c r="K91" i="105"/>
  <c r="K95" i="105"/>
  <c r="E86" i="97"/>
  <c r="E82" i="97"/>
  <c r="L57" i="99"/>
  <c r="L53" i="99"/>
  <c r="I28" i="104"/>
  <c r="I24" i="104"/>
  <c r="H76" i="94"/>
  <c r="H80" i="94"/>
  <c r="G96" i="103"/>
  <c r="G99" i="103" s="1"/>
  <c r="G100" i="103" s="1"/>
  <c r="J75" i="93"/>
  <c r="J18" i="93"/>
  <c r="N31" i="88"/>
  <c r="N15" i="88"/>
  <c r="E80" i="94"/>
  <c r="E76" i="94"/>
  <c r="N53" i="82"/>
  <c r="N49" i="82"/>
  <c r="K36" i="88"/>
  <c r="K32" i="88"/>
  <c r="Q20" i="87"/>
  <c r="I86" i="87"/>
  <c r="I18" i="87"/>
  <c r="H18" i="87"/>
  <c r="H86" i="87"/>
  <c r="I114" i="84"/>
  <c r="I118" i="84"/>
  <c r="K76" i="79"/>
  <c r="K72" i="79"/>
  <c r="Q20" i="80"/>
  <c r="Q67" i="80" s="1"/>
  <c r="J53" i="82"/>
  <c r="J49" i="82"/>
  <c r="G83" i="75"/>
  <c r="G79" i="75"/>
  <c r="F109" i="70"/>
  <c r="F48" i="70"/>
  <c r="N110" i="70"/>
  <c r="N114" i="70"/>
  <c r="O93" i="63"/>
  <c r="O15" i="63"/>
  <c r="Q17" i="61"/>
  <c r="Q52" i="61" s="1"/>
  <c r="G90" i="68"/>
  <c r="G34" i="68"/>
  <c r="K37" i="55"/>
  <c r="K33" i="55"/>
  <c r="H37" i="55"/>
  <c r="H33" i="55"/>
  <c r="N67" i="57"/>
  <c r="N15" i="57"/>
  <c r="O32" i="55"/>
  <c r="O15" i="55"/>
  <c r="O22" i="45"/>
  <c r="O97" i="45"/>
  <c r="J78" i="48"/>
  <c r="J74" i="48"/>
  <c r="K21" i="54"/>
  <c r="K15" i="54"/>
  <c r="J83" i="33"/>
  <c r="J79" i="33"/>
  <c r="F25" i="33"/>
  <c r="F78" i="33"/>
  <c r="E22" i="21"/>
  <c r="E95" i="21"/>
  <c r="K115" i="27"/>
  <c r="K111" i="27"/>
  <c r="D207" i="15"/>
  <c r="D107" i="15"/>
  <c r="J208" i="15"/>
  <c r="J212" i="15"/>
  <c r="L218" i="12"/>
  <c r="L214" i="12"/>
  <c r="D27" i="6"/>
  <c r="D32" i="6" s="1"/>
  <c r="D33" i="6" s="1"/>
  <c r="H212" i="15"/>
  <c r="H208" i="15"/>
  <c r="Q113" i="12"/>
  <c r="Q213" i="12" s="1"/>
  <c r="M22" i="6"/>
  <c r="M26" i="6"/>
  <c r="Q246" i="3"/>
  <c r="Q138" i="3"/>
  <c r="D17" i="111"/>
  <c r="D25" i="111"/>
  <c r="E17" i="46"/>
  <c r="E25" i="46"/>
  <c r="G25" i="34"/>
  <c r="G17" i="34"/>
  <c r="G25" i="41"/>
  <c r="G17" i="41"/>
  <c r="D25" i="20"/>
  <c r="D17" i="20"/>
  <c r="D17" i="22"/>
  <c r="D25" i="22"/>
  <c r="G25" i="20"/>
  <c r="G17" i="20"/>
  <c r="E17" i="14"/>
  <c r="E25" i="14"/>
  <c r="D17" i="29"/>
  <c r="D25" i="29"/>
  <c r="N28" i="85"/>
  <c r="N32" i="85"/>
  <c r="D86" i="87"/>
  <c r="D18" i="87"/>
  <c r="J114" i="84"/>
  <c r="J118" i="84"/>
  <c r="H54" i="82"/>
  <c r="H57" i="82" s="1"/>
  <c r="H58" i="82" s="1"/>
  <c r="D60" i="72"/>
  <c r="D56" i="72"/>
  <c r="J102" i="45"/>
  <c r="J98" i="45"/>
  <c r="F229" i="18"/>
  <c r="F129" i="18"/>
  <c r="E17" i="44"/>
  <c r="E25" i="44"/>
  <c r="D40" i="101"/>
  <c r="D36" i="101"/>
  <c r="O76" i="94"/>
  <c r="O80" i="94"/>
  <c r="N18" i="87"/>
  <c r="N86" i="87"/>
  <c r="Q19" i="83"/>
  <c r="Q75" i="83" s="1"/>
  <c r="J102" i="51"/>
  <c r="J98" i="51"/>
  <c r="H78" i="48"/>
  <c r="H74" i="48"/>
  <c r="F119" i="39"/>
  <c r="F123" i="39"/>
  <c r="G17" i="50"/>
  <c r="G25" i="50"/>
  <c r="N95" i="105"/>
  <c r="N91" i="105"/>
  <c r="H78" i="109"/>
  <c r="H74" i="109"/>
  <c r="L62" i="102"/>
  <c r="L58" i="102"/>
  <c r="O24" i="104"/>
  <c r="O28" i="104"/>
  <c r="D62" i="102"/>
  <c r="D58" i="102"/>
  <c r="L27" i="98"/>
  <c r="L23" i="98"/>
  <c r="Q27" i="98"/>
  <c r="Q23" i="98"/>
  <c r="D27" i="98"/>
  <c r="D23" i="98"/>
  <c r="K80" i="94"/>
  <c r="K76" i="94"/>
  <c r="N80" i="93"/>
  <c r="N76" i="93"/>
  <c r="M81" i="91"/>
  <c r="M85" i="91"/>
  <c r="O91" i="87"/>
  <c r="O87" i="87"/>
  <c r="L91" i="87"/>
  <c r="L87" i="87"/>
  <c r="E86" i="91"/>
  <c r="E89" i="91"/>
  <c r="E90" i="91" s="1"/>
  <c r="M80" i="83"/>
  <c r="M76" i="83"/>
  <c r="J72" i="79"/>
  <c r="J76" i="79"/>
  <c r="L80" i="83"/>
  <c r="L76" i="83"/>
  <c r="I72" i="79"/>
  <c r="I76" i="79"/>
  <c r="I80" i="83"/>
  <c r="I76" i="83"/>
  <c r="M143" i="74"/>
  <c r="M147" i="74"/>
  <c r="M83" i="75"/>
  <c r="M79" i="75"/>
  <c r="H143" i="74"/>
  <c r="H147" i="74"/>
  <c r="E83" i="75"/>
  <c r="E79" i="75"/>
  <c r="E48" i="70"/>
  <c r="E109" i="70"/>
  <c r="L60" i="72"/>
  <c r="L56" i="72"/>
  <c r="E34" i="68"/>
  <c r="E90" i="68"/>
  <c r="Q36" i="68"/>
  <c r="N66" i="69"/>
  <c r="N62" i="69"/>
  <c r="Q17" i="60"/>
  <c r="Q56" i="60" s="1"/>
  <c r="G57" i="61"/>
  <c r="G53" i="61"/>
  <c r="M74" i="48"/>
  <c r="M78" i="48"/>
  <c r="L72" i="57"/>
  <c r="L68" i="57"/>
  <c r="L74" i="48"/>
  <c r="L78" i="48"/>
  <c r="F98" i="63"/>
  <c r="F94" i="63"/>
  <c r="E33" i="55"/>
  <c r="E37" i="55"/>
  <c r="G82" i="56"/>
  <c r="G78" i="56"/>
  <c r="M37" i="55"/>
  <c r="M33" i="55"/>
  <c r="K72" i="57"/>
  <c r="K68" i="57"/>
  <c r="D78" i="48"/>
  <c r="D74" i="48"/>
  <c r="L119" i="42"/>
  <c r="L115" i="42"/>
  <c r="K102" i="51"/>
  <c r="K98" i="51"/>
  <c r="K83" i="33"/>
  <c r="K79" i="33"/>
  <c r="H115" i="27"/>
  <c r="H111" i="27"/>
  <c r="L103" i="45"/>
  <c r="L106" i="45" s="1"/>
  <c r="L107" i="45" s="1"/>
  <c r="M214" i="12"/>
  <c r="M218" i="12"/>
  <c r="D218" i="12"/>
  <c r="D214" i="12"/>
  <c r="I26" i="6"/>
  <c r="I22" i="6"/>
  <c r="Q207" i="15"/>
  <c r="Q107" i="15"/>
  <c r="Q71" i="30"/>
  <c r="O27" i="6"/>
  <c r="O32" i="6"/>
  <c r="O33" i="6" s="1"/>
  <c r="N251" i="3"/>
  <c r="N247" i="3"/>
  <c r="G25" i="52"/>
  <c r="G17" i="52"/>
  <c r="E17" i="53"/>
  <c r="E25" i="53"/>
  <c r="D25" i="43"/>
  <c r="D17" i="43"/>
  <c r="E25" i="35"/>
  <c r="E17" i="35"/>
  <c r="E17" i="37"/>
  <c r="E25" i="37"/>
  <c r="D17" i="26"/>
  <c r="D25" i="26"/>
  <c r="E25" i="10"/>
  <c r="E17" i="10"/>
  <c r="D25" i="16"/>
  <c r="D17" i="16"/>
  <c r="G17" i="22"/>
  <c r="G25" i="22"/>
  <c r="G26" i="108"/>
  <c r="G22" i="108"/>
  <c r="F27" i="108"/>
  <c r="F30" i="108" s="1"/>
  <c r="F31" i="108" s="1"/>
  <c r="K57" i="99"/>
  <c r="K53" i="99"/>
  <c r="O95" i="95"/>
  <c r="O91" i="95"/>
  <c r="F56" i="72"/>
  <c r="F60" i="72"/>
  <c r="I97" i="51"/>
  <c r="I44" i="51"/>
  <c r="D126" i="36"/>
  <c r="D122" i="36"/>
  <c r="O100" i="21"/>
  <c r="O96" i="21"/>
  <c r="J95" i="24"/>
  <c r="J91" i="24"/>
  <c r="J100" i="21"/>
  <c r="J96" i="21"/>
  <c r="G251" i="3"/>
  <c r="G247" i="3"/>
  <c r="E85" i="107"/>
  <c r="E89" i="107"/>
  <c r="M36" i="101"/>
  <c r="M40" i="101"/>
  <c r="I95" i="68"/>
  <c r="I91" i="68"/>
  <c r="E26" i="54"/>
  <c r="E22" i="54"/>
  <c r="Q114" i="42"/>
  <c r="Q24" i="42"/>
  <c r="H83" i="33"/>
  <c r="H79" i="33"/>
  <c r="D25" i="28"/>
  <c r="D17" i="28"/>
  <c r="M95" i="105"/>
  <c r="M91" i="105"/>
  <c r="N30" i="108"/>
  <c r="N31" i="108" s="1"/>
  <c r="N27" i="108"/>
  <c r="E78" i="109"/>
  <c r="E74" i="109"/>
  <c r="Q22" i="105"/>
  <c r="M62" i="102"/>
  <c r="M58" i="102"/>
  <c r="G82" i="92"/>
  <c r="G78" i="92"/>
  <c r="O74" i="109"/>
  <c r="O78" i="109"/>
  <c r="J30" i="100"/>
  <c r="J34" i="100"/>
  <c r="L95" i="105"/>
  <c r="L91" i="105"/>
  <c r="O85" i="107"/>
  <c r="O89" i="107"/>
  <c r="M24" i="104"/>
  <c r="M28" i="104"/>
  <c r="D82" i="109"/>
  <c r="D83" i="109" s="1"/>
  <c r="D79" i="109"/>
  <c r="H23" i="104"/>
  <c r="H15" i="104"/>
  <c r="M95" i="103"/>
  <c r="M91" i="103"/>
  <c r="E35" i="100"/>
  <c r="E38" i="100" s="1"/>
  <c r="E39" i="100" s="1"/>
  <c r="K27" i="98"/>
  <c r="K23" i="98"/>
  <c r="O34" i="100"/>
  <c r="O30" i="100"/>
  <c r="G24" i="104"/>
  <c r="G28" i="104"/>
  <c r="I27" i="98"/>
  <c r="I23" i="98"/>
  <c r="J66" i="102"/>
  <c r="J67" i="102" s="1"/>
  <c r="J63" i="102"/>
  <c r="E18" i="93"/>
  <c r="E75" i="93"/>
  <c r="I80" i="94"/>
  <c r="I76" i="94"/>
  <c r="Q20" i="93"/>
  <c r="Q75" i="93" s="1"/>
  <c r="L53" i="82"/>
  <c r="L49" i="82"/>
  <c r="K119" i="84"/>
  <c r="K122" i="84" s="1"/>
  <c r="K123" i="84" s="1"/>
  <c r="G72" i="80"/>
  <c r="G68" i="80"/>
  <c r="G53" i="82"/>
  <c r="G49" i="82"/>
  <c r="E114" i="84"/>
  <c r="E118" i="84"/>
  <c r="N143" i="74"/>
  <c r="N147" i="74"/>
  <c r="Q10" i="70"/>
  <c r="Q47" i="70" s="1"/>
  <c r="H60" i="72"/>
  <c r="H56" i="72"/>
  <c r="J91" i="68"/>
  <c r="J95" i="68"/>
  <c r="N61" i="59"/>
  <c r="N65" i="59"/>
  <c r="F76" i="58"/>
  <c r="F72" i="58"/>
  <c r="O60" i="72"/>
  <c r="O56" i="72"/>
  <c r="F53" i="61"/>
  <c r="F57" i="61"/>
  <c r="G27" i="54"/>
  <c r="G32" i="54" s="1"/>
  <c r="G33" i="54" s="1"/>
  <c r="J37" i="55"/>
  <c r="J33" i="55"/>
  <c r="N82" i="56"/>
  <c r="N78" i="56"/>
  <c r="N98" i="51"/>
  <c r="N102" i="51"/>
  <c r="E72" i="57"/>
  <c r="E68" i="57"/>
  <c r="G37" i="55"/>
  <c r="G33" i="55"/>
  <c r="K94" i="63"/>
  <c r="K98" i="63"/>
  <c r="O121" i="36"/>
  <c r="O26" i="36"/>
  <c r="I82" i="56"/>
  <c r="I78" i="56"/>
  <c r="H100" i="21"/>
  <c r="H96" i="21"/>
  <c r="F110" i="27"/>
  <c r="F49" i="27"/>
  <c r="K58" i="61"/>
  <c r="K61" i="61"/>
  <c r="K62" i="61" s="1"/>
  <c r="G121" i="36"/>
  <c r="G26" i="36"/>
  <c r="M212" i="15"/>
  <c r="M208" i="15"/>
  <c r="N213" i="15"/>
  <c r="N216" i="15" s="1"/>
  <c r="N217" i="15" s="1"/>
  <c r="L251" i="3"/>
  <c r="L247" i="3"/>
  <c r="D247" i="3"/>
  <c r="D251" i="3"/>
  <c r="I251" i="3"/>
  <c r="I247" i="3"/>
  <c r="E25" i="49"/>
  <c r="E17" i="49"/>
  <c r="D17" i="53"/>
  <c r="D25" i="53"/>
  <c r="E25" i="40"/>
  <c r="E17" i="40"/>
  <c r="D25" i="41"/>
  <c r="D17" i="41"/>
  <c r="D25" i="35"/>
  <c r="D17" i="35"/>
  <c r="E17" i="22"/>
  <c r="E25" i="22"/>
  <c r="E25" i="4"/>
  <c r="E17" i="4"/>
  <c r="D17" i="14"/>
  <c r="D25" i="14"/>
  <c r="D25" i="7"/>
  <c r="D17" i="7"/>
  <c r="K78" i="109"/>
  <c r="K74" i="109"/>
  <c r="L30" i="108"/>
  <c r="L31" i="108" s="1"/>
  <c r="L27" i="108"/>
  <c r="H118" i="84"/>
  <c r="H114" i="84"/>
  <c r="D72" i="74"/>
  <c r="D142" i="74"/>
  <c r="G102" i="51"/>
  <c r="G98" i="51"/>
  <c r="G61" i="59"/>
  <c r="G65" i="59"/>
  <c r="D25" i="112"/>
  <c r="D17" i="112"/>
  <c r="G90" i="97"/>
  <c r="G91" i="97" s="1"/>
  <c r="G87" i="97"/>
  <c r="J72" i="80"/>
  <c r="J68" i="80"/>
  <c r="G25" i="49"/>
  <c r="G17" i="49"/>
  <c r="Q15" i="100"/>
  <c r="Q29" i="100"/>
  <c r="Q17" i="99"/>
  <c r="Q52" i="99" s="1"/>
  <c r="F32" i="88"/>
  <c r="F36" i="88"/>
  <c r="I77" i="92"/>
  <c r="I17" i="92"/>
  <c r="O76" i="93"/>
  <c r="O80" i="93"/>
  <c r="F75" i="93"/>
  <c r="F18" i="93"/>
  <c r="L80" i="93"/>
  <c r="L76" i="93"/>
  <c r="Q19" i="92"/>
  <c r="Q77" i="92" s="1"/>
  <c r="N77" i="92"/>
  <c r="N17" i="92"/>
  <c r="M80" i="93"/>
  <c r="M76" i="93"/>
  <c r="M57" i="82"/>
  <c r="M58" i="82" s="1"/>
  <c r="M54" i="82"/>
  <c r="H72" i="79"/>
  <c r="H76" i="79"/>
  <c r="O18" i="79"/>
  <c r="O71" i="79"/>
  <c r="M72" i="80"/>
  <c r="M68" i="80"/>
  <c r="I98" i="76"/>
  <c r="I102" i="76"/>
  <c r="O147" i="74"/>
  <c r="O143" i="74"/>
  <c r="N55" i="72"/>
  <c r="N16" i="72"/>
  <c r="H66" i="69"/>
  <c r="H62" i="69"/>
  <c r="K62" i="69"/>
  <c r="K66" i="69"/>
  <c r="F102" i="76"/>
  <c r="F98" i="76"/>
  <c r="I66" i="69"/>
  <c r="I62" i="69"/>
  <c r="I94" i="63"/>
  <c r="I98" i="63"/>
  <c r="G97" i="45"/>
  <c r="G22" i="45"/>
  <c r="K61" i="60"/>
  <c r="K57" i="60"/>
  <c r="J64" i="72"/>
  <c r="J65" i="72" s="1"/>
  <c r="J61" i="72"/>
  <c r="G66" i="69"/>
  <c r="G62" i="69"/>
  <c r="M26" i="54"/>
  <c r="M22" i="54"/>
  <c r="Q19" i="48"/>
  <c r="D68" i="57"/>
  <c r="D72" i="57"/>
  <c r="Q17" i="63"/>
  <c r="Q93" i="63" s="1"/>
  <c r="N118" i="39"/>
  <c r="N27" i="39"/>
  <c r="Q29" i="39"/>
  <c r="J62" i="60"/>
  <c r="J65" i="60" s="1"/>
  <c r="J66" i="60" s="1"/>
  <c r="I119" i="42"/>
  <c r="I115" i="42"/>
  <c r="H95" i="24"/>
  <c r="H91" i="24"/>
  <c r="J129" i="18"/>
  <c r="J229" i="18"/>
  <c r="L156" i="30"/>
  <c r="L160" i="30"/>
  <c r="G22" i="6"/>
  <c r="G26" i="6"/>
  <c r="M251" i="3"/>
  <c r="M247" i="3"/>
  <c r="F251" i="3"/>
  <c r="F247" i="3"/>
  <c r="E25" i="52"/>
  <c r="E17" i="52"/>
  <c r="D17" i="50"/>
  <c r="D25" i="50"/>
  <c r="E17" i="38"/>
  <c r="E25" i="38"/>
  <c r="E25" i="41"/>
  <c r="E17" i="41"/>
  <c r="G25" i="32"/>
  <c r="G17" i="32"/>
  <c r="G25" i="13"/>
  <c r="G17" i="13"/>
  <c r="G17" i="19"/>
  <c r="G25" i="19"/>
  <c r="G17" i="29"/>
  <c r="G25" i="29"/>
  <c r="D25" i="4"/>
  <c r="D17" i="4"/>
  <c r="J78" i="109"/>
  <c r="J74" i="109"/>
  <c r="E57" i="99"/>
  <c r="E53" i="99"/>
  <c r="Q113" i="84"/>
  <c r="Q39" i="84"/>
  <c r="N91" i="68"/>
  <c r="N95" i="68"/>
  <c r="E56" i="72"/>
  <c r="E60" i="72"/>
  <c r="I72" i="57"/>
  <c r="I68" i="57"/>
  <c r="O95" i="24"/>
  <c r="O91" i="24"/>
  <c r="J96" i="9"/>
  <c r="J100" i="9"/>
  <c r="G17" i="35"/>
  <c r="G25" i="35"/>
  <c r="H95" i="103"/>
  <c r="H91" i="103"/>
  <c r="J76" i="83"/>
  <c r="J80" i="83"/>
  <c r="F91" i="87"/>
  <c r="F87" i="87"/>
  <c r="G147" i="74"/>
  <c r="G143" i="74"/>
  <c r="J61" i="69"/>
  <c r="J17" i="69"/>
  <c r="J57" i="61"/>
  <c r="J53" i="61"/>
  <c r="J66" i="59"/>
  <c r="J69" i="59" s="1"/>
  <c r="J70" i="59" s="1"/>
  <c r="N100" i="21"/>
  <c r="N96" i="21"/>
  <c r="I123" i="39"/>
  <c r="I119" i="39"/>
  <c r="N91" i="24"/>
  <c r="N95" i="24"/>
  <c r="G96" i="21"/>
  <c r="G100" i="21"/>
  <c r="G25" i="31"/>
  <c r="G17" i="31"/>
  <c r="F40" i="101"/>
  <c r="F36" i="101"/>
  <c r="G34" i="100"/>
  <c r="G30" i="100"/>
  <c r="N28" i="104"/>
  <c r="N24" i="104"/>
  <c r="L86" i="97"/>
  <c r="L82" i="97"/>
  <c r="H26" i="108"/>
  <c r="H22" i="108"/>
  <c r="N74" i="109"/>
  <c r="N78" i="109"/>
  <c r="K62" i="102"/>
  <c r="K58" i="102"/>
  <c r="D91" i="103"/>
  <c r="D95" i="103"/>
  <c r="O95" i="103"/>
  <c r="O91" i="103"/>
  <c r="I30" i="100"/>
  <c r="I34" i="100"/>
  <c r="F90" i="95"/>
  <c r="F22" i="95"/>
  <c r="M38" i="100"/>
  <c r="M39" i="100" s="1"/>
  <c r="M35" i="100"/>
  <c r="O82" i="97"/>
  <c r="O86" i="97"/>
  <c r="D57" i="99"/>
  <c r="D53" i="99"/>
  <c r="Q17" i="91"/>
  <c r="Q80" i="91" s="1"/>
  <c r="I86" i="97"/>
  <c r="I82" i="97"/>
  <c r="L72" i="80"/>
  <c r="L68" i="80"/>
  <c r="I53" i="82"/>
  <c r="I49" i="82"/>
  <c r="M76" i="79"/>
  <c r="M72" i="79"/>
  <c r="E72" i="80"/>
  <c r="E68" i="80"/>
  <c r="E19" i="85"/>
  <c r="E27" i="85"/>
  <c r="F114" i="84"/>
  <c r="F118" i="84"/>
  <c r="I147" i="74"/>
  <c r="I143" i="74"/>
  <c r="J98" i="76"/>
  <c r="J102" i="76"/>
  <c r="Q27" i="75"/>
  <c r="Q19" i="69"/>
  <c r="Q61" i="69" s="1"/>
  <c r="E102" i="76"/>
  <c r="E98" i="76"/>
  <c r="G98" i="63"/>
  <c r="G94" i="63"/>
  <c r="O82" i="56"/>
  <c r="O78" i="56"/>
  <c r="I32" i="54"/>
  <c r="I33" i="54" s="1"/>
  <c r="I27" i="54"/>
  <c r="I97" i="45"/>
  <c r="I22" i="45"/>
  <c r="N72" i="58"/>
  <c r="N76" i="58"/>
  <c r="D114" i="70"/>
  <c r="D110" i="70"/>
  <c r="H61" i="60"/>
  <c r="H57" i="60"/>
  <c r="F33" i="55"/>
  <c r="F37" i="55"/>
  <c r="D82" i="56"/>
  <c r="D78" i="56"/>
  <c r="N78" i="48"/>
  <c r="N74" i="48"/>
  <c r="J82" i="56"/>
  <c r="J78" i="56"/>
  <c r="Q28" i="36"/>
  <c r="O82" i="48"/>
  <c r="O83" i="48" s="1"/>
  <c r="O79" i="48"/>
  <c r="O79" i="33"/>
  <c r="O83" i="33"/>
  <c r="O119" i="39"/>
  <c r="O123" i="39"/>
  <c r="D78" i="33"/>
  <c r="D25" i="33"/>
  <c r="G78" i="33"/>
  <c r="G25" i="33"/>
  <c r="E213" i="12"/>
  <c r="E111" i="12"/>
  <c r="I218" i="12"/>
  <c r="I214" i="12"/>
  <c r="H218" i="12"/>
  <c r="H214" i="12"/>
  <c r="L100" i="9"/>
  <c r="L96" i="9"/>
  <c r="G72" i="30"/>
  <c r="G155" i="30"/>
  <c r="D115" i="27"/>
  <c r="D111" i="27"/>
  <c r="K212" i="15"/>
  <c r="K208" i="15"/>
  <c r="O234" i="18"/>
  <c r="O230" i="18"/>
  <c r="J251" i="3"/>
  <c r="J247" i="3"/>
  <c r="G25" i="112"/>
  <c r="G17" i="112"/>
  <c r="D25" i="49"/>
  <c r="D17" i="49"/>
  <c r="G17" i="44"/>
  <c r="G25" i="44"/>
  <c r="E17" i="34"/>
  <c r="E25" i="34"/>
  <c r="E25" i="28"/>
  <c r="E17" i="28"/>
  <c r="D25" i="25"/>
  <c r="D17" i="25"/>
  <c r="D25" i="11"/>
  <c r="D17" i="11"/>
  <c r="E17" i="26"/>
  <c r="E25" i="26"/>
  <c r="G25" i="8"/>
  <c r="G17" i="8"/>
  <c r="G25" i="4"/>
  <c r="G17" i="4"/>
  <c r="Q84" i="107"/>
  <c r="Q18" i="107"/>
  <c r="H72" i="80"/>
  <c r="H68" i="80"/>
  <c r="M57" i="61"/>
  <c r="M53" i="61"/>
  <c r="F78" i="48"/>
  <c r="F74" i="48"/>
  <c r="D118" i="39"/>
  <c r="D27" i="39"/>
  <c r="E208" i="15"/>
  <c r="E212" i="15"/>
  <c r="Q34" i="24"/>
  <c r="E25" i="17"/>
  <c r="E17" i="17"/>
  <c r="E26" i="108"/>
  <c r="E22" i="108"/>
  <c r="L89" i="107"/>
  <c r="L85" i="107"/>
  <c r="J27" i="98"/>
  <c r="J23" i="98"/>
  <c r="F27" i="98"/>
  <c r="F23" i="98"/>
  <c r="K83" i="75"/>
  <c r="K79" i="75"/>
  <c r="E26" i="36"/>
  <c r="E121" i="36"/>
  <c r="O111" i="27"/>
  <c r="O115" i="27"/>
  <c r="D25" i="110"/>
  <c r="D17" i="110"/>
  <c r="Q24" i="105"/>
  <c r="Q90" i="105" s="1"/>
  <c r="L36" i="101"/>
  <c r="L40" i="101"/>
  <c r="F85" i="107"/>
  <c r="F89" i="107"/>
  <c r="F78" i="109"/>
  <c r="F74" i="109"/>
  <c r="N62" i="102"/>
  <c r="N58" i="102"/>
  <c r="H34" i="100"/>
  <c r="H30" i="100"/>
  <c r="E90" i="103"/>
  <c r="E22" i="103"/>
  <c r="H62" i="102"/>
  <c r="H58" i="102"/>
  <c r="L24" i="104"/>
  <c r="L28" i="104"/>
  <c r="G78" i="109"/>
  <c r="G74" i="109"/>
  <c r="G89" i="107"/>
  <c r="G85" i="107"/>
  <c r="I40" i="101"/>
  <c r="I36" i="101"/>
  <c r="N38" i="100"/>
  <c r="N39" i="100" s="1"/>
  <c r="N35" i="100"/>
  <c r="E95" i="95"/>
  <c r="E91" i="95"/>
  <c r="M61" i="99"/>
  <c r="M62" i="99" s="1"/>
  <c r="M58" i="99"/>
  <c r="K86" i="97"/>
  <c r="K82" i="97"/>
  <c r="N57" i="99"/>
  <c r="N53" i="99"/>
  <c r="L80" i="91"/>
  <c r="L15" i="91"/>
  <c r="K85" i="91"/>
  <c r="K81" i="91"/>
  <c r="H80" i="93"/>
  <c r="H76" i="93"/>
  <c r="M87" i="97"/>
  <c r="M90" i="97" s="1"/>
  <c r="M91" i="97" s="1"/>
  <c r="E32" i="88"/>
  <c r="E36" i="88"/>
  <c r="H33" i="85"/>
  <c r="H36" i="85" s="1"/>
  <c r="H37" i="85" s="1"/>
  <c r="Q19" i="85"/>
  <c r="Q27" i="85"/>
  <c r="G80" i="83"/>
  <c r="G76" i="83"/>
  <c r="O68" i="80"/>
  <c r="O72" i="80"/>
  <c r="O98" i="76"/>
  <c r="O102" i="76"/>
  <c r="K98" i="76"/>
  <c r="K102" i="76"/>
  <c r="Q17" i="69"/>
  <c r="E98" i="63"/>
  <c r="E94" i="63"/>
  <c r="O57" i="60"/>
  <c r="O61" i="60"/>
  <c r="N57" i="60"/>
  <c r="N61" i="60"/>
  <c r="O76" i="58"/>
  <c r="O72" i="58"/>
  <c r="E65" i="59"/>
  <c r="E61" i="59"/>
  <c r="Q17" i="59"/>
  <c r="Q60" i="59" s="1"/>
  <c r="H26" i="54"/>
  <c r="H22" i="54"/>
  <c r="Q26" i="54"/>
  <c r="Q22" i="54"/>
  <c r="O102" i="51"/>
  <c r="O98" i="51"/>
  <c r="O27" i="54"/>
  <c r="O32" i="54" s="1"/>
  <c r="O33" i="54" s="1"/>
  <c r="D102" i="63"/>
  <c r="D103" i="63" s="1"/>
  <c r="D99" i="63"/>
  <c r="H119" i="42"/>
  <c r="H115" i="42"/>
  <c r="H73" i="57"/>
  <c r="H76" i="57" s="1"/>
  <c r="H77" i="57" s="1"/>
  <c r="M123" i="39"/>
  <c r="M119" i="39"/>
  <c r="N79" i="33"/>
  <c r="N83" i="33"/>
  <c r="K122" i="36"/>
  <c r="K126" i="36"/>
  <c r="E115" i="27"/>
  <c r="E111" i="27"/>
  <c r="G115" i="27"/>
  <c r="G111" i="27"/>
  <c r="O218" i="12"/>
  <c r="O214" i="12"/>
  <c r="F111" i="12"/>
  <c r="F213" i="12"/>
  <c r="D96" i="9"/>
  <c r="D100" i="9"/>
  <c r="Q27" i="6"/>
  <c r="Q32" i="6" s="1"/>
  <c r="Q33" i="6" s="1"/>
  <c r="G212" i="15"/>
  <c r="G208" i="15"/>
  <c r="G25" i="110"/>
  <c r="G17" i="110"/>
  <c r="G17" i="47"/>
  <c r="G25" i="47"/>
  <c r="G25" i="43"/>
  <c r="G17" i="43"/>
  <c r="D25" i="40"/>
  <c r="D17" i="40"/>
  <c r="G25" i="25"/>
  <c r="G17" i="25"/>
  <c r="D25" i="23"/>
  <c r="D17" i="23"/>
  <c r="D25" i="31"/>
  <c r="D17" i="31"/>
  <c r="E17" i="19"/>
  <c r="E25" i="19"/>
  <c r="D17" i="10"/>
  <c r="D25" i="10"/>
  <c r="E25" i="11"/>
  <c r="E17" i="11"/>
  <c r="Q22" i="95"/>
  <c r="Q90" i="95"/>
  <c r="J85" i="91"/>
  <c r="J81" i="91"/>
  <c r="L76" i="79"/>
  <c r="L72" i="79"/>
  <c r="Q25" i="75"/>
  <c r="Q78" i="75"/>
  <c r="K95" i="68"/>
  <c r="K91" i="68"/>
  <c r="Q90" i="68"/>
  <c r="Q34" i="68"/>
  <c r="G114" i="70"/>
  <c r="G110" i="70"/>
  <c r="E25" i="31"/>
  <c r="E17" i="31"/>
  <c r="D26" i="108"/>
  <c r="D22" i="108"/>
  <c r="H22" i="95"/>
  <c r="H90" i="95"/>
  <c r="Q74" i="74"/>
  <c r="Q142" i="74" s="1"/>
  <c r="N27" i="54"/>
  <c r="N32" i="54" s="1"/>
  <c r="N33" i="54" s="1"/>
  <c r="D25" i="13"/>
  <c r="D17" i="13"/>
  <c r="G58" i="102"/>
  <c r="G62" i="102"/>
  <c r="O62" i="102"/>
  <c r="O58" i="102"/>
  <c r="K91" i="95"/>
  <c r="K95" i="95"/>
  <c r="M28" i="98"/>
  <c r="M31" i="98"/>
  <c r="M32" i="98" s="1"/>
  <c r="D24" i="104"/>
  <c r="D28" i="104"/>
  <c r="M78" i="109"/>
  <c r="M74" i="109"/>
  <c r="L78" i="109"/>
  <c r="L74" i="109"/>
  <c r="I78" i="109"/>
  <c r="I74" i="109"/>
  <c r="H40" i="101"/>
  <c r="H36" i="101"/>
  <c r="N89" i="107"/>
  <c r="N85" i="107"/>
  <c r="K26" i="108"/>
  <c r="K22" i="108"/>
  <c r="Q17" i="102"/>
  <c r="Q57" i="102" s="1"/>
  <c r="K30" i="100"/>
  <c r="K34" i="100"/>
  <c r="N23" i="98"/>
  <c r="N27" i="98"/>
  <c r="H53" i="99"/>
  <c r="H57" i="99"/>
  <c r="H82" i="92"/>
  <c r="H78" i="92"/>
  <c r="Q17" i="92"/>
  <c r="Q18" i="93"/>
  <c r="G28" i="85"/>
  <c r="G32" i="85"/>
  <c r="O36" i="88"/>
  <c r="O32" i="88"/>
  <c r="G80" i="93"/>
  <c r="G76" i="93"/>
  <c r="I28" i="85"/>
  <c r="I32" i="85"/>
  <c r="M118" i="84"/>
  <c r="M114" i="84"/>
  <c r="H32" i="88"/>
  <c r="H36" i="88"/>
  <c r="N81" i="91"/>
  <c r="N85" i="91"/>
  <c r="K53" i="82"/>
  <c r="K49" i="82"/>
  <c r="K32" i="85"/>
  <c r="K28" i="85"/>
  <c r="E76" i="79"/>
  <c r="E72" i="79"/>
  <c r="D49" i="82"/>
  <c r="D53" i="82"/>
  <c r="D76" i="79"/>
  <c r="D72" i="79"/>
  <c r="N84" i="83"/>
  <c r="N85" i="83" s="1"/>
  <c r="N81" i="83"/>
  <c r="J78" i="75"/>
  <c r="J25" i="75"/>
  <c r="H98" i="76"/>
  <c r="H102" i="76"/>
  <c r="F83" i="75"/>
  <c r="F79" i="75"/>
  <c r="M60" i="72"/>
  <c r="M56" i="72"/>
  <c r="E17" i="69"/>
  <c r="E61" i="69"/>
  <c r="M62" i="69"/>
  <c r="M66" i="69"/>
  <c r="L57" i="61"/>
  <c r="L53" i="61"/>
  <c r="F26" i="54"/>
  <c r="F22" i="54"/>
  <c r="H58" i="61"/>
  <c r="H61" i="61" s="1"/>
  <c r="H62" i="61" s="1"/>
  <c r="H60" i="59"/>
  <c r="H15" i="59"/>
  <c r="E78" i="56"/>
  <c r="E82" i="56"/>
  <c r="G74" i="48"/>
  <c r="G78" i="48"/>
  <c r="E17" i="48"/>
  <c r="E73" i="48"/>
  <c r="H98" i="45"/>
  <c r="H102" i="45"/>
  <c r="K27" i="39"/>
  <c r="K118" i="39"/>
  <c r="E44" i="51"/>
  <c r="E97" i="51"/>
  <c r="L22" i="54"/>
  <c r="L26" i="54"/>
  <c r="Q74" i="30"/>
  <c r="K160" i="30"/>
  <c r="K156" i="30"/>
  <c r="E229" i="18"/>
  <c r="E129" i="18"/>
  <c r="N115" i="27"/>
  <c r="N111" i="27"/>
  <c r="L111" i="27"/>
  <c r="L115" i="27"/>
  <c r="D22" i="21"/>
  <c r="D95" i="21"/>
  <c r="I234" i="18"/>
  <c r="I230" i="18"/>
  <c r="M91" i="24"/>
  <c r="M95" i="24"/>
  <c r="K100" i="21"/>
  <c r="K96" i="21"/>
  <c r="I96" i="9"/>
  <c r="I100" i="9"/>
  <c r="I95" i="24"/>
  <c r="I91" i="24"/>
  <c r="G91" i="24"/>
  <c r="G95" i="24"/>
  <c r="K219" i="12"/>
  <c r="K222" i="12"/>
  <c r="K223" i="12" s="1"/>
  <c r="F22" i="6"/>
  <c r="F26" i="6"/>
  <c r="E25" i="112"/>
  <c r="E17" i="112"/>
  <c r="D25" i="52"/>
  <c r="D17" i="52"/>
  <c r="D25" i="47"/>
  <c r="D17" i="47"/>
  <c r="D25" i="38"/>
  <c r="D17" i="38"/>
  <c r="G25" i="23"/>
  <c r="G17" i="23"/>
  <c r="D17" i="37"/>
  <c r="D25" i="37"/>
  <c r="G25" i="17"/>
  <c r="G17" i="17"/>
  <c r="G25" i="16"/>
  <c r="G17" i="16"/>
  <c r="E17" i="8"/>
  <c r="E25" i="8"/>
  <c r="G25" i="11"/>
  <c r="G17" i="11"/>
  <c r="Q218" i="12" l="1"/>
  <c r="Q214" i="12"/>
  <c r="Q91" i="24"/>
  <c r="Q95" i="24"/>
  <c r="Q143" i="74"/>
  <c r="Q147" i="74"/>
  <c r="Q80" i="93"/>
  <c r="Q76" i="93"/>
  <c r="Q102" i="45"/>
  <c r="Q98" i="45"/>
  <c r="Q95" i="105"/>
  <c r="Q91" i="105"/>
  <c r="Q62" i="69"/>
  <c r="Q66" i="69"/>
  <c r="Q78" i="92"/>
  <c r="Q82" i="92"/>
  <c r="Q234" i="18"/>
  <c r="Q230" i="18"/>
  <c r="Q78" i="109"/>
  <c r="Q74" i="109"/>
  <c r="D26" i="38"/>
  <c r="D30" i="38"/>
  <c r="E26" i="28"/>
  <c r="E30" i="28"/>
  <c r="N29" i="104"/>
  <c r="N32" i="104" s="1"/>
  <c r="N33" i="104" s="1"/>
  <c r="I103" i="76"/>
  <c r="I106" i="76" s="1"/>
  <c r="I107" i="76" s="1"/>
  <c r="G66" i="59"/>
  <c r="G69" i="59" s="1"/>
  <c r="G70" i="59" s="1"/>
  <c r="H119" i="27"/>
  <c r="H120" i="27" s="1"/>
  <c r="H116" i="27"/>
  <c r="K81" i="94"/>
  <c r="K84" i="94" s="1"/>
  <c r="K85" i="94" s="1"/>
  <c r="K77" i="79"/>
  <c r="K80" i="79" s="1"/>
  <c r="K81" i="79" s="1"/>
  <c r="D30" i="5"/>
  <c r="D26" i="5"/>
  <c r="L84" i="75"/>
  <c r="L87" i="75" s="1"/>
  <c r="L88" i="75" s="1"/>
  <c r="F35" i="100"/>
  <c r="F38" i="100" s="1"/>
  <c r="F39" i="100" s="1"/>
  <c r="O86" i="92"/>
  <c r="O87" i="92" s="1"/>
  <c r="O83" i="92"/>
  <c r="H161" i="30"/>
  <c r="H164" i="30" s="1"/>
  <c r="H165" i="30" s="1"/>
  <c r="Q41" i="101"/>
  <c r="Q44" i="101" s="1"/>
  <c r="Q45" i="101" s="1"/>
  <c r="D30" i="7"/>
  <c r="D26" i="7"/>
  <c r="J96" i="24"/>
  <c r="J99" i="24" s="1"/>
  <c r="J100" i="24" s="1"/>
  <c r="D61" i="72"/>
  <c r="D64" i="72" s="1"/>
  <c r="D65" i="72" s="1"/>
  <c r="J27" i="54"/>
  <c r="J32" i="54" s="1"/>
  <c r="J33" i="54" s="1"/>
  <c r="Q83" i="75"/>
  <c r="Q79" i="75"/>
  <c r="I79" i="109"/>
  <c r="I82" i="109" s="1"/>
  <c r="I83" i="109" s="1"/>
  <c r="G26" i="23"/>
  <c r="G30" i="23"/>
  <c r="I235" i="18"/>
  <c r="I238" i="18" s="1"/>
  <c r="I239" i="18" s="1"/>
  <c r="E83" i="56"/>
  <c r="E86" i="56" s="1"/>
  <c r="E87" i="56" s="1"/>
  <c r="J79" i="75"/>
  <c r="J83" i="75"/>
  <c r="D26" i="31"/>
  <c r="D30" i="31"/>
  <c r="G99" i="24"/>
  <c r="G100" i="24" s="1"/>
  <c r="G96" i="24"/>
  <c r="D100" i="21"/>
  <c r="D96" i="21"/>
  <c r="H37" i="88"/>
  <c r="H40" i="88" s="1"/>
  <c r="H41" i="88" s="1"/>
  <c r="K27" i="108"/>
  <c r="K30" i="108" s="1"/>
  <c r="K31" i="108" s="1"/>
  <c r="Q65" i="59"/>
  <c r="Q61" i="59"/>
  <c r="L81" i="91"/>
  <c r="L85" i="91"/>
  <c r="I41" i="101"/>
  <c r="I44" i="101"/>
  <c r="I45" i="101" s="1"/>
  <c r="H35" i="100"/>
  <c r="H38" i="100"/>
  <c r="H39" i="100" s="1"/>
  <c r="M80" i="79"/>
  <c r="M81" i="79" s="1"/>
  <c r="M77" i="79"/>
  <c r="N96" i="24"/>
  <c r="N99" i="24"/>
  <c r="N100" i="24" s="1"/>
  <c r="E61" i="72"/>
  <c r="E64" i="72" s="1"/>
  <c r="E65" i="72" s="1"/>
  <c r="G30" i="29"/>
  <c r="G26" i="29"/>
  <c r="D30" i="50"/>
  <c r="D26" i="50"/>
  <c r="J234" i="18"/>
  <c r="J230" i="18"/>
  <c r="D73" i="57"/>
  <c r="D76" i="57" s="1"/>
  <c r="D77" i="57" s="1"/>
  <c r="K62" i="60"/>
  <c r="K65" i="60" s="1"/>
  <c r="K66" i="60" s="1"/>
  <c r="M81" i="93"/>
  <c r="M84" i="93"/>
  <c r="M85" i="93" s="1"/>
  <c r="N82" i="92"/>
  <c r="N78" i="92"/>
  <c r="Q57" i="99"/>
  <c r="Q53" i="99"/>
  <c r="D26" i="112"/>
  <c r="D30" i="112"/>
  <c r="K79" i="109"/>
  <c r="K82" i="109" s="1"/>
  <c r="K83" i="109" s="1"/>
  <c r="D26" i="41"/>
  <c r="D30" i="41"/>
  <c r="L252" i="3"/>
  <c r="L257" i="3" s="1"/>
  <c r="L258" i="3" s="1"/>
  <c r="H104" i="21"/>
  <c r="H105" i="21" s="1"/>
  <c r="H101" i="21"/>
  <c r="F77" i="58"/>
  <c r="F80" i="58" s="1"/>
  <c r="F81" i="58" s="1"/>
  <c r="N148" i="74"/>
  <c r="N151" i="74"/>
  <c r="N152" i="74" s="1"/>
  <c r="Q119" i="42"/>
  <c r="Q115" i="42"/>
  <c r="J101" i="21"/>
  <c r="J104" i="21"/>
  <c r="J105" i="21" s="1"/>
  <c r="Q61" i="60"/>
  <c r="Q57" i="60"/>
  <c r="E91" i="68"/>
  <c r="E95" i="68"/>
  <c r="I77" i="79"/>
  <c r="I80" i="79" s="1"/>
  <c r="I81" i="79" s="1"/>
  <c r="F124" i="39"/>
  <c r="F127" i="39" s="1"/>
  <c r="F128" i="39" s="1"/>
  <c r="Q80" i="83"/>
  <c r="Q76" i="83"/>
  <c r="J103" i="45"/>
  <c r="J106" i="45" s="1"/>
  <c r="J107" i="45" s="1"/>
  <c r="D91" i="87"/>
  <c r="D87" i="87"/>
  <c r="G26" i="20"/>
  <c r="G30" i="20"/>
  <c r="J213" i="15"/>
  <c r="J216" i="15"/>
  <c r="J217" i="15" s="1"/>
  <c r="O94" i="63"/>
  <c r="O98" i="63"/>
  <c r="G84" i="75"/>
  <c r="G87" i="75" s="1"/>
  <c r="G88" i="75" s="1"/>
  <c r="K37" i="88"/>
  <c r="K40" i="88" s="1"/>
  <c r="K41" i="88" s="1"/>
  <c r="J76" i="93"/>
  <c r="J80" i="93"/>
  <c r="E124" i="39"/>
  <c r="E127" i="39" s="1"/>
  <c r="E128" i="39" s="1"/>
  <c r="Q97" i="76"/>
  <c r="Q44" i="76"/>
  <c r="L33" i="85"/>
  <c r="L36" i="85" s="1"/>
  <c r="L37" i="85" s="1"/>
  <c r="F77" i="79"/>
  <c r="F80" i="79" s="1"/>
  <c r="F81" i="79" s="1"/>
  <c r="M73" i="57"/>
  <c r="M76" i="57" s="1"/>
  <c r="M77" i="57" s="1"/>
  <c r="O96" i="68"/>
  <c r="O99" i="68"/>
  <c r="O100" i="68" s="1"/>
  <c r="M103" i="76"/>
  <c r="M106" i="76"/>
  <c r="M107" i="76" s="1"/>
  <c r="D96" i="105"/>
  <c r="D99" i="105" s="1"/>
  <c r="D100" i="105" s="1"/>
  <c r="O76" i="57"/>
  <c r="O77" i="57" s="1"/>
  <c r="O73" i="57"/>
  <c r="F66" i="69"/>
  <c r="F62" i="69"/>
  <c r="O85" i="91"/>
  <c r="O81" i="91"/>
  <c r="G41" i="101"/>
  <c r="G44" i="101" s="1"/>
  <c r="G45" i="101" s="1"/>
  <c r="E119" i="42"/>
  <c r="E115" i="42"/>
  <c r="I95" i="95"/>
  <c r="I91" i="95"/>
  <c r="E40" i="101"/>
  <c r="E36" i="101"/>
  <c r="I40" i="88"/>
  <c r="I41" i="88" s="1"/>
  <c r="I37" i="88"/>
  <c r="N127" i="36"/>
  <c r="N130" i="36" s="1"/>
  <c r="N131" i="36" s="1"/>
  <c r="F101" i="21"/>
  <c r="F104" i="21" s="1"/>
  <c r="F105" i="21" s="1"/>
  <c r="K120" i="42"/>
  <c r="K123" i="42"/>
  <c r="K124" i="42" s="1"/>
  <c r="D164" i="30"/>
  <c r="D165" i="30" s="1"/>
  <c r="D161" i="30"/>
  <c r="F69" i="59"/>
  <c r="F70" i="59" s="1"/>
  <c r="F66" i="59"/>
  <c r="F120" i="42"/>
  <c r="F123" i="42" s="1"/>
  <c r="F124" i="42" s="1"/>
  <c r="Q95" i="68"/>
  <c r="Q91" i="68"/>
  <c r="K63" i="102"/>
  <c r="K66" i="102" s="1"/>
  <c r="K67" i="102" s="1"/>
  <c r="K73" i="57"/>
  <c r="K76" i="57" s="1"/>
  <c r="K77" i="57" s="1"/>
  <c r="E26" i="25"/>
  <c r="E30" i="25"/>
  <c r="L95" i="24"/>
  <c r="L91" i="24"/>
  <c r="I77" i="58"/>
  <c r="I80" i="58"/>
  <c r="I81" i="58" s="1"/>
  <c r="E30" i="8"/>
  <c r="E26" i="8"/>
  <c r="E66" i="59"/>
  <c r="E69" i="59" s="1"/>
  <c r="E70" i="59" s="1"/>
  <c r="D30" i="46"/>
  <c r="D26" i="46"/>
  <c r="L41" i="55"/>
  <c r="L42" i="55" s="1"/>
  <c r="L38" i="55"/>
  <c r="G119" i="84"/>
  <c r="G122" i="84"/>
  <c r="G123" i="84" s="1"/>
  <c r="J58" i="99"/>
  <c r="J61" i="99" s="1"/>
  <c r="J62" i="99" s="1"/>
  <c r="Q82" i="56"/>
  <c r="Q78" i="56"/>
  <c r="G84" i="94"/>
  <c r="G85" i="94" s="1"/>
  <c r="G81" i="94"/>
  <c r="L81" i="94"/>
  <c r="L84" i="94" s="1"/>
  <c r="L85" i="94" s="1"/>
  <c r="J41" i="101"/>
  <c r="J44" i="101"/>
  <c r="J45" i="101" s="1"/>
  <c r="F58" i="99"/>
  <c r="F61" i="99" s="1"/>
  <c r="F62" i="99" s="1"/>
  <c r="D67" i="69"/>
  <c r="D70" i="69"/>
  <c r="D71" i="69" s="1"/>
  <c r="F29" i="104"/>
  <c r="F32" i="104" s="1"/>
  <c r="F33" i="104" s="1"/>
  <c r="O101" i="9"/>
  <c r="O104" i="9" s="1"/>
  <c r="O105" i="9" s="1"/>
  <c r="O115" i="70"/>
  <c r="O118" i="70" s="1"/>
  <c r="O119" i="70" s="1"/>
  <c r="D26" i="47"/>
  <c r="D30" i="47"/>
  <c r="I96" i="24"/>
  <c r="I99" i="24" s="1"/>
  <c r="I100" i="24" s="1"/>
  <c r="K123" i="39"/>
  <c r="K119" i="39"/>
  <c r="D80" i="79"/>
  <c r="D81" i="79" s="1"/>
  <c r="D77" i="79"/>
  <c r="O37" i="88"/>
  <c r="O40" i="88"/>
  <c r="O41" i="88" s="1"/>
  <c r="K96" i="95"/>
  <c r="K99" i="95" s="1"/>
  <c r="K100" i="95" s="1"/>
  <c r="K99" i="68"/>
  <c r="K100" i="68" s="1"/>
  <c r="K96" i="68"/>
  <c r="G30" i="25"/>
  <c r="G26" i="25"/>
  <c r="O73" i="80"/>
  <c r="O76" i="80" s="1"/>
  <c r="O77" i="80" s="1"/>
  <c r="E37" i="88"/>
  <c r="E40" i="88" s="1"/>
  <c r="E41" i="88" s="1"/>
  <c r="L93" i="107"/>
  <c r="L94" i="107" s="1"/>
  <c r="L90" i="107"/>
  <c r="F82" i="48"/>
  <c r="F83" i="48" s="1"/>
  <c r="F79" i="48"/>
  <c r="G26" i="4"/>
  <c r="G30" i="4"/>
  <c r="K213" i="15"/>
  <c r="K216" i="15"/>
  <c r="K217" i="15" s="1"/>
  <c r="E218" i="12"/>
  <c r="E214" i="12"/>
  <c r="Q85" i="91"/>
  <c r="Q81" i="91"/>
  <c r="I124" i="39"/>
  <c r="I127" i="39" s="1"/>
  <c r="I128" i="39" s="1"/>
  <c r="G148" i="74"/>
  <c r="G151" i="74" s="1"/>
  <c r="G152" i="74" s="1"/>
  <c r="E26" i="52"/>
  <c r="E30" i="52"/>
  <c r="H96" i="24"/>
  <c r="H99" i="24" s="1"/>
  <c r="H100" i="24" s="1"/>
  <c r="I99" i="63"/>
  <c r="I102" i="63" s="1"/>
  <c r="I103" i="63" s="1"/>
  <c r="L81" i="93"/>
  <c r="L84" i="93" s="1"/>
  <c r="L85" i="93" s="1"/>
  <c r="Q34" i="100"/>
  <c r="Q30" i="100"/>
  <c r="D30" i="14"/>
  <c r="D26" i="14"/>
  <c r="D30" i="53"/>
  <c r="D26" i="53"/>
  <c r="J96" i="68"/>
  <c r="J99" i="68" s="1"/>
  <c r="J100" i="68" s="1"/>
  <c r="G29" i="104"/>
  <c r="G32" i="104" s="1"/>
  <c r="G33" i="104" s="1"/>
  <c r="J35" i="100"/>
  <c r="J38" i="100" s="1"/>
  <c r="J39" i="100" s="1"/>
  <c r="G26" i="22"/>
  <c r="G30" i="22"/>
  <c r="Q208" i="15"/>
  <c r="Q212" i="15"/>
  <c r="K84" i="33"/>
  <c r="K87" i="33" s="1"/>
  <c r="K88" i="33" s="1"/>
  <c r="L64" i="72"/>
  <c r="L65" i="72" s="1"/>
  <c r="L61" i="72"/>
  <c r="L84" i="83"/>
  <c r="L85" i="83" s="1"/>
  <c r="L81" i="83"/>
  <c r="O92" i="87"/>
  <c r="O95" i="87" s="1"/>
  <c r="O96" i="87" s="1"/>
  <c r="H79" i="48"/>
  <c r="H82" i="48" s="1"/>
  <c r="H83" i="48" s="1"/>
  <c r="O81" i="94"/>
  <c r="O84" i="94" s="1"/>
  <c r="O85" i="94" s="1"/>
  <c r="N33" i="85"/>
  <c r="N36" i="85" s="1"/>
  <c r="N37" i="85" s="1"/>
  <c r="M27" i="6"/>
  <c r="M32" i="6" s="1"/>
  <c r="M33" i="6" s="1"/>
  <c r="D208" i="15"/>
  <c r="D212" i="15"/>
  <c r="J79" i="48"/>
  <c r="J82" i="48"/>
  <c r="J83" i="48" s="1"/>
  <c r="H84" i="94"/>
  <c r="H85" i="94" s="1"/>
  <c r="H81" i="94"/>
  <c r="D34" i="100"/>
  <c r="D30" i="100"/>
  <c r="J27" i="108"/>
  <c r="J30" i="108" s="1"/>
  <c r="J31" i="108" s="1"/>
  <c r="D26" i="32"/>
  <c r="D30" i="32"/>
  <c r="E26" i="16"/>
  <c r="E30" i="16"/>
  <c r="M104" i="21"/>
  <c r="M105" i="21" s="1"/>
  <c r="M101" i="21"/>
  <c r="D102" i="51"/>
  <c r="D98" i="51"/>
  <c r="Q100" i="21"/>
  <c r="Q96" i="21"/>
  <c r="K103" i="45"/>
  <c r="K106" i="45" s="1"/>
  <c r="K107" i="45" s="1"/>
  <c r="E28" i="98"/>
  <c r="E31" i="98" s="1"/>
  <c r="E32" i="98" s="1"/>
  <c r="N87" i="75"/>
  <c r="N88" i="75" s="1"/>
  <c r="N84" i="75"/>
  <c r="E30" i="32"/>
  <c r="E26" i="32"/>
  <c r="F54" i="82"/>
  <c r="F57" i="82" s="1"/>
  <c r="F58" i="82" s="1"/>
  <c r="K81" i="93"/>
  <c r="K84" i="93" s="1"/>
  <c r="K85" i="93" s="1"/>
  <c r="K41" i="101"/>
  <c r="K44" i="101" s="1"/>
  <c r="K45" i="101" s="1"/>
  <c r="L103" i="51"/>
  <c r="L106" i="51" s="1"/>
  <c r="L107" i="51" s="1"/>
  <c r="G103" i="76"/>
  <c r="G106" i="76" s="1"/>
  <c r="G107" i="76" s="1"/>
  <c r="Q95" i="103"/>
  <c r="Q91" i="103"/>
  <c r="L66" i="59"/>
  <c r="L69" i="59"/>
  <c r="L70" i="59" s="1"/>
  <c r="N106" i="45"/>
  <c r="N107" i="45" s="1"/>
  <c r="N103" i="45"/>
  <c r="D93" i="107"/>
  <c r="D94" i="107" s="1"/>
  <c r="D90" i="107"/>
  <c r="K96" i="24"/>
  <c r="K99" i="24"/>
  <c r="K100" i="24" s="1"/>
  <c r="K83" i="56"/>
  <c r="K86" i="56" s="1"/>
  <c r="K87" i="56" s="1"/>
  <c r="I127" i="36"/>
  <c r="I130" i="36" s="1"/>
  <c r="I131" i="36" s="1"/>
  <c r="F62" i="60"/>
  <c r="F65" i="60" s="1"/>
  <c r="F66" i="60" s="1"/>
  <c r="J99" i="103"/>
  <c r="J100" i="103" s="1"/>
  <c r="J96" i="103"/>
  <c r="N61" i="61"/>
  <c r="N62" i="61" s="1"/>
  <c r="N58" i="61"/>
  <c r="G120" i="42"/>
  <c r="G123" i="42" s="1"/>
  <c r="G124" i="42" s="1"/>
  <c r="E83" i="92"/>
  <c r="E86" i="92" s="1"/>
  <c r="E87" i="92" s="1"/>
  <c r="I38" i="55"/>
  <c r="I41" i="55" s="1"/>
  <c r="I42" i="55" s="1"/>
  <c r="Q102" i="51"/>
  <c r="Q98" i="51"/>
  <c r="I90" i="97"/>
  <c r="I91" i="97" s="1"/>
  <c r="I87" i="97"/>
  <c r="O29" i="104"/>
  <c r="O32" i="104" s="1"/>
  <c r="O33" i="104" s="1"/>
  <c r="M73" i="80"/>
  <c r="M76" i="80"/>
  <c r="M77" i="80" s="1"/>
  <c r="G106" i="51"/>
  <c r="G107" i="51" s="1"/>
  <c r="G103" i="51"/>
  <c r="M213" i="15"/>
  <c r="M216" i="15"/>
  <c r="M217" i="15" s="1"/>
  <c r="O126" i="36"/>
  <c r="O122" i="36"/>
  <c r="J38" i="55"/>
  <c r="J41" i="55" s="1"/>
  <c r="J42" i="55" s="1"/>
  <c r="E119" i="84"/>
  <c r="E122" i="84" s="1"/>
  <c r="E123" i="84" s="1"/>
  <c r="I84" i="94"/>
  <c r="I85" i="94" s="1"/>
  <c r="I81" i="94"/>
  <c r="H24" i="104"/>
  <c r="H28" i="104"/>
  <c r="I96" i="68"/>
  <c r="I99" i="68" s="1"/>
  <c r="I100" i="68" s="1"/>
  <c r="O101" i="21"/>
  <c r="O104" i="21" s="1"/>
  <c r="O105" i="21" s="1"/>
  <c r="D30" i="43"/>
  <c r="D26" i="43"/>
  <c r="E114" i="70"/>
  <c r="E110" i="70"/>
  <c r="J77" i="79"/>
  <c r="J80" i="79" s="1"/>
  <c r="J81" i="79" s="1"/>
  <c r="D26" i="20"/>
  <c r="D30" i="20"/>
  <c r="O98" i="45"/>
  <c r="O102" i="45"/>
  <c r="E30" i="111"/>
  <c r="E26" i="111"/>
  <c r="Q115" i="27"/>
  <c r="Q111" i="27"/>
  <c r="L103" i="76"/>
  <c r="L106" i="76"/>
  <c r="L107" i="76" s="1"/>
  <c r="N119" i="84"/>
  <c r="N122" i="84" s="1"/>
  <c r="N123" i="84" s="1"/>
  <c r="E66" i="102"/>
  <c r="E67" i="102" s="1"/>
  <c r="E63" i="102"/>
  <c r="D62" i="60"/>
  <c r="D65" i="60" s="1"/>
  <c r="D66" i="60" s="1"/>
  <c r="L62" i="60"/>
  <c r="L65" i="60"/>
  <c r="L66" i="60" s="1"/>
  <c r="G234" i="18"/>
  <c r="G230" i="18"/>
  <c r="D26" i="8"/>
  <c r="D30" i="8"/>
  <c r="E101" i="9"/>
  <c r="E104" i="9" s="1"/>
  <c r="E105" i="9" s="1"/>
  <c r="Q118" i="39"/>
  <c r="Q27" i="39"/>
  <c r="H103" i="51"/>
  <c r="H106" i="51" s="1"/>
  <c r="H107" i="51" s="1"/>
  <c r="H118" i="70"/>
  <c r="H119" i="70" s="1"/>
  <c r="H115" i="70"/>
  <c r="M37" i="88"/>
  <c r="M40" i="88" s="1"/>
  <c r="M41" i="88" s="1"/>
  <c r="I22" i="108"/>
  <c r="I26" i="108"/>
  <c r="G65" i="60"/>
  <c r="G66" i="60" s="1"/>
  <c r="G62" i="60"/>
  <c r="M116" i="27"/>
  <c r="M119" i="27"/>
  <c r="M120" i="27" s="1"/>
  <c r="O120" i="42"/>
  <c r="O123" i="42" s="1"/>
  <c r="O124" i="42" s="1"/>
  <c r="O164" i="30"/>
  <c r="O165" i="30" s="1"/>
  <c r="O161" i="30"/>
  <c r="M99" i="63"/>
  <c r="M102" i="63"/>
  <c r="M103" i="63" s="1"/>
  <c r="I90" i="107"/>
  <c r="I93" i="107" s="1"/>
  <c r="I94" i="107" s="1"/>
  <c r="N222" i="12"/>
  <c r="N223" i="12" s="1"/>
  <c r="N219" i="12"/>
  <c r="L96" i="68"/>
  <c r="L99" i="68"/>
  <c r="L100" i="68" s="1"/>
  <c r="G213" i="15"/>
  <c r="G216" i="15" s="1"/>
  <c r="G217" i="15" s="1"/>
  <c r="D123" i="39"/>
  <c r="D119" i="39"/>
  <c r="F95" i="95"/>
  <c r="F91" i="95"/>
  <c r="N69" i="59"/>
  <c r="N70" i="59" s="1"/>
  <c r="N66" i="59"/>
  <c r="L92" i="87"/>
  <c r="L95" i="87"/>
  <c r="L96" i="87" s="1"/>
  <c r="N102" i="63"/>
  <c r="N103" i="63" s="1"/>
  <c r="N99" i="63"/>
  <c r="M86" i="92"/>
  <c r="M87" i="92" s="1"/>
  <c r="M83" i="92"/>
  <c r="G73" i="57"/>
  <c r="G76" i="57" s="1"/>
  <c r="G77" i="57" s="1"/>
  <c r="Q90" i="97"/>
  <c r="Q91" i="97" s="1"/>
  <c r="Q87" i="97"/>
  <c r="I66" i="59"/>
  <c r="I69" i="59"/>
  <c r="I70" i="59" s="1"/>
  <c r="E26" i="34"/>
  <c r="E30" i="34"/>
  <c r="N99" i="68"/>
  <c r="N100" i="68" s="1"/>
  <c r="N96" i="68"/>
  <c r="I67" i="69"/>
  <c r="I70" i="69"/>
  <c r="I71" i="69" s="1"/>
  <c r="E27" i="54"/>
  <c r="E32" i="54"/>
  <c r="E33" i="54" s="1"/>
  <c r="L82" i="48"/>
  <c r="L83" i="48" s="1"/>
  <c r="L79" i="48"/>
  <c r="E30" i="50"/>
  <c r="E26" i="50"/>
  <c r="D26" i="44"/>
  <c r="D30" i="44"/>
  <c r="L238" i="18"/>
  <c r="L239" i="18" s="1"/>
  <c r="L235" i="18"/>
  <c r="H58" i="99"/>
  <c r="H61" i="99"/>
  <c r="H62" i="99" s="1"/>
  <c r="G26" i="44"/>
  <c r="G30" i="44"/>
  <c r="J86" i="56"/>
  <c r="J87" i="56" s="1"/>
  <c r="J83" i="56"/>
  <c r="D115" i="70"/>
  <c r="D118" i="70" s="1"/>
  <c r="D119" i="70" s="1"/>
  <c r="J101" i="9"/>
  <c r="J104" i="9" s="1"/>
  <c r="J105" i="9" s="1"/>
  <c r="F103" i="76"/>
  <c r="F106" i="76"/>
  <c r="F107" i="76" s="1"/>
  <c r="G26" i="16"/>
  <c r="G30" i="16"/>
  <c r="D26" i="52"/>
  <c r="D30" i="52"/>
  <c r="N119" i="27"/>
  <c r="N120" i="27" s="1"/>
  <c r="N116" i="27"/>
  <c r="H106" i="45"/>
  <c r="H107" i="45" s="1"/>
  <c r="H103" i="45"/>
  <c r="L58" i="61"/>
  <c r="L61" i="61"/>
  <c r="L62" i="61" s="1"/>
  <c r="M61" i="72"/>
  <c r="M64" i="72" s="1"/>
  <c r="M65" i="72" s="1"/>
  <c r="K57" i="82"/>
  <c r="K58" i="82" s="1"/>
  <c r="K54" i="82"/>
  <c r="M119" i="84"/>
  <c r="M122" i="84"/>
  <c r="M123" i="84" s="1"/>
  <c r="E30" i="11"/>
  <c r="E26" i="11"/>
  <c r="D26" i="40"/>
  <c r="D30" i="40"/>
  <c r="L29" i="104"/>
  <c r="L32" i="104" s="1"/>
  <c r="L33" i="104" s="1"/>
  <c r="E30" i="108"/>
  <c r="E31" i="108" s="1"/>
  <c r="E27" i="108"/>
  <c r="M58" i="61"/>
  <c r="M61" i="61" s="1"/>
  <c r="M62" i="61" s="1"/>
  <c r="G26" i="8"/>
  <c r="G30" i="8"/>
  <c r="D116" i="27"/>
  <c r="D119" i="27" s="1"/>
  <c r="D120" i="27" s="1"/>
  <c r="G83" i="33"/>
  <c r="G79" i="33"/>
  <c r="N77" i="58"/>
  <c r="N80" i="58" s="1"/>
  <c r="N81" i="58" s="1"/>
  <c r="F122" i="84"/>
  <c r="F123" i="84" s="1"/>
  <c r="F119" i="84"/>
  <c r="D61" i="99"/>
  <c r="D62" i="99" s="1"/>
  <c r="D58" i="99"/>
  <c r="G35" i="100"/>
  <c r="G38" i="100" s="1"/>
  <c r="G39" i="100" s="1"/>
  <c r="N101" i="21"/>
  <c r="N104" i="21" s="1"/>
  <c r="N105" i="21" s="1"/>
  <c r="F95" i="87"/>
  <c r="F96" i="87" s="1"/>
  <c r="F92" i="87"/>
  <c r="Q114" i="84"/>
  <c r="Q118" i="84"/>
  <c r="G30" i="13"/>
  <c r="G26" i="13"/>
  <c r="F252" i="3"/>
  <c r="F257" i="3" s="1"/>
  <c r="F258" i="3" s="1"/>
  <c r="I120" i="42"/>
  <c r="I123" i="42" s="1"/>
  <c r="I124" i="42" s="1"/>
  <c r="O72" i="79"/>
  <c r="O76" i="79"/>
  <c r="F80" i="93"/>
  <c r="F76" i="93"/>
  <c r="D143" i="74"/>
  <c r="D147" i="74"/>
  <c r="K99" i="63"/>
  <c r="K102" i="63"/>
  <c r="K103" i="63" s="1"/>
  <c r="L57" i="82"/>
  <c r="L58" i="82" s="1"/>
  <c r="L54" i="82"/>
  <c r="E80" i="93"/>
  <c r="E76" i="93"/>
  <c r="O82" i="109"/>
  <c r="O83" i="109" s="1"/>
  <c r="O79" i="109"/>
  <c r="M44" i="101"/>
  <c r="M45" i="101" s="1"/>
  <c r="M41" i="101"/>
  <c r="F61" i="72"/>
  <c r="F64" i="72" s="1"/>
  <c r="F65" i="72" s="1"/>
  <c r="E30" i="53"/>
  <c r="E26" i="53"/>
  <c r="I27" i="6"/>
  <c r="I32" i="6" s="1"/>
  <c r="I33" i="6" s="1"/>
  <c r="M38" i="55"/>
  <c r="M41" i="55"/>
  <c r="M42" i="55" s="1"/>
  <c r="L76" i="57"/>
  <c r="L77" i="57" s="1"/>
  <c r="L73" i="57"/>
  <c r="M87" i="75"/>
  <c r="M88" i="75" s="1"/>
  <c r="M84" i="75"/>
  <c r="D28" i="98"/>
  <c r="D31" i="98" s="1"/>
  <c r="D32" i="98" s="1"/>
  <c r="L63" i="102"/>
  <c r="L66" i="102" s="1"/>
  <c r="L67" i="102" s="1"/>
  <c r="J106" i="51"/>
  <c r="J107" i="51" s="1"/>
  <c r="J103" i="51"/>
  <c r="K116" i="27"/>
  <c r="K119" i="27" s="1"/>
  <c r="K120" i="27" s="1"/>
  <c r="L96" i="103"/>
  <c r="L99" i="103" s="1"/>
  <c r="L100" i="103" s="1"/>
  <c r="K252" i="3"/>
  <c r="K257" i="3" s="1"/>
  <c r="K258" i="3" s="1"/>
  <c r="F148" i="74"/>
  <c r="F151" i="74"/>
  <c r="F152" i="74" s="1"/>
  <c r="G26" i="10"/>
  <c r="G30" i="10"/>
  <c r="N38" i="55"/>
  <c r="N41" i="55"/>
  <c r="N42" i="55" s="1"/>
  <c r="Q49" i="82"/>
  <c r="Q53" i="82"/>
  <c r="J37" i="88"/>
  <c r="J40" i="88"/>
  <c r="J41" i="88" s="1"/>
  <c r="E30" i="7"/>
  <c r="E26" i="7"/>
  <c r="G26" i="40"/>
  <c r="G30" i="40"/>
  <c r="O119" i="84"/>
  <c r="O122" i="84" s="1"/>
  <c r="O123" i="84" s="1"/>
  <c r="J29" i="104"/>
  <c r="J32" i="104" s="1"/>
  <c r="J33" i="104" s="1"/>
  <c r="D114" i="84"/>
  <c r="D118" i="84"/>
  <c r="E26" i="20"/>
  <c r="E30" i="20"/>
  <c r="M36" i="85"/>
  <c r="M37" i="85" s="1"/>
  <c r="M33" i="85"/>
  <c r="G30" i="7"/>
  <c r="G26" i="7"/>
  <c r="H124" i="39"/>
  <c r="H127" i="39" s="1"/>
  <c r="H128" i="39" s="1"/>
  <c r="J80" i="58"/>
  <c r="J81" i="58" s="1"/>
  <c r="J77" i="58"/>
  <c r="E92" i="87"/>
  <c r="E95" i="87"/>
  <c r="E96" i="87" s="1"/>
  <c r="O58" i="61"/>
  <c r="O61" i="61" s="1"/>
  <c r="O62" i="61" s="1"/>
  <c r="G99" i="105"/>
  <c r="G100" i="105" s="1"/>
  <c r="G96" i="105"/>
  <c r="F73" i="57"/>
  <c r="F76" i="57" s="1"/>
  <c r="F77" i="57" s="1"/>
  <c r="J124" i="39"/>
  <c r="J127" i="39" s="1"/>
  <c r="J128" i="39" s="1"/>
  <c r="F86" i="92"/>
  <c r="F87" i="92" s="1"/>
  <c r="F83" i="92"/>
  <c r="J115" i="70"/>
  <c r="J118" i="70" s="1"/>
  <c r="J119" i="70" s="1"/>
  <c r="F76" i="80"/>
  <c r="F77" i="80" s="1"/>
  <c r="F73" i="80"/>
  <c r="M99" i="68"/>
  <c r="M100" i="68" s="1"/>
  <c r="M96" i="68"/>
  <c r="M101" i="9"/>
  <c r="M104" i="9" s="1"/>
  <c r="M105" i="9" s="1"/>
  <c r="M66" i="59"/>
  <c r="M69" i="59" s="1"/>
  <c r="M70" i="59" s="1"/>
  <c r="F106" i="51"/>
  <c r="F107" i="51" s="1"/>
  <c r="F103" i="51"/>
  <c r="D26" i="110"/>
  <c r="D30" i="110"/>
  <c r="N161" i="30"/>
  <c r="N164" i="30" s="1"/>
  <c r="N165" i="30" s="1"/>
  <c r="E126" i="36"/>
  <c r="E122" i="36"/>
  <c r="I57" i="82"/>
  <c r="I58" i="82" s="1"/>
  <c r="I54" i="82"/>
  <c r="O87" i="97"/>
  <c r="O90" i="97" s="1"/>
  <c r="O91" i="97" s="1"/>
  <c r="N82" i="109"/>
  <c r="N83" i="109" s="1"/>
  <c r="N79" i="109"/>
  <c r="J84" i="83"/>
  <c r="J85" i="83" s="1"/>
  <c r="J81" i="83"/>
  <c r="M27" i="54"/>
  <c r="M32" i="54" s="1"/>
  <c r="M33" i="54" s="1"/>
  <c r="O81" i="93"/>
  <c r="O84" i="93" s="1"/>
  <c r="O85" i="93" s="1"/>
  <c r="G26" i="49"/>
  <c r="G30" i="49"/>
  <c r="E30" i="4"/>
  <c r="E26" i="4"/>
  <c r="E30" i="49"/>
  <c r="E26" i="49"/>
  <c r="G122" i="36"/>
  <c r="G126" i="36"/>
  <c r="H64" i="72"/>
  <c r="H65" i="72" s="1"/>
  <c r="H61" i="72"/>
  <c r="O35" i="100"/>
  <c r="O38" i="100" s="1"/>
  <c r="O39" i="100" s="1"/>
  <c r="M96" i="105"/>
  <c r="M99" i="105" s="1"/>
  <c r="M100" i="105" s="1"/>
  <c r="D130" i="36"/>
  <c r="D131" i="36" s="1"/>
  <c r="D127" i="36"/>
  <c r="D26" i="16"/>
  <c r="D30" i="16"/>
  <c r="M79" i="48"/>
  <c r="M82" i="48" s="1"/>
  <c r="M83" i="48" s="1"/>
  <c r="N67" i="69"/>
  <c r="N70" i="69" s="1"/>
  <c r="N71" i="69" s="1"/>
  <c r="M148" i="74"/>
  <c r="M151" i="74" s="1"/>
  <c r="M152" i="74" s="1"/>
  <c r="M89" i="91"/>
  <c r="M90" i="91" s="1"/>
  <c r="M86" i="91"/>
  <c r="D44" i="101"/>
  <c r="D45" i="101" s="1"/>
  <c r="D41" i="101"/>
  <c r="G26" i="41"/>
  <c r="G30" i="41"/>
  <c r="E100" i="21"/>
  <c r="E96" i="21"/>
  <c r="H91" i="87"/>
  <c r="H87" i="87"/>
  <c r="I29" i="104"/>
  <c r="I32" i="104"/>
  <c r="I33" i="104" s="1"/>
  <c r="G30" i="26"/>
  <c r="G26" i="26"/>
  <c r="L27" i="6"/>
  <c r="L32" i="6" s="1"/>
  <c r="L33" i="6" s="1"/>
  <c r="D238" i="18"/>
  <c r="D239" i="18" s="1"/>
  <c r="D235" i="18"/>
  <c r="E62" i="60"/>
  <c r="E65" i="60" s="1"/>
  <c r="E66" i="60" s="1"/>
  <c r="J148" i="74"/>
  <c r="J151" i="74" s="1"/>
  <c r="J152" i="74" s="1"/>
  <c r="Q76" i="94"/>
  <c r="Q80" i="94"/>
  <c r="D30" i="19"/>
  <c r="D26" i="19"/>
  <c r="G30" i="53"/>
  <c r="G26" i="53"/>
  <c r="F126" i="36"/>
  <c r="F122" i="36"/>
  <c r="M83" i="56"/>
  <c r="M86" i="56" s="1"/>
  <c r="M87" i="56" s="1"/>
  <c r="G37" i="88"/>
  <c r="G40" i="88" s="1"/>
  <c r="G41" i="88" s="1"/>
  <c r="H99" i="105"/>
  <c r="H100" i="105" s="1"/>
  <c r="H96" i="105"/>
  <c r="H27" i="6"/>
  <c r="H32" i="6"/>
  <c r="H33" i="6" s="1"/>
  <c r="M130" i="36"/>
  <c r="M131" i="36" s="1"/>
  <c r="M127" i="36"/>
  <c r="J76" i="57"/>
  <c r="J77" i="57" s="1"/>
  <c r="J73" i="57"/>
  <c r="F96" i="68"/>
  <c r="F99" i="68" s="1"/>
  <c r="F100" i="68" s="1"/>
  <c r="J99" i="105"/>
  <c r="J100" i="105" s="1"/>
  <c r="J96" i="105"/>
  <c r="E252" i="3"/>
  <c r="E257" i="3"/>
  <c r="E258" i="3" s="1"/>
  <c r="J99" i="95"/>
  <c r="J100" i="95" s="1"/>
  <c r="J96" i="95"/>
  <c r="I101" i="21"/>
  <c r="I104" i="21" s="1"/>
  <c r="I105" i="21" s="1"/>
  <c r="F63" i="102"/>
  <c r="F66" i="102" s="1"/>
  <c r="F67" i="102" s="1"/>
  <c r="L83" i="92"/>
  <c r="L86" i="92" s="1"/>
  <c r="L87" i="92" s="1"/>
  <c r="E87" i="33"/>
  <c r="E88" i="33" s="1"/>
  <c r="E84" i="33"/>
  <c r="D73" i="80"/>
  <c r="D76" i="80" s="1"/>
  <c r="D77" i="80" s="1"/>
  <c r="M118" i="70"/>
  <c r="M119" i="70" s="1"/>
  <c r="M115" i="70"/>
  <c r="G77" i="58"/>
  <c r="G80" i="58" s="1"/>
  <c r="G81" i="58" s="1"/>
  <c r="G30" i="11"/>
  <c r="G26" i="11"/>
  <c r="J28" i="98"/>
  <c r="J31" i="98" s="1"/>
  <c r="J32" i="98" s="1"/>
  <c r="J66" i="69"/>
  <c r="J62" i="69"/>
  <c r="Q155" i="30"/>
  <c r="Q72" i="30"/>
  <c r="M238" i="18"/>
  <c r="M239" i="18" s="1"/>
  <c r="M235" i="18"/>
  <c r="M83" i="33"/>
  <c r="M79" i="33"/>
  <c r="E26" i="110"/>
  <c r="E30" i="110"/>
  <c r="D87" i="97"/>
  <c r="D90" i="97" s="1"/>
  <c r="D91" i="97" s="1"/>
  <c r="N238" i="18"/>
  <c r="N239" i="18" s="1"/>
  <c r="N235" i="18"/>
  <c r="Q95" i="95"/>
  <c r="Q91" i="95"/>
  <c r="E102" i="63"/>
  <c r="E103" i="63" s="1"/>
  <c r="E99" i="63"/>
  <c r="N66" i="102"/>
  <c r="N67" i="102" s="1"/>
  <c r="N63" i="102"/>
  <c r="I35" i="100"/>
  <c r="I38" i="100"/>
  <c r="I39" i="100" s="1"/>
  <c r="I83" i="56"/>
  <c r="I86" i="56" s="1"/>
  <c r="I87" i="56" s="1"/>
  <c r="L99" i="105"/>
  <c r="L100" i="105" s="1"/>
  <c r="L96" i="105"/>
  <c r="G27" i="108"/>
  <c r="G30" i="108"/>
  <c r="G31" i="108" s="1"/>
  <c r="I119" i="84"/>
  <c r="I122" i="84"/>
  <c r="I123" i="84" s="1"/>
  <c r="I58" i="61"/>
  <c r="I61" i="61"/>
  <c r="I62" i="61" s="1"/>
  <c r="D36" i="85"/>
  <c r="D37" i="85" s="1"/>
  <c r="D33" i="85"/>
  <c r="J99" i="63"/>
  <c r="J102" i="63"/>
  <c r="J103" i="63" s="1"/>
  <c r="I36" i="85"/>
  <c r="I37" i="85" s="1"/>
  <c r="I33" i="85"/>
  <c r="D26" i="10"/>
  <c r="D30" i="10"/>
  <c r="K101" i="21"/>
  <c r="K104" i="21" s="1"/>
  <c r="K105" i="21" s="1"/>
  <c r="G63" i="102"/>
  <c r="G66" i="102" s="1"/>
  <c r="G67" i="102" s="1"/>
  <c r="D30" i="108"/>
  <c r="D31" i="108" s="1"/>
  <c r="D27" i="108"/>
  <c r="L77" i="79"/>
  <c r="L80" i="79"/>
  <c r="L81" i="79" s="1"/>
  <c r="G30" i="43"/>
  <c r="G26" i="43"/>
  <c r="M124" i="39"/>
  <c r="M127" i="39" s="1"/>
  <c r="M128" i="39" s="1"/>
  <c r="O103" i="51"/>
  <c r="O106" i="51" s="1"/>
  <c r="O107" i="51" s="1"/>
  <c r="N62" i="60"/>
  <c r="N65" i="60" s="1"/>
  <c r="N66" i="60" s="1"/>
  <c r="F93" i="107"/>
  <c r="F94" i="107" s="1"/>
  <c r="F90" i="107"/>
  <c r="E30" i="17"/>
  <c r="E26" i="17"/>
  <c r="H76" i="80"/>
  <c r="H77" i="80" s="1"/>
  <c r="H73" i="80"/>
  <c r="D26" i="49"/>
  <c r="D30" i="49"/>
  <c r="D83" i="33"/>
  <c r="D79" i="33"/>
  <c r="E32" i="85"/>
  <c r="E28" i="85"/>
  <c r="O96" i="103"/>
  <c r="O99" i="103" s="1"/>
  <c r="O100" i="103" s="1"/>
  <c r="F41" i="101"/>
  <c r="F44" i="101" s="1"/>
  <c r="F45" i="101" s="1"/>
  <c r="O99" i="24"/>
  <c r="O100" i="24" s="1"/>
  <c r="O96" i="24"/>
  <c r="E58" i="99"/>
  <c r="E61" i="99" s="1"/>
  <c r="E62" i="99" s="1"/>
  <c r="G30" i="32"/>
  <c r="G26" i="32"/>
  <c r="M252" i="3"/>
  <c r="M257" i="3" s="1"/>
  <c r="M258" i="3" s="1"/>
  <c r="H77" i="79"/>
  <c r="H80" i="79" s="1"/>
  <c r="H81" i="79" s="1"/>
  <c r="E30" i="22"/>
  <c r="E26" i="22"/>
  <c r="F58" i="61"/>
  <c r="F61" i="61"/>
  <c r="F62" i="61" s="1"/>
  <c r="M29" i="104"/>
  <c r="M32" i="104"/>
  <c r="M33" i="104" s="1"/>
  <c r="E93" i="107"/>
  <c r="E94" i="107" s="1"/>
  <c r="E90" i="107"/>
  <c r="D222" i="12"/>
  <c r="D223" i="12" s="1"/>
  <c r="D219" i="12"/>
  <c r="K103" i="51"/>
  <c r="K106" i="51"/>
  <c r="K107" i="51" s="1"/>
  <c r="M84" i="83"/>
  <c r="M85" i="83" s="1"/>
  <c r="M81" i="83"/>
  <c r="Q28" i="98"/>
  <c r="Q31" i="98" s="1"/>
  <c r="Q32" i="98" s="1"/>
  <c r="H82" i="109"/>
  <c r="H83" i="109" s="1"/>
  <c r="H79" i="109"/>
  <c r="E30" i="44"/>
  <c r="E26" i="44"/>
  <c r="D30" i="29"/>
  <c r="D26" i="29"/>
  <c r="H213" i="15"/>
  <c r="H216" i="15" s="1"/>
  <c r="H217" i="15" s="1"/>
  <c r="O33" i="55"/>
  <c r="O37" i="55"/>
  <c r="G91" i="68"/>
  <c r="G95" i="68"/>
  <c r="N118" i="70"/>
  <c r="N119" i="70" s="1"/>
  <c r="N115" i="70"/>
  <c r="K27" i="6"/>
  <c r="K32" i="6" s="1"/>
  <c r="K33" i="6" s="1"/>
  <c r="E30" i="43"/>
  <c r="E26" i="43"/>
  <c r="F101" i="9"/>
  <c r="F104" i="9" s="1"/>
  <c r="F105" i="9" s="1"/>
  <c r="D119" i="42"/>
  <c r="D115" i="42"/>
  <c r="M81" i="94"/>
  <c r="M84" i="94" s="1"/>
  <c r="M85" i="94" s="1"/>
  <c r="O54" i="82"/>
  <c r="O57" i="82" s="1"/>
  <c r="O58" i="82" s="1"/>
  <c r="E28" i="104"/>
  <c r="E24" i="104"/>
  <c r="D26" i="34"/>
  <c r="D30" i="34"/>
  <c r="K104" i="9"/>
  <c r="K105" i="9" s="1"/>
  <c r="K101" i="9"/>
  <c r="N119" i="42"/>
  <c r="N115" i="42"/>
  <c r="Q30" i="108"/>
  <c r="Q31" i="108" s="1"/>
  <c r="Q27" i="108"/>
  <c r="L148" i="74"/>
  <c r="L151" i="74" s="1"/>
  <c r="L152" i="74" s="1"/>
  <c r="H85" i="91"/>
  <c r="H81" i="91"/>
  <c r="J116" i="27"/>
  <c r="J119" i="27" s="1"/>
  <c r="J120" i="27" s="1"/>
  <c r="E77" i="58"/>
  <c r="E80" i="58"/>
  <c r="E81" i="58" s="1"/>
  <c r="N101" i="9"/>
  <c r="N104" i="9"/>
  <c r="N105" i="9" s="1"/>
  <c r="D66" i="59"/>
  <c r="D69" i="59"/>
  <c r="D70" i="59" s="1"/>
  <c r="M62" i="60"/>
  <c r="M65" i="60" s="1"/>
  <c r="M66" i="60" s="1"/>
  <c r="D84" i="94"/>
  <c r="D85" i="94" s="1"/>
  <c r="D81" i="94"/>
  <c r="K73" i="80"/>
  <c r="K76" i="80" s="1"/>
  <c r="K77" i="80" s="1"/>
  <c r="H93" i="107"/>
  <c r="H94" i="107" s="1"/>
  <c r="H90" i="107"/>
  <c r="D84" i="75"/>
  <c r="D87" i="75" s="1"/>
  <c r="D88" i="75" s="1"/>
  <c r="L124" i="39"/>
  <c r="L127" i="39" s="1"/>
  <c r="L128" i="39" s="1"/>
  <c r="I164" i="30"/>
  <c r="I165" i="30" s="1"/>
  <c r="I161" i="30"/>
  <c r="E148" i="74"/>
  <c r="E151" i="74" s="1"/>
  <c r="E152" i="74" s="1"/>
  <c r="E119" i="27"/>
  <c r="E120" i="27" s="1"/>
  <c r="E116" i="27"/>
  <c r="Q89" i="107"/>
  <c r="Q85" i="107"/>
  <c r="H96" i="103"/>
  <c r="H99" i="103" s="1"/>
  <c r="H100" i="103" s="1"/>
  <c r="G76" i="80"/>
  <c r="G77" i="80" s="1"/>
  <c r="G73" i="80"/>
  <c r="N91" i="87"/>
  <c r="N87" i="87"/>
  <c r="L83" i="56"/>
  <c r="L86" i="56" s="1"/>
  <c r="L87" i="56" s="1"/>
  <c r="G101" i="9"/>
  <c r="G104" i="9" s="1"/>
  <c r="G105" i="9" s="1"/>
  <c r="H80" i="58"/>
  <c r="H81" i="58" s="1"/>
  <c r="H77" i="58"/>
  <c r="H81" i="83"/>
  <c r="H84" i="83" s="1"/>
  <c r="H85" i="83" s="1"/>
  <c r="D86" i="91"/>
  <c r="D89" i="91"/>
  <c r="D90" i="91" s="1"/>
  <c r="N90" i="107"/>
  <c r="N93" i="107" s="1"/>
  <c r="N94" i="107" s="1"/>
  <c r="G90" i="107"/>
  <c r="G93" i="107" s="1"/>
  <c r="G94" i="107" s="1"/>
  <c r="I148" i="74"/>
  <c r="I151" i="74" s="1"/>
  <c r="I152" i="74" s="1"/>
  <c r="G26" i="19"/>
  <c r="G30" i="19"/>
  <c r="H70" i="69"/>
  <c r="H71" i="69" s="1"/>
  <c r="H67" i="69"/>
  <c r="E26" i="40"/>
  <c r="E30" i="40"/>
  <c r="I28" i="98"/>
  <c r="I31" i="98" s="1"/>
  <c r="I32" i="98" s="1"/>
  <c r="N54" i="82"/>
  <c r="N57" i="82" s="1"/>
  <c r="N58" i="82" s="1"/>
  <c r="F86" i="91"/>
  <c r="F89" i="91" s="1"/>
  <c r="F90" i="91" s="1"/>
  <c r="Q41" i="55"/>
  <c r="Q42" i="55" s="1"/>
  <c r="Q38" i="55"/>
  <c r="I104" i="9"/>
  <c r="I105" i="9" s="1"/>
  <c r="I101" i="9"/>
  <c r="G33" i="85"/>
  <c r="G36" i="85" s="1"/>
  <c r="G37" i="85" s="1"/>
  <c r="D101" i="9"/>
  <c r="D104" i="9" s="1"/>
  <c r="D105" i="9" s="1"/>
  <c r="D57" i="82"/>
  <c r="D58" i="82" s="1"/>
  <c r="D54" i="82"/>
  <c r="O63" i="102"/>
  <c r="O66" i="102"/>
  <c r="O67" i="102" s="1"/>
  <c r="E30" i="26"/>
  <c r="E26" i="26"/>
  <c r="G30" i="17"/>
  <c r="G26" i="17"/>
  <c r="E230" i="18"/>
  <c r="E234" i="18"/>
  <c r="D30" i="37"/>
  <c r="D26" i="37"/>
  <c r="M96" i="24"/>
  <c r="M99" i="24" s="1"/>
  <c r="M100" i="24" s="1"/>
  <c r="H106" i="76"/>
  <c r="H107" i="76" s="1"/>
  <c r="H103" i="76"/>
  <c r="E30" i="19"/>
  <c r="E26" i="19"/>
  <c r="E99" i="95"/>
  <c r="E100" i="95" s="1"/>
  <c r="E96" i="95"/>
  <c r="N82" i="48"/>
  <c r="N83" i="48" s="1"/>
  <c r="N79" i="48"/>
  <c r="I98" i="45"/>
  <c r="I102" i="45"/>
  <c r="G99" i="63"/>
  <c r="G102" i="63"/>
  <c r="G103" i="63" s="1"/>
  <c r="D96" i="103"/>
  <c r="D99" i="103"/>
  <c r="D100" i="103" s="1"/>
  <c r="G27" i="6"/>
  <c r="G32" i="6" s="1"/>
  <c r="G33" i="6" s="1"/>
  <c r="G70" i="69"/>
  <c r="G71" i="69" s="1"/>
  <c r="G67" i="69"/>
  <c r="N60" i="72"/>
  <c r="N56" i="72"/>
  <c r="J73" i="80"/>
  <c r="J76" i="80" s="1"/>
  <c r="J77" i="80" s="1"/>
  <c r="H119" i="84"/>
  <c r="H122" i="84"/>
  <c r="H123" i="84" s="1"/>
  <c r="I257" i="3"/>
  <c r="I258" i="3" s="1"/>
  <c r="I252" i="3"/>
  <c r="G38" i="55"/>
  <c r="G41" i="55" s="1"/>
  <c r="G42" i="55" s="1"/>
  <c r="K31" i="98"/>
  <c r="K32" i="98" s="1"/>
  <c r="K28" i="98"/>
  <c r="G83" i="92"/>
  <c r="G86" i="92" s="1"/>
  <c r="G87" i="92" s="1"/>
  <c r="D26" i="28"/>
  <c r="D30" i="28"/>
  <c r="I102" i="51"/>
  <c r="I98" i="51"/>
  <c r="O96" i="95"/>
  <c r="O99" i="95" s="1"/>
  <c r="O100" i="95" s="1"/>
  <c r="E26" i="10"/>
  <c r="E30" i="10"/>
  <c r="G30" i="52"/>
  <c r="G26" i="52"/>
  <c r="M219" i="12"/>
  <c r="M222" i="12" s="1"/>
  <c r="M223" i="12" s="1"/>
  <c r="G26" i="34"/>
  <c r="G30" i="34"/>
  <c r="F79" i="33"/>
  <c r="F83" i="33"/>
  <c r="Q57" i="61"/>
  <c r="Q53" i="61"/>
  <c r="E81" i="94"/>
  <c r="E84" i="94" s="1"/>
  <c r="E85" i="94" s="1"/>
  <c r="L61" i="99"/>
  <c r="L62" i="99" s="1"/>
  <c r="L58" i="99"/>
  <c r="F99" i="24"/>
  <c r="F100" i="24" s="1"/>
  <c r="F96" i="24"/>
  <c r="Q83" i="33"/>
  <c r="Q79" i="33"/>
  <c r="E58" i="61"/>
  <c r="E61" i="61" s="1"/>
  <c r="E62" i="61" s="1"/>
  <c r="F84" i="83"/>
  <c r="F85" i="83" s="1"/>
  <c r="F81" i="83"/>
  <c r="M92" i="87"/>
  <c r="M95" i="87"/>
  <c r="M96" i="87" s="1"/>
  <c r="D30" i="17"/>
  <c r="D26" i="17"/>
  <c r="G26" i="111"/>
  <c r="G30" i="111"/>
  <c r="L101" i="21"/>
  <c r="L104" i="21" s="1"/>
  <c r="L105" i="21" s="1"/>
  <c r="F83" i="56"/>
  <c r="F86" i="56" s="1"/>
  <c r="F87" i="56" s="1"/>
  <c r="I73" i="80"/>
  <c r="I76" i="80" s="1"/>
  <c r="I77" i="80" s="1"/>
  <c r="O36" i="85"/>
  <c r="O37" i="85" s="1"/>
  <c r="O33" i="85"/>
  <c r="E30" i="5"/>
  <c r="E26" i="5"/>
  <c r="G30" i="5"/>
  <c r="G26" i="5"/>
  <c r="G26" i="46"/>
  <c r="G30" i="46"/>
  <c r="D106" i="45"/>
  <c r="D107" i="45" s="1"/>
  <c r="D103" i="45"/>
  <c r="Q60" i="72"/>
  <c r="Q56" i="72"/>
  <c r="Q76" i="79"/>
  <c r="Q72" i="79"/>
  <c r="D80" i="93"/>
  <c r="D76" i="93"/>
  <c r="G28" i="98"/>
  <c r="G31" i="98" s="1"/>
  <c r="G32" i="98" s="1"/>
  <c r="I96" i="103"/>
  <c r="I99" i="103" s="1"/>
  <c r="I100" i="103" s="1"/>
  <c r="I84" i="33"/>
  <c r="I87" i="33" s="1"/>
  <c r="I88" i="33" s="1"/>
  <c r="H127" i="36"/>
  <c r="H130" i="36" s="1"/>
  <c r="H131" i="36" s="1"/>
  <c r="L70" i="69"/>
  <c r="L71" i="69" s="1"/>
  <c r="L67" i="69"/>
  <c r="Q101" i="9"/>
  <c r="Q104" i="9" s="1"/>
  <c r="Q105" i="9" s="1"/>
  <c r="M120" i="42"/>
  <c r="M123" i="42"/>
  <c r="M124" i="42" s="1"/>
  <c r="J130" i="36"/>
  <c r="J131" i="36" s="1"/>
  <c r="J127" i="36"/>
  <c r="I213" i="15"/>
  <c r="I216" i="15"/>
  <c r="I217" i="15" s="1"/>
  <c r="J86" i="92"/>
  <c r="J87" i="92" s="1"/>
  <c r="J83" i="92"/>
  <c r="M106" i="51"/>
  <c r="M107" i="51" s="1"/>
  <c r="M103" i="51"/>
  <c r="Q29" i="104"/>
  <c r="Q32" i="104" s="1"/>
  <c r="Q33" i="104" s="1"/>
  <c r="N77" i="79"/>
  <c r="N80" i="79" s="1"/>
  <c r="N81" i="79" s="1"/>
  <c r="D26" i="23"/>
  <c r="D30" i="23"/>
  <c r="O235" i="18"/>
  <c r="O238" i="18"/>
  <c r="O239" i="18" s="1"/>
  <c r="F102" i="63"/>
  <c r="F103" i="63" s="1"/>
  <c r="F99" i="63"/>
  <c r="D30" i="22"/>
  <c r="D26" i="22"/>
  <c r="G26" i="38"/>
  <c r="G30" i="38"/>
  <c r="Q91" i="87"/>
  <c r="Q87" i="87"/>
  <c r="N103" i="76"/>
  <c r="N106" i="76" s="1"/>
  <c r="N107" i="76" s="1"/>
  <c r="O116" i="27"/>
  <c r="O119" i="27"/>
  <c r="O120" i="27" s="1"/>
  <c r="G79" i="109"/>
  <c r="G82" i="109" s="1"/>
  <c r="G83" i="109" s="1"/>
  <c r="G81" i="83"/>
  <c r="G84" i="83" s="1"/>
  <c r="G85" i="83" s="1"/>
  <c r="E26" i="112"/>
  <c r="E30" i="112"/>
  <c r="E78" i="48"/>
  <c r="E74" i="48"/>
  <c r="F87" i="75"/>
  <c r="F88" i="75" s="1"/>
  <c r="F84" i="75"/>
  <c r="F32" i="6"/>
  <c r="F33" i="6" s="1"/>
  <c r="F27" i="6"/>
  <c r="K35" i="100"/>
  <c r="K38" i="100" s="1"/>
  <c r="K39" i="100" s="1"/>
  <c r="L79" i="109"/>
  <c r="L82" i="109"/>
  <c r="L83" i="109" s="1"/>
  <c r="G26" i="47"/>
  <c r="G30" i="47"/>
  <c r="H81" i="93"/>
  <c r="H84" i="93"/>
  <c r="H85" i="93" s="1"/>
  <c r="H66" i="102"/>
  <c r="H67" i="102" s="1"/>
  <c r="H63" i="102"/>
  <c r="O124" i="39"/>
  <c r="O127" i="39" s="1"/>
  <c r="O128" i="39" s="1"/>
  <c r="K161" i="30"/>
  <c r="K164" i="30" s="1"/>
  <c r="K165" i="30" s="1"/>
  <c r="G79" i="48"/>
  <c r="G82" i="48" s="1"/>
  <c r="G83" i="48" s="1"/>
  <c r="E77" i="79"/>
  <c r="E80" i="79" s="1"/>
  <c r="E81" i="79" s="1"/>
  <c r="G81" i="93"/>
  <c r="G84" i="93" s="1"/>
  <c r="G85" i="93" s="1"/>
  <c r="E30" i="31"/>
  <c r="E26" i="31"/>
  <c r="J86" i="91"/>
  <c r="J89" i="91"/>
  <c r="J90" i="91" s="1"/>
  <c r="O222" i="12"/>
  <c r="O223" i="12" s="1"/>
  <c r="O219" i="12"/>
  <c r="Q27" i="54"/>
  <c r="Q32" i="54" s="1"/>
  <c r="Q33" i="54" s="1"/>
  <c r="O65" i="60"/>
  <c r="O66" i="60" s="1"/>
  <c r="O62" i="60"/>
  <c r="K106" i="76"/>
  <c r="K107" i="76" s="1"/>
  <c r="K103" i="76"/>
  <c r="Q28" i="85"/>
  <c r="Q32" i="85"/>
  <c r="L41" i="101"/>
  <c r="L44" i="101" s="1"/>
  <c r="L45" i="101" s="1"/>
  <c r="K87" i="75"/>
  <c r="K88" i="75" s="1"/>
  <c r="K84" i="75"/>
  <c r="D26" i="11"/>
  <c r="D30" i="11"/>
  <c r="G30" i="112"/>
  <c r="G26" i="112"/>
  <c r="L104" i="9"/>
  <c r="L105" i="9" s="1"/>
  <c r="L101" i="9"/>
  <c r="J103" i="76"/>
  <c r="J106" i="76" s="1"/>
  <c r="J107" i="76" s="1"/>
  <c r="H30" i="108"/>
  <c r="H31" i="108" s="1"/>
  <c r="H27" i="108"/>
  <c r="G26" i="31"/>
  <c r="G30" i="31"/>
  <c r="J58" i="61"/>
  <c r="J61" i="61" s="1"/>
  <c r="J62" i="61" s="1"/>
  <c r="I76" i="57"/>
  <c r="I77" i="57" s="1"/>
  <c r="I73" i="57"/>
  <c r="J79" i="109"/>
  <c r="J82" i="109" s="1"/>
  <c r="J83" i="109" s="1"/>
  <c r="E26" i="41"/>
  <c r="E30" i="41"/>
  <c r="I82" i="92"/>
  <c r="I78" i="92"/>
  <c r="D252" i="3"/>
  <c r="D257" i="3"/>
  <c r="D258" i="3" s="1"/>
  <c r="Q48" i="70"/>
  <c r="Q109" i="70"/>
  <c r="D30" i="26"/>
  <c r="D26" i="26"/>
  <c r="L120" i="42"/>
  <c r="L123" i="42" s="1"/>
  <c r="L124" i="42" s="1"/>
  <c r="G83" i="56"/>
  <c r="G86" i="56" s="1"/>
  <c r="G87" i="56" s="1"/>
  <c r="E84" i="75"/>
  <c r="E87" i="75" s="1"/>
  <c r="E88" i="75" s="1"/>
  <c r="N96" i="105"/>
  <c r="N99" i="105" s="1"/>
  <c r="N100" i="105" s="1"/>
  <c r="J119" i="84"/>
  <c r="J122" i="84" s="1"/>
  <c r="J123" i="84" s="1"/>
  <c r="E30" i="14"/>
  <c r="E26" i="14"/>
  <c r="E30" i="46"/>
  <c r="E26" i="46"/>
  <c r="N72" i="57"/>
  <c r="N68" i="57"/>
  <c r="I91" i="87"/>
  <c r="I87" i="87"/>
  <c r="E91" i="105"/>
  <c r="E95" i="105"/>
  <c r="E26" i="23"/>
  <c r="E30" i="23"/>
  <c r="E32" i="6"/>
  <c r="E33" i="6" s="1"/>
  <c r="E27" i="6"/>
  <c r="H235" i="18"/>
  <c r="H238" i="18"/>
  <c r="H239" i="18" s="1"/>
  <c r="H96" i="68"/>
  <c r="H99" i="68" s="1"/>
  <c r="H100" i="68" s="1"/>
  <c r="D95" i="68"/>
  <c r="D91" i="68"/>
  <c r="N73" i="80"/>
  <c r="N76" i="80"/>
  <c r="N77" i="80" s="1"/>
  <c r="K81" i="83"/>
  <c r="K84" i="83" s="1"/>
  <c r="K85" i="83" s="1"/>
  <c r="Q36" i="88"/>
  <c r="Q32" i="88"/>
  <c r="Q121" i="36"/>
  <c r="Q26" i="36"/>
  <c r="G64" i="72"/>
  <c r="G65" i="72" s="1"/>
  <c r="G61" i="72"/>
  <c r="I84" i="75"/>
  <c r="I87" i="75" s="1"/>
  <c r="I88" i="75" s="1"/>
  <c r="N81" i="94"/>
  <c r="N84" i="94" s="1"/>
  <c r="N85" i="94" s="1"/>
  <c r="E103" i="45"/>
  <c r="E106" i="45" s="1"/>
  <c r="E107" i="45" s="1"/>
  <c r="K92" i="87"/>
  <c r="K95" i="87"/>
  <c r="K96" i="87" s="1"/>
  <c r="Q73" i="48"/>
  <c r="Q17" i="48"/>
  <c r="Q68" i="57"/>
  <c r="Q72" i="57"/>
  <c r="G86" i="91"/>
  <c r="G89" i="91"/>
  <c r="G90" i="91" s="1"/>
  <c r="I58" i="99"/>
  <c r="I61" i="99" s="1"/>
  <c r="I62" i="99" s="1"/>
  <c r="J92" i="87"/>
  <c r="J95" i="87" s="1"/>
  <c r="J96" i="87" s="1"/>
  <c r="J87" i="97"/>
  <c r="J90" i="97" s="1"/>
  <c r="J91" i="97" s="1"/>
  <c r="L115" i="70"/>
  <c r="L118" i="70" s="1"/>
  <c r="L119" i="70" s="1"/>
  <c r="L127" i="36"/>
  <c r="L130" i="36" s="1"/>
  <c r="L131" i="36" s="1"/>
  <c r="D77" i="58"/>
  <c r="D80" i="58"/>
  <c r="D81" i="58" s="1"/>
  <c r="E161" i="30"/>
  <c r="E164" i="30"/>
  <c r="E165" i="30" s="1"/>
  <c r="D96" i="95"/>
  <c r="D99" i="95" s="1"/>
  <c r="D100" i="95" s="1"/>
  <c r="D37" i="88"/>
  <c r="D40" i="88" s="1"/>
  <c r="D41" i="88" s="1"/>
  <c r="K148" i="74"/>
  <c r="K151" i="74" s="1"/>
  <c r="K152" i="74" s="1"/>
  <c r="F96" i="105"/>
  <c r="F99" i="105"/>
  <c r="F100" i="105" s="1"/>
  <c r="F161" i="30"/>
  <c r="F164" i="30" s="1"/>
  <c r="F165" i="30" s="1"/>
  <c r="M90" i="107"/>
  <c r="M93" i="107" s="1"/>
  <c r="M94" i="107" s="1"/>
  <c r="D63" i="102"/>
  <c r="D66" i="102"/>
  <c r="D67" i="102" s="1"/>
  <c r="K22" i="54"/>
  <c r="K26" i="54"/>
  <c r="F80" i="94"/>
  <c r="F76" i="94"/>
  <c r="E54" i="82"/>
  <c r="E57" i="82" s="1"/>
  <c r="E58" i="82" s="1"/>
  <c r="E26" i="13"/>
  <c r="E30" i="13"/>
  <c r="L116" i="27"/>
  <c r="L119" i="27" s="1"/>
  <c r="L120" i="27" s="1"/>
  <c r="K130" i="36"/>
  <c r="K131" i="36" s="1"/>
  <c r="K127" i="36"/>
  <c r="H62" i="60"/>
  <c r="H65" i="60" s="1"/>
  <c r="H66" i="60" s="1"/>
  <c r="M96" i="103"/>
  <c r="M99" i="103" s="1"/>
  <c r="M100" i="103" s="1"/>
  <c r="E30" i="35"/>
  <c r="E26" i="35"/>
  <c r="H95" i="95"/>
  <c r="H91" i="95"/>
  <c r="K90" i="97"/>
  <c r="K91" i="97" s="1"/>
  <c r="K87" i="97"/>
  <c r="M67" i="69"/>
  <c r="M70" i="69" s="1"/>
  <c r="M71" i="69" s="1"/>
  <c r="N28" i="98"/>
  <c r="N31" i="98" s="1"/>
  <c r="N32" i="98" s="1"/>
  <c r="F218" i="12"/>
  <c r="F214" i="12"/>
  <c r="F27" i="54"/>
  <c r="F32" i="54"/>
  <c r="F33" i="54" s="1"/>
  <c r="E66" i="69"/>
  <c r="E62" i="69"/>
  <c r="N89" i="91"/>
  <c r="N90" i="91" s="1"/>
  <c r="N86" i="91"/>
  <c r="Q62" i="102"/>
  <c r="Q58" i="102"/>
  <c r="M79" i="109"/>
  <c r="M82" i="109" s="1"/>
  <c r="M83" i="109" s="1"/>
  <c r="D26" i="13"/>
  <c r="D30" i="13"/>
  <c r="K86" i="91"/>
  <c r="K89" i="91"/>
  <c r="K90" i="91" s="1"/>
  <c r="E91" i="103"/>
  <c r="E95" i="103"/>
  <c r="E213" i="15"/>
  <c r="E216" i="15" s="1"/>
  <c r="E217" i="15" s="1"/>
  <c r="O84" i="33"/>
  <c r="O87" i="33"/>
  <c r="O88" i="33" s="1"/>
  <c r="D86" i="56"/>
  <c r="D87" i="56" s="1"/>
  <c r="D83" i="56"/>
  <c r="E103" i="76"/>
  <c r="E106" i="76" s="1"/>
  <c r="E107" i="76" s="1"/>
  <c r="E76" i="80"/>
  <c r="E77" i="80" s="1"/>
  <c r="E73" i="80"/>
  <c r="L73" i="80"/>
  <c r="L76" i="80" s="1"/>
  <c r="L77" i="80" s="1"/>
  <c r="G101" i="21"/>
  <c r="G104" i="21"/>
  <c r="G105" i="21" s="1"/>
  <c r="E26" i="38"/>
  <c r="E30" i="38"/>
  <c r="L161" i="30"/>
  <c r="L164" i="30" s="1"/>
  <c r="L165" i="30" s="1"/>
  <c r="N119" i="39"/>
  <c r="N123" i="39"/>
  <c r="O148" i="74"/>
  <c r="O151" i="74" s="1"/>
  <c r="O152" i="74" s="1"/>
  <c r="F37" i="88"/>
  <c r="F40" i="88" s="1"/>
  <c r="F41" i="88" s="1"/>
  <c r="D30" i="35"/>
  <c r="D26" i="35"/>
  <c r="F111" i="27"/>
  <c r="F115" i="27"/>
  <c r="E76" i="57"/>
  <c r="E77" i="57" s="1"/>
  <c r="E73" i="57"/>
  <c r="O61" i="72"/>
  <c r="O64" i="72"/>
  <c r="O65" i="72" s="1"/>
  <c r="M63" i="102"/>
  <c r="M66" i="102" s="1"/>
  <c r="M67" i="102" s="1"/>
  <c r="H87" i="33"/>
  <c r="H88" i="33" s="1"/>
  <c r="H84" i="33"/>
  <c r="G257" i="3"/>
  <c r="G258" i="3" s="1"/>
  <c r="G252" i="3"/>
  <c r="K58" i="99"/>
  <c r="K61" i="99"/>
  <c r="K62" i="99" s="1"/>
  <c r="N252" i="3"/>
  <c r="N257" i="3" s="1"/>
  <c r="N258" i="3" s="1"/>
  <c r="E38" i="55"/>
  <c r="E41" i="55" s="1"/>
  <c r="E42" i="55" s="1"/>
  <c r="H151" i="74"/>
  <c r="H152" i="74" s="1"/>
  <c r="H148" i="74"/>
  <c r="G26" i="50"/>
  <c r="G30" i="50"/>
  <c r="F230" i="18"/>
  <c r="F234" i="18"/>
  <c r="F114" i="70"/>
  <c r="F110" i="70"/>
  <c r="J54" i="82"/>
  <c r="J57" i="82" s="1"/>
  <c r="J58" i="82" s="1"/>
  <c r="N36" i="88"/>
  <c r="N32" i="88"/>
  <c r="E90" i="97"/>
  <c r="E91" i="97" s="1"/>
  <c r="E87" i="97"/>
  <c r="G26" i="37"/>
  <c r="G30" i="37"/>
  <c r="K83" i="92"/>
  <c r="K86" i="92" s="1"/>
  <c r="K87" i="92" s="1"/>
  <c r="D86" i="92"/>
  <c r="D87" i="92" s="1"/>
  <c r="D83" i="92"/>
  <c r="E30" i="29"/>
  <c r="E26" i="29"/>
  <c r="G222" i="12"/>
  <c r="G223" i="12" s="1"/>
  <c r="G219" i="12"/>
  <c r="Q72" i="58"/>
  <c r="Q76" i="58"/>
  <c r="D58" i="61"/>
  <c r="D61" i="61"/>
  <c r="D62" i="61" s="1"/>
  <c r="G92" i="87"/>
  <c r="G95" i="87" s="1"/>
  <c r="G96" i="87" s="1"/>
  <c r="N44" i="101"/>
  <c r="N45" i="101" s="1"/>
  <c r="N41" i="101"/>
  <c r="O252" i="3"/>
  <c r="O257" i="3"/>
  <c r="O258" i="3" s="1"/>
  <c r="G30" i="14"/>
  <c r="G26" i="14"/>
  <c r="I115" i="27"/>
  <c r="I111" i="27"/>
  <c r="J120" i="42"/>
  <c r="J123" i="42"/>
  <c r="J124" i="42" s="1"/>
  <c r="H99" i="63"/>
  <c r="H102" i="63" s="1"/>
  <c r="H103" i="63" s="1"/>
  <c r="O87" i="75"/>
  <c r="O88" i="75" s="1"/>
  <c r="O84" i="75"/>
  <c r="D81" i="83"/>
  <c r="D84" i="83" s="1"/>
  <c r="D85" i="83" s="1"/>
  <c r="K96" i="103"/>
  <c r="K99" i="103" s="1"/>
  <c r="K100" i="103" s="1"/>
  <c r="K77" i="58"/>
  <c r="K80" i="58" s="1"/>
  <c r="K81" i="58" s="1"/>
  <c r="G95" i="95"/>
  <c r="G91" i="95"/>
  <c r="N87" i="97"/>
  <c r="N90" i="97" s="1"/>
  <c r="N91" i="97" s="1"/>
  <c r="L102" i="63"/>
  <c r="L103" i="63" s="1"/>
  <c r="L99" i="63"/>
  <c r="D38" i="55"/>
  <c r="D41" i="55"/>
  <c r="D42" i="55" s="1"/>
  <c r="J161" i="30"/>
  <c r="J164" i="30" s="1"/>
  <c r="J165" i="30" s="1"/>
  <c r="F99" i="103"/>
  <c r="F100" i="103" s="1"/>
  <c r="F96" i="103"/>
  <c r="D96" i="24"/>
  <c r="D99" i="24"/>
  <c r="D100" i="24" s="1"/>
  <c r="O96" i="105"/>
  <c r="O99" i="105"/>
  <c r="O100" i="105" s="1"/>
  <c r="M80" i="58"/>
  <c r="M81" i="58" s="1"/>
  <c r="M77" i="58"/>
  <c r="O213" i="15"/>
  <c r="O216" i="15"/>
  <c r="O217" i="15" s="1"/>
  <c r="I84" i="93"/>
  <c r="I85" i="93" s="1"/>
  <c r="I81" i="93"/>
  <c r="E102" i="51"/>
  <c r="E98" i="51"/>
  <c r="I219" i="12"/>
  <c r="I222" i="12" s="1"/>
  <c r="I223" i="12" s="1"/>
  <c r="K38" i="55"/>
  <c r="K41" i="55" s="1"/>
  <c r="K42" i="55" s="1"/>
  <c r="I65" i="60"/>
  <c r="I66" i="60" s="1"/>
  <c r="I62" i="60"/>
  <c r="N96" i="103"/>
  <c r="N99" i="103"/>
  <c r="N100" i="103" s="1"/>
  <c r="D98" i="76"/>
  <c r="D102" i="76"/>
  <c r="H101" i="9"/>
  <c r="H104" i="9" s="1"/>
  <c r="H105" i="9" s="1"/>
  <c r="H65" i="59"/>
  <c r="H61" i="59"/>
  <c r="N58" i="99"/>
  <c r="N61" i="99" s="1"/>
  <c r="N62" i="99" s="1"/>
  <c r="O83" i="56"/>
  <c r="O86" i="56" s="1"/>
  <c r="O87" i="56" s="1"/>
  <c r="G30" i="35"/>
  <c r="G26" i="35"/>
  <c r="G98" i="45"/>
  <c r="G102" i="45"/>
  <c r="N83" i="56"/>
  <c r="N86" i="56" s="1"/>
  <c r="N87" i="56" s="1"/>
  <c r="E79" i="109"/>
  <c r="E82" i="109" s="1"/>
  <c r="E83" i="109" s="1"/>
  <c r="Q251" i="3"/>
  <c r="Q247" i="3"/>
  <c r="J90" i="107"/>
  <c r="J93" i="107" s="1"/>
  <c r="J94" i="107" s="1"/>
  <c r="O31" i="98"/>
  <c r="O32" i="98" s="1"/>
  <c r="O28" i="98"/>
  <c r="H44" i="101"/>
  <c r="H45" i="101" s="1"/>
  <c r="H41" i="101"/>
  <c r="N84" i="33"/>
  <c r="N87" i="33" s="1"/>
  <c r="N88" i="33" s="1"/>
  <c r="F79" i="109"/>
  <c r="F82" i="109" s="1"/>
  <c r="F83" i="109" s="1"/>
  <c r="O80" i="58"/>
  <c r="O81" i="58" s="1"/>
  <c r="O77" i="58"/>
  <c r="G156" i="30"/>
  <c r="G160" i="30"/>
  <c r="L32" i="54"/>
  <c r="L33" i="54" s="1"/>
  <c r="L27" i="54"/>
  <c r="K33" i="85"/>
  <c r="K36" i="85"/>
  <c r="K37" i="85" s="1"/>
  <c r="H83" i="92"/>
  <c r="H86" i="92" s="1"/>
  <c r="H87" i="92" s="1"/>
  <c r="D29" i="104"/>
  <c r="D32" i="104"/>
  <c r="D33" i="104" s="1"/>
  <c r="G118" i="70"/>
  <c r="G119" i="70" s="1"/>
  <c r="G115" i="70"/>
  <c r="G30" i="110"/>
  <c r="G26" i="110"/>
  <c r="G116" i="27"/>
  <c r="G119" i="27" s="1"/>
  <c r="G120" i="27" s="1"/>
  <c r="H120" i="42"/>
  <c r="H123" i="42" s="1"/>
  <c r="H124" i="42" s="1"/>
  <c r="H27" i="54"/>
  <c r="H32" i="54" s="1"/>
  <c r="H33" i="54" s="1"/>
  <c r="O106" i="76"/>
  <c r="O107" i="76" s="1"/>
  <c r="O103" i="76"/>
  <c r="F31" i="98"/>
  <c r="F32" i="98" s="1"/>
  <c r="F28" i="98"/>
  <c r="D26" i="25"/>
  <c r="D30" i="25"/>
  <c r="J252" i="3"/>
  <c r="J257" i="3"/>
  <c r="J258" i="3" s="1"/>
  <c r="H222" i="12"/>
  <c r="H223" i="12" s="1"/>
  <c r="H219" i="12"/>
  <c r="F38" i="55"/>
  <c r="F41" i="55" s="1"/>
  <c r="F42" i="55" s="1"/>
  <c r="L87" i="97"/>
  <c r="L90" i="97" s="1"/>
  <c r="L91" i="97" s="1"/>
  <c r="D26" i="4"/>
  <c r="D30" i="4"/>
  <c r="Q98" i="63"/>
  <c r="Q94" i="63"/>
  <c r="K67" i="69"/>
  <c r="K70" i="69" s="1"/>
  <c r="K71" i="69" s="1"/>
  <c r="N106" i="51"/>
  <c r="N107" i="51" s="1"/>
  <c r="N103" i="51"/>
  <c r="G54" i="82"/>
  <c r="G57" i="82" s="1"/>
  <c r="G58" i="82" s="1"/>
  <c r="O90" i="107"/>
  <c r="O93" i="107" s="1"/>
  <c r="O94" i="107" s="1"/>
  <c r="E30" i="37"/>
  <c r="E26" i="37"/>
  <c r="D79" i="48"/>
  <c r="D82" i="48" s="1"/>
  <c r="D83" i="48" s="1"/>
  <c r="G58" i="61"/>
  <c r="G61" i="61"/>
  <c r="G62" i="61" s="1"/>
  <c r="I81" i="83"/>
  <c r="I84" i="83"/>
  <c r="I85" i="83" s="1"/>
  <c r="N81" i="93"/>
  <c r="N84" i="93" s="1"/>
  <c r="N85" i="93" s="1"/>
  <c r="L28" i="98"/>
  <c r="L31" i="98" s="1"/>
  <c r="L32" i="98" s="1"/>
  <c r="D30" i="111"/>
  <c r="D26" i="111"/>
  <c r="L219" i="12"/>
  <c r="L222" i="12" s="1"/>
  <c r="L223" i="12" s="1"/>
  <c r="J87" i="33"/>
  <c r="J88" i="33" s="1"/>
  <c r="J84" i="33"/>
  <c r="H38" i="55"/>
  <c r="H41" i="55" s="1"/>
  <c r="H42" i="55" s="1"/>
  <c r="Q68" i="80"/>
  <c r="Q72" i="80"/>
  <c r="K99" i="105"/>
  <c r="K100" i="105" s="1"/>
  <c r="K96" i="105"/>
  <c r="L119" i="84"/>
  <c r="L122" i="84" s="1"/>
  <c r="L123" i="84" s="1"/>
  <c r="K79" i="48"/>
  <c r="K82" i="48" s="1"/>
  <c r="K83" i="48" s="1"/>
  <c r="J84" i="94"/>
  <c r="J85" i="94" s="1"/>
  <c r="J81" i="94"/>
  <c r="J219" i="12"/>
  <c r="J222" i="12" s="1"/>
  <c r="J223" i="12" s="1"/>
  <c r="I78" i="48"/>
  <c r="I74" i="48"/>
  <c r="H28" i="98"/>
  <c r="H31" i="98" s="1"/>
  <c r="H32" i="98" s="1"/>
  <c r="H257" i="3"/>
  <c r="H258" i="3" s="1"/>
  <c r="H252" i="3"/>
  <c r="F103" i="45"/>
  <c r="F106" i="45" s="1"/>
  <c r="F107" i="45" s="1"/>
  <c r="E95" i="24"/>
  <c r="E91" i="24"/>
  <c r="I86" i="91"/>
  <c r="I89" i="91" s="1"/>
  <c r="I90" i="91" s="1"/>
  <c r="E26" i="47"/>
  <c r="E30" i="47"/>
  <c r="D27" i="54"/>
  <c r="D32" i="54" s="1"/>
  <c r="D33" i="54" s="1"/>
  <c r="O65" i="59"/>
  <c r="O61" i="59"/>
  <c r="G30" i="28"/>
  <c r="G26" i="28"/>
  <c r="L37" i="88"/>
  <c r="L40" i="88"/>
  <c r="L41" i="88" s="1"/>
  <c r="L77" i="58"/>
  <c r="L80" i="58" s="1"/>
  <c r="L81" i="58" s="1"/>
  <c r="K64" i="72"/>
  <c r="K65" i="72" s="1"/>
  <c r="K61" i="72"/>
  <c r="K66" i="59"/>
  <c r="K69" i="59" s="1"/>
  <c r="K70" i="59" s="1"/>
  <c r="H90" i="97"/>
  <c r="H91" i="97" s="1"/>
  <c r="H87" i="97"/>
  <c r="G127" i="39"/>
  <c r="G128" i="39" s="1"/>
  <c r="G124" i="39"/>
  <c r="G77" i="79"/>
  <c r="G80" i="79"/>
  <c r="G81" i="79" s="1"/>
  <c r="O58" i="99"/>
  <c r="O61" i="99" s="1"/>
  <c r="O62" i="99" s="1"/>
  <c r="M106" i="45"/>
  <c r="M107" i="45" s="1"/>
  <c r="M103" i="45"/>
  <c r="K115" i="70"/>
  <c r="K118" i="70"/>
  <c r="K119" i="70" s="1"/>
  <c r="N37" i="88" l="1"/>
  <c r="N40" i="88"/>
  <c r="N41" i="88" s="1"/>
  <c r="N73" i="57"/>
  <c r="N76" i="57" s="1"/>
  <c r="N77" i="57" s="1"/>
  <c r="G31" i="43"/>
  <c r="G36" i="43" s="1"/>
  <c r="G37" i="43" s="1"/>
  <c r="Q63" i="102"/>
  <c r="Q66" i="102"/>
  <c r="Q67" i="102" s="1"/>
  <c r="Q77" i="58"/>
  <c r="Q80" i="58"/>
  <c r="Q81" i="58" s="1"/>
  <c r="G31" i="50"/>
  <c r="G36" i="50" s="1"/>
  <c r="G37" i="50" s="1"/>
  <c r="Q73" i="57"/>
  <c r="Q76" i="57" s="1"/>
  <c r="Q77" i="57" s="1"/>
  <c r="G31" i="111"/>
  <c r="G36" i="111" s="1"/>
  <c r="G37" i="111" s="1"/>
  <c r="F87" i="33"/>
  <c r="F88" i="33" s="1"/>
  <c r="F84" i="33"/>
  <c r="I103" i="45"/>
  <c r="I106" i="45" s="1"/>
  <c r="I107" i="45" s="1"/>
  <c r="D31" i="49"/>
  <c r="D36" i="49" s="1"/>
  <c r="D37" i="49" s="1"/>
  <c r="D31" i="10"/>
  <c r="D36" i="10" s="1"/>
  <c r="D37" i="10" s="1"/>
  <c r="Q54" i="82"/>
  <c r="Q57" i="82" s="1"/>
  <c r="Q58" i="82" s="1"/>
  <c r="Q119" i="84"/>
  <c r="Q122" i="84" s="1"/>
  <c r="Q123" i="84" s="1"/>
  <c r="D31" i="40"/>
  <c r="D36" i="40" s="1"/>
  <c r="D37" i="40" s="1"/>
  <c r="H29" i="104"/>
  <c r="H32" i="104" s="1"/>
  <c r="H33" i="104" s="1"/>
  <c r="G31" i="23"/>
  <c r="G36" i="23" s="1"/>
  <c r="G37" i="23" s="1"/>
  <c r="G31" i="28"/>
  <c r="G36" i="28" s="1"/>
  <c r="G37" i="28" s="1"/>
  <c r="M84" i="33"/>
  <c r="M87" i="33"/>
  <c r="M88" i="33" s="1"/>
  <c r="F127" i="36"/>
  <c r="F130" i="36" s="1"/>
  <c r="F131" i="36" s="1"/>
  <c r="G31" i="7"/>
  <c r="G36" i="7" s="1"/>
  <c r="G37" i="7" s="1"/>
  <c r="F81" i="93"/>
  <c r="F84" i="93"/>
  <c r="F85" i="93" s="1"/>
  <c r="G238" i="18"/>
  <c r="G239" i="18" s="1"/>
  <c r="G235" i="18"/>
  <c r="E31" i="32"/>
  <c r="E36" i="32" s="1"/>
  <c r="E37" i="32" s="1"/>
  <c r="G31" i="25"/>
  <c r="G36" i="25" s="1"/>
  <c r="G37" i="25" s="1"/>
  <c r="L99" i="24"/>
  <c r="L100" i="24" s="1"/>
  <c r="L96" i="24"/>
  <c r="F67" i="69"/>
  <c r="F70" i="69" s="1"/>
  <c r="F71" i="69" s="1"/>
  <c r="Q62" i="60"/>
  <c r="Q65" i="60" s="1"/>
  <c r="Q66" i="60" s="1"/>
  <c r="Q61" i="99"/>
  <c r="Q62" i="99" s="1"/>
  <c r="Q58" i="99"/>
  <c r="J235" i="18"/>
  <c r="J238" i="18" s="1"/>
  <c r="J239" i="18" s="1"/>
  <c r="D101" i="21"/>
  <c r="D104" i="21"/>
  <c r="D105" i="21" s="1"/>
  <c r="Q99" i="105"/>
  <c r="Q100" i="105" s="1"/>
  <c r="Q96" i="105"/>
  <c r="Q73" i="80"/>
  <c r="Q76" i="80" s="1"/>
  <c r="Q77" i="80" s="1"/>
  <c r="G103" i="45"/>
  <c r="G106" i="45" s="1"/>
  <c r="G107" i="45" s="1"/>
  <c r="D106" i="76"/>
  <c r="D107" i="76" s="1"/>
  <c r="D103" i="76"/>
  <c r="F116" i="27"/>
  <c r="F119" i="27" s="1"/>
  <c r="F120" i="27" s="1"/>
  <c r="N124" i="39"/>
  <c r="N127" i="39" s="1"/>
  <c r="N128" i="39" s="1"/>
  <c r="E99" i="103"/>
  <c r="E100" i="103" s="1"/>
  <c r="E96" i="103"/>
  <c r="K27" i="54"/>
  <c r="K32" i="54" s="1"/>
  <c r="K33" i="54" s="1"/>
  <c r="Q114" i="70"/>
  <c r="Q110" i="70"/>
  <c r="G31" i="34"/>
  <c r="G36" i="34" s="1"/>
  <c r="G37" i="34" s="1"/>
  <c r="E31" i="10"/>
  <c r="E36" i="10" s="1"/>
  <c r="E37" i="10" s="1"/>
  <c r="G31" i="19"/>
  <c r="G36" i="19" s="1"/>
  <c r="G37" i="19" s="1"/>
  <c r="D31" i="34"/>
  <c r="D36" i="34" s="1"/>
  <c r="D37" i="34" s="1"/>
  <c r="G96" i="68"/>
  <c r="G99" i="68" s="1"/>
  <c r="G100" i="68" s="1"/>
  <c r="G31" i="49"/>
  <c r="G36" i="49" s="1"/>
  <c r="G37" i="49" s="1"/>
  <c r="O80" i="79"/>
  <c r="O81" i="79" s="1"/>
  <c r="O77" i="79"/>
  <c r="G31" i="8"/>
  <c r="G36" i="8" s="1"/>
  <c r="G37" i="8" s="1"/>
  <c r="D31" i="44"/>
  <c r="D36" i="44" s="1"/>
  <c r="D37" i="44" s="1"/>
  <c r="E31" i="34"/>
  <c r="E36" i="34" s="1"/>
  <c r="E37" i="34" s="1"/>
  <c r="E31" i="16"/>
  <c r="E36" i="16" s="1"/>
  <c r="E37" i="16" s="1"/>
  <c r="E31" i="25"/>
  <c r="E36" i="25" s="1"/>
  <c r="E37" i="25" s="1"/>
  <c r="D31" i="38"/>
  <c r="D36" i="38" s="1"/>
  <c r="D37" i="38" s="1"/>
  <c r="F81" i="94"/>
  <c r="F84" i="94"/>
  <c r="F85" i="94" s="1"/>
  <c r="I79" i="48"/>
  <c r="I82" i="48" s="1"/>
  <c r="I83" i="48" s="1"/>
  <c r="E70" i="69"/>
  <c r="E71" i="69" s="1"/>
  <c r="E67" i="69"/>
  <c r="D31" i="17"/>
  <c r="D36" i="17" s="1"/>
  <c r="D37" i="17" s="1"/>
  <c r="E31" i="26"/>
  <c r="E36" i="26" s="1"/>
  <c r="E37" i="26" s="1"/>
  <c r="Q66" i="59"/>
  <c r="Q69" i="59"/>
  <c r="Q70" i="59" s="1"/>
  <c r="H96" i="95"/>
  <c r="H99" i="95"/>
  <c r="H100" i="95" s="1"/>
  <c r="Q106" i="51"/>
  <c r="Q107" i="51" s="1"/>
  <c r="Q103" i="51"/>
  <c r="D31" i="46"/>
  <c r="D36" i="46" s="1"/>
  <c r="D37" i="46" s="1"/>
  <c r="E41" i="101"/>
  <c r="E44" i="101" s="1"/>
  <c r="E45" i="101" s="1"/>
  <c r="Q84" i="83"/>
  <c r="Q85" i="83" s="1"/>
  <c r="Q81" i="83"/>
  <c r="N83" i="92"/>
  <c r="N86" i="92"/>
  <c r="N87" i="92" s="1"/>
  <c r="D31" i="50"/>
  <c r="D36" i="50" s="1"/>
  <c r="D37" i="50" s="1"/>
  <c r="Q106" i="45"/>
  <c r="Q107" i="45" s="1"/>
  <c r="Q103" i="45"/>
  <c r="G161" i="30"/>
  <c r="G164" i="30" s="1"/>
  <c r="G165" i="30" s="1"/>
  <c r="D31" i="11"/>
  <c r="D36" i="11" s="1"/>
  <c r="D37" i="11" s="1"/>
  <c r="O38" i="55"/>
  <c r="O41" i="55" s="1"/>
  <c r="O42" i="55" s="1"/>
  <c r="D31" i="110"/>
  <c r="D36" i="110" s="1"/>
  <c r="D37" i="110" s="1"/>
  <c r="D31" i="52"/>
  <c r="D36" i="52" s="1"/>
  <c r="D37" i="52" s="1"/>
  <c r="O106" i="45"/>
  <c r="O107" i="45" s="1"/>
  <c r="O103" i="45"/>
  <c r="O99" i="63"/>
  <c r="O102" i="63" s="1"/>
  <c r="O103" i="63" s="1"/>
  <c r="D31" i="31"/>
  <c r="D36" i="31" s="1"/>
  <c r="D37" i="31" s="1"/>
  <c r="E31" i="37"/>
  <c r="E36" i="37" s="1"/>
  <c r="E37" i="37" s="1"/>
  <c r="E103" i="51"/>
  <c r="E106" i="51" s="1"/>
  <c r="E107" i="51" s="1"/>
  <c r="I92" i="87"/>
  <c r="I95" i="87"/>
  <c r="I96" i="87" s="1"/>
  <c r="Q80" i="79"/>
  <c r="Q81" i="79" s="1"/>
  <c r="Q77" i="79"/>
  <c r="G31" i="53"/>
  <c r="G36" i="53" s="1"/>
  <c r="G37" i="53" s="1"/>
  <c r="G31" i="31"/>
  <c r="G36" i="31" s="1"/>
  <c r="G37" i="31" s="1"/>
  <c r="Q99" i="63"/>
  <c r="Q102" i="63" s="1"/>
  <c r="Q103" i="63" s="1"/>
  <c r="G31" i="35"/>
  <c r="G36" i="35" s="1"/>
  <c r="G37" i="35" s="1"/>
  <c r="E31" i="29"/>
  <c r="E36" i="29" s="1"/>
  <c r="E37" i="29" s="1"/>
  <c r="D31" i="35"/>
  <c r="D36" i="35" s="1"/>
  <c r="D37" i="35" s="1"/>
  <c r="E31" i="46"/>
  <c r="E36" i="46" s="1"/>
  <c r="E37" i="46" s="1"/>
  <c r="E79" i="48"/>
  <c r="E82" i="48" s="1"/>
  <c r="E83" i="48" s="1"/>
  <c r="Q90" i="107"/>
  <c r="Q93" i="107"/>
  <c r="Q94" i="107" s="1"/>
  <c r="E29" i="104"/>
  <c r="E32" i="104"/>
  <c r="E33" i="104" s="1"/>
  <c r="E31" i="17"/>
  <c r="E36" i="17" s="1"/>
  <c r="E37" i="17" s="1"/>
  <c r="Q96" i="95"/>
  <c r="Q99" i="95" s="1"/>
  <c r="Q100" i="95" s="1"/>
  <c r="Q156" i="30"/>
  <c r="Q160" i="30"/>
  <c r="D31" i="19"/>
  <c r="D36" i="19" s="1"/>
  <c r="D37" i="19" s="1"/>
  <c r="E101" i="21"/>
  <c r="E104" i="21" s="1"/>
  <c r="E105" i="21" s="1"/>
  <c r="E81" i="93"/>
  <c r="E84" i="93"/>
  <c r="E85" i="93" s="1"/>
  <c r="E31" i="50"/>
  <c r="E36" i="50" s="1"/>
  <c r="E37" i="50" s="1"/>
  <c r="D31" i="43"/>
  <c r="D36" i="43" s="1"/>
  <c r="D37" i="43" s="1"/>
  <c r="D31" i="53"/>
  <c r="D36" i="53" s="1"/>
  <c r="D37" i="53" s="1"/>
  <c r="K127" i="39"/>
  <c r="K128" i="39" s="1"/>
  <c r="K124" i="39"/>
  <c r="I96" i="95"/>
  <c r="I99" i="95"/>
  <c r="I100" i="95" s="1"/>
  <c r="G31" i="29"/>
  <c r="G36" i="29" s="1"/>
  <c r="G37" i="29" s="1"/>
  <c r="Q82" i="109"/>
  <c r="Q83" i="109" s="1"/>
  <c r="Q79" i="109"/>
  <c r="Q81" i="93"/>
  <c r="Q84" i="93"/>
  <c r="Q85" i="93" s="1"/>
  <c r="D31" i="26"/>
  <c r="D36" i="26" s="1"/>
  <c r="D37" i="26" s="1"/>
  <c r="G31" i="52"/>
  <c r="G36" i="52" s="1"/>
  <c r="G37" i="52" s="1"/>
  <c r="H92" i="87"/>
  <c r="H95" i="87"/>
  <c r="H96" i="87" s="1"/>
  <c r="E31" i="11"/>
  <c r="E36" i="11" s="1"/>
  <c r="E37" i="11" s="1"/>
  <c r="E31" i="47"/>
  <c r="E36" i="47" s="1"/>
  <c r="E37" i="47" s="1"/>
  <c r="D31" i="4"/>
  <c r="D36" i="4" s="1"/>
  <c r="D37" i="4" s="1"/>
  <c r="E31" i="38"/>
  <c r="E36" i="38" s="1"/>
  <c r="E37" i="38" s="1"/>
  <c r="D31" i="13"/>
  <c r="D36" i="13" s="1"/>
  <c r="D37" i="13" s="1"/>
  <c r="G31" i="47"/>
  <c r="G36" i="47" s="1"/>
  <c r="G37" i="47" s="1"/>
  <c r="E31" i="112"/>
  <c r="E36" i="112" s="1"/>
  <c r="E37" i="112" s="1"/>
  <c r="D31" i="23"/>
  <c r="D36" i="23" s="1"/>
  <c r="D37" i="23" s="1"/>
  <c r="Q81" i="94"/>
  <c r="Q84" i="94" s="1"/>
  <c r="Q85" i="94" s="1"/>
  <c r="G31" i="41"/>
  <c r="G36" i="41" s="1"/>
  <c r="G37" i="41" s="1"/>
  <c r="G31" i="40"/>
  <c r="G36" i="40" s="1"/>
  <c r="G37" i="40" s="1"/>
  <c r="G31" i="10"/>
  <c r="G36" i="10" s="1"/>
  <c r="G37" i="10" s="1"/>
  <c r="G31" i="16"/>
  <c r="G36" i="16" s="1"/>
  <c r="G37" i="16" s="1"/>
  <c r="D31" i="20"/>
  <c r="D36" i="20" s="1"/>
  <c r="D37" i="20" s="1"/>
  <c r="D31" i="32"/>
  <c r="D36" i="32" s="1"/>
  <c r="D37" i="32" s="1"/>
  <c r="Q213" i="15"/>
  <c r="Q216" i="15" s="1"/>
  <c r="Q217" i="15" s="1"/>
  <c r="E31" i="52"/>
  <c r="E36" i="52" s="1"/>
  <c r="E37" i="52" s="1"/>
  <c r="D31" i="41"/>
  <c r="D36" i="41" s="1"/>
  <c r="D37" i="41" s="1"/>
  <c r="J84" i="75"/>
  <c r="J87" i="75" s="1"/>
  <c r="J88" i="75" s="1"/>
  <c r="Q148" i="74"/>
  <c r="Q151" i="74" s="1"/>
  <c r="Q152" i="74" s="1"/>
  <c r="E31" i="43"/>
  <c r="E36" i="43" s="1"/>
  <c r="E37" i="43" s="1"/>
  <c r="J67" i="69"/>
  <c r="J70" i="69" s="1"/>
  <c r="J71" i="69" s="1"/>
  <c r="G31" i="26"/>
  <c r="G36" i="26" s="1"/>
  <c r="G37" i="26" s="1"/>
  <c r="Q123" i="39"/>
  <c r="Q119" i="39"/>
  <c r="Q119" i="27"/>
  <c r="Q120" i="27" s="1"/>
  <c r="Q116" i="27"/>
  <c r="D31" i="14"/>
  <c r="D36" i="14" s="1"/>
  <c r="D37" i="14" s="1"/>
  <c r="E219" i="12"/>
  <c r="E222" i="12"/>
  <c r="E223" i="12" s="1"/>
  <c r="Q86" i="56"/>
  <c r="Q87" i="56" s="1"/>
  <c r="Q83" i="56"/>
  <c r="E120" i="42"/>
  <c r="E123" i="42" s="1"/>
  <c r="E124" i="42" s="1"/>
  <c r="Q98" i="76"/>
  <c r="Q102" i="76"/>
  <c r="Q123" i="42"/>
  <c r="Q124" i="42" s="1"/>
  <c r="Q120" i="42"/>
  <c r="Q84" i="75"/>
  <c r="Q87" i="75" s="1"/>
  <c r="Q88" i="75" s="1"/>
  <c r="D31" i="7"/>
  <c r="D36" i="7" s="1"/>
  <c r="D37" i="7" s="1"/>
  <c r="Q238" i="18"/>
  <c r="Q239" i="18" s="1"/>
  <c r="Q235" i="18"/>
  <c r="E96" i="24"/>
  <c r="E99" i="24" s="1"/>
  <c r="E100" i="24" s="1"/>
  <c r="D96" i="68"/>
  <c r="D99" i="68"/>
  <c r="D100" i="68" s="1"/>
  <c r="D31" i="22"/>
  <c r="D36" i="22" s="1"/>
  <c r="D37" i="22" s="1"/>
  <c r="Q126" i="36"/>
  <c r="Q122" i="36"/>
  <c r="Q61" i="72"/>
  <c r="Q64" i="72"/>
  <c r="Q65" i="72" s="1"/>
  <c r="H89" i="91"/>
  <c r="H90" i="91" s="1"/>
  <c r="H86" i="91"/>
  <c r="Q252" i="3"/>
  <c r="Q257" i="3"/>
  <c r="Q258" i="3" s="1"/>
  <c r="F219" i="12"/>
  <c r="F222" i="12" s="1"/>
  <c r="F223" i="12" s="1"/>
  <c r="I106" i="51"/>
  <c r="I107" i="51" s="1"/>
  <c r="I103" i="51"/>
  <c r="D31" i="37"/>
  <c r="D36" i="37" s="1"/>
  <c r="D37" i="37" s="1"/>
  <c r="E31" i="23"/>
  <c r="E36" i="23" s="1"/>
  <c r="E37" i="23" s="1"/>
  <c r="E31" i="41"/>
  <c r="E36" i="41" s="1"/>
  <c r="E37" i="41" s="1"/>
  <c r="G31" i="46"/>
  <c r="G36" i="46" s="1"/>
  <c r="G37" i="46" s="1"/>
  <c r="D31" i="28"/>
  <c r="D36" i="28" s="1"/>
  <c r="D37" i="28" s="1"/>
  <c r="G130" i="36"/>
  <c r="G131" i="36" s="1"/>
  <c r="G127" i="36"/>
  <c r="E31" i="20"/>
  <c r="E36" i="20" s="1"/>
  <c r="E37" i="20" s="1"/>
  <c r="G31" i="44"/>
  <c r="G36" i="44" s="1"/>
  <c r="G37" i="44" s="1"/>
  <c r="I27" i="108"/>
  <c r="I30" i="108" s="1"/>
  <c r="I31" i="108" s="1"/>
  <c r="D213" i="15"/>
  <c r="D216" i="15"/>
  <c r="D217" i="15" s="1"/>
  <c r="G31" i="22"/>
  <c r="G36" i="22" s="1"/>
  <c r="G37" i="22" s="1"/>
  <c r="D31" i="47"/>
  <c r="D36" i="47" s="1"/>
  <c r="D37" i="47" s="1"/>
  <c r="G31" i="20"/>
  <c r="G36" i="20" s="1"/>
  <c r="G37" i="20" s="1"/>
  <c r="L86" i="91"/>
  <c r="L89" i="91" s="1"/>
  <c r="L90" i="91" s="1"/>
  <c r="Q83" i="92"/>
  <c r="Q86" i="92" s="1"/>
  <c r="Q87" i="92" s="1"/>
  <c r="Q96" i="24"/>
  <c r="Q99" i="24" s="1"/>
  <c r="Q100" i="24" s="1"/>
  <c r="E31" i="5"/>
  <c r="E36" i="5" s="1"/>
  <c r="E37" i="5" s="1"/>
  <c r="G31" i="17"/>
  <c r="G36" i="17" s="1"/>
  <c r="G37" i="17" s="1"/>
  <c r="D123" i="42"/>
  <c r="D124" i="42" s="1"/>
  <c r="D120" i="42"/>
  <c r="O66" i="59"/>
  <c r="O69" i="59" s="1"/>
  <c r="O70" i="59" s="1"/>
  <c r="G31" i="14"/>
  <c r="G36" i="14" s="1"/>
  <c r="G37" i="14" s="1"/>
  <c r="Q86" i="91"/>
  <c r="Q89" i="91" s="1"/>
  <c r="Q90" i="91" s="1"/>
  <c r="Q37" i="88"/>
  <c r="Q40" i="88"/>
  <c r="Q41" i="88" s="1"/>
  <c r="F235" i="18"/>
  <c r="F238" i="18"/>
  <c r="F239" i="18" s="1"/>
  <c r="E31" i="13"/>
  <c r="E36" i="13" s="1"/>
  <c r="E37" i="13" s="1"/>
  <c r="Q92" i="87"/>
  <c r="Q95" i="87"/>
  <c r="Q96" i="87" s="1"/>
  <c r="D31" i="29"/>
  <c r="D36" i="29" s="1"/>
  <c r="D37" i="29" s="1"/>
  <c r="E33" i="85"/>
  <c r="E36" i="85" s="1"/>
  <c r="E37" i="85" s="1"/>
  <c r="E31" i="7"/>
  <c r="E36" i="7" s="1"/>
  <c r="E37" i="7" s="1"/>
  <c r="E31" i="53"/>
  <c r="E36" i="53" s="1"/>
  <c r="E37" i="53" s="1"/>
  <c r="F96" i="95"/>
  <c r="F99" i="95" s="1"/>
  <c r="F100" i="95" s="1"/>
  <c r="E31" i="111"/>
  <c r="E36" i="111" s="1"/>
  <c r="E37" i="111" s="1"/>
  <c r="O130" i="36"/>
  <c r="O131" i="36" s="1"/>
  <c r="O127" i="36"/>
  <c r="Q96" i="103"/>
  <c r="Q99" i="103"/>
  <c r="Q100" i="103" s="1"/>
  <c r="Q101" i="21"/>
  <c r="Q104" i="21" s="1"/>
  <c r="Q105" i="21" s="1"/>
  <c r="Q35" i="100"/>
  <c r="Q38" i="100" s="1"/>
  <c r="Q39" i="100" s="1"/>
  <c r="E31" i="8"/>
  <c r="E36" i="8" s="1"/>
  <c r="E37" i="8" s="1"/>
  <c r="Q99" i="68"/>
  <c r="Q100" i="68" s="1"/>
  <c r="Q96" i="68"/>
  <c r="D31" i="5"/>
  <c r="D36" i="5" s="1"/>
  <c r="D37" i="5" s="1"/>
  <c r="I116" i="27"/>
  <c r="I119" i="27" s="1"/>
  <c r="I120" i="27" s="1"/>
  <c r="N64" i="72"/>
  <c r="N65" i="72" s="1"/>
  <c r="N61" i="72"/>
  <c r="Q78" i="48"/>
  <c r="Q74" i="48"/>
  <c r="G31" i="112"/>
  <c r="G36" i="112" s="1"/>
  <c r="G37" i="112" s="1"/>
  <c r="I83" i="92"/>
  <c r="I86" i="92" s="1"/>
  <c r="I87" i="92" s="1"/>
  <c r="D31" i="25"/>
  <c r="D36" i="25" s="1"/>
  <c r="D37" i="25" s="1"/>
  <c r="E96" i="105"/>
  <c r="E99" i="105"/>
  <c r="E100" i="105" s="1"/>
  <c r="Q36" i="85"/>
  <c r="Q37" i="85" s="1"/>
  <c r="Q33" i="85"/>
  <c r="G31" i="38"/>
  <c r="G36" i="38" s="1"/>
  <c r="G37" i="38" s="1"/>
  <c r="E235" i="18"/>
  <c r="E238" i="18" s="1"/>
  <c r="E239" i="18" s="1"/>
  <c r="E31" i="40"/>
  <c r="E36" i="40" s="1"/>
  <c r="E37" i="40" s="1"/>
  <c r="E31" i="110"/>
  <c r="E36" i="110" s="1"/>
  <c r="E37" i="110" s="1"/>
  <c r="D31" i="16"/>
  <c r="D36" i="16" s="1"/>
  <c r="D37" i="16" s="1"/>
  <c r="D119" i="84"/>
  <c r="D122" i="84" s="1"/>
  <c r="D123" i="84" s="1"/>
  <c r="D148" i="74"/>
  <c r="D151" i="74" s="1"/>
  <c r="D152" i="74" s="1"/>
  <c r="D31" i="8"/>
  <c r="D36" i="8" s="1"/>
  <c r="D37" i="8" s="1"/>
  <c r="G31" i="4"/>
  <c r="G36" i="4" s="1"/>
  <c r="G37" i="4" s="1"/>
  <c r="J81" i="93"/>
  <c r="J84" i="93"/>
  <c r="J85" i="93" s="1"/>
  <c r="E96" i="68"/>
  <c r="E99" i="68"/>
  <c r="E100" i="68" s="1"/>
  <c r="D31" i="112"/>
  <c r="D36" i="112" s="1"/>
  <c r="D37" i="112" s="1"/>
  <c r="E31" i="28"/>
  <c r="E36" i="28" s="1"/>
  <c r="E37" i="28" s="1"/>
  <c r="Q70" i="69"/>
  <c r="Q71" i="69" s="1"/>
  <c r="Q67" i="69"/>
  <c r="E31" i="22"/>
  <c r="E36" i="22" s="1"/>
  <c r="E37" i="22" s="1"/>
  <c r="E31" i="4"/>
  <c r="E36" i="4" s="1"/>
  <c r="E37" i="4" s="1"/>
  <c r="F118" i="70"/>
  <c r="F119" i="70" s="1"/>
  <c r="F115" i="70"/>
  <c r="E31" i="35"/>
  <c r="E36" i="35" s="1"/>
  <c r="E37" i="35" s="1"/>
  <c r="E31" i="14"/>
  <c r="E36" i="14" s="1"/>
  <c r="E37" i="14" s="1"/>
  <c r="G31" i="37"/>
  <c r="G36" i="37" s="1"/>
  <c r="G37" i="37" s="1"/>
  <c r="D31" i="111"/>
  <c r="D36" i="111" s="1"/>
  <c r="D37" i="111" s="1"/>
  <c r="G31" i="110"/>
  <c r="G36" i="110" s="1"/>
  <c r="G37" i="110" s="1"/>
  <c r="H69" i="59"/>
  <c r="H70" i="59" s="1"/>
  <c r="H66" i="59"/>
  <c r="G96" i="95"/>
  <c r="G99" i="95" s="1"/>
  <c r="G100" i="95" s="1"/>
  <c r="E31" i="31"/>
  <c r="E36" i="31" s="1"/>
  <c r="E37" i="31" s="1"/>
  <c r="D81" i="93"/>
  <c r="D84" i="93" s="1"/>
  <c r="D85" i="93" s="1"/>
  <c r="G31" i="5"/>
  <c r="G36" i="5" s="1"/>
  <c r="G37" i="5" s="1"/>
  <c r="Q84" i="33"/>
  <c r="Q87" i="33" s="1"/>
  <c r="Q88" i="33" s="1"/>
  <c r="Q61" i="61"/>
  <c r="Q62" i="61" s="1"/>
  <c r="Q58" i="61"/>
  <c r="E31" i="19"/>
  <c r="E36" i="19" s="1"/>
  <c r="E37" i="19" s="1"/>
  <c r="N92" i="87"/>
  <c r="N95" i="87"/>
  <c r="N96" i="87" s="1"/>
  <c r="N123" i="42"/>
  <c r="N124" i="42" s="1"/>
  <c r="N120" i="42"/>
  <c r="E31" i="44"/>
  <c r="E36" i="44" s="1"/>
  <c r="E37" i="44" s="1"/>
  <c r="G31" i="32"/>
  <c r="G36" i="32" s="1"/>
  <c r="G37" i="32" s="1"/>
  <c r="D84" i="33"/>
  <c r="D87" i="33" s="1"/>
  <c r="D88" i="33" s="1"/>
  <c r="G31" i="11"/>
  <c r="G36" i="11" s="1"/>
  <c r="G37" i="11" s="1"/>
  <c r="E31" i="49"/>
  <c r="E36" i="49" s="1"/>
  <c r="E37" i="49" s="1"/>
  <c r="E127" i="36"/>
  <c r="E130" i="36" s="1"/>
  <c r="E131" i="36" s="1"/>
  <c r="G31" i="13"/>
  <c r="G36" i="13" s="1"/>
  <c r="G37" i="13" s="1"/>
  <c r="G84" i="33"/>
  <c r="G87" i="33"/>
  <c r="G88" i="33" s="1"/>
  <c r="D124" i="39"/>
  <c r="D127" i="39" s="1"/>
  <c r="D128" i="39" s="1"/>
  <c r="E115" i="70"/>
  <c r="E118" i="70" s="1"/>
  <c r="E119" i="70" s="1"/>
  <c r="D103" i="51"/>
  <c r="D106" i="51" s="1"/>
  <c r="D107" i="51" s="1"/>
  <c r="D38" i="100"/>
  <c r="D39" i="100" s="1"/>
  <c r="D35" i="100"/>
  <c r="O86" i="91"/>
  <c r="O89" i="91" s="1"/>
  <c r="O90" i="91" s="1"/>
  <c r="D92" i="87"/>
  <c r="D95" i="87"/>
  <c r="D96" i="87" s="1"/>
  <c r="Q222" i="12"/>
  <c r="Q223" i="12" s="1"/>
  <c r="Q219" i="12"/>
  <c r="Q127" i="36" l="1"/>
  <c r="Q130" i="36" s="1"/>
  <c r="Q131" i="36" s="1"/>
  <c r="Q124" i="39"/>
  <c r="Q127" i="39" s="1"/>
  <c r="Q128" i="39" s="1"/>
  <c r="Q79" i="48"/>
  <c r="Q82" i="48" s="1"/>
  <c r="Q83" i="48" s="1"/>
  <c r="Q103" i="76"/>
  <c r="Q106" i="76" s="1"/>
  <c r="Q107" i="76" s="1"/>
  <c r="Q161" i="30"/>
  <c r="Q164" i="30" s="1"/>
  <c r="Q165" i="30" s="1"/>
  <c r="Q115" i="70"/>
  <c r="Q118" i="70" s="1"/>
  <c r="Q119" i="70" s="1"/>
</calcChain>
</file>

<file path=xl/sharedStrings.xml><?xml version="1.0" encoding="utf-8"?>
<sst xmlns="http://schemas.openxmlformats.org/spreadsheetml/2006/main" count="2474" uniqueCount="312">
  <si>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</si>
  <si>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</si>
  <si>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</si>
  <si>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</si>
  <si>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</si>
  <si>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</si>
  <si>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</si>
  <si>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 xml:space="preserve">Forty Niner Shops, Inc. </t>
  </si>
  <si>
    <t>G &amp; A Allocation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</si>
  <si>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</si>
  <si>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</si>
  <si>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</si>
  <si>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</si>
  <si>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</si>
  <si>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</si>
  <si>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</si>
  <si>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</si>
  <si>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</si>
  <si>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</si>
  <si>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</si>
  <si>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</si>
  <si>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</si>
  <si>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</si>
  <si>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</si>
  <si>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</si>
  <si>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</si>
  <si>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</si>
  <si>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</si>
  <si>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</si>
  <si>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</si>
  <si>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</si>
  <si>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</si>
  <si>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</si>
  <si>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</si>
  <si>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</si>
  <si>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</si>
  <si>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</si>
  <si>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</si>
  <si>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</si>
  <si>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</si>
  <si>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</si>
  <si>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</si>
  <si>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</si>
  <si>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</si>
  <si>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</si>
  <si>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</si>
  <si>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</si>
  <si>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</si>
  <si>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</si>
  <si>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</si>
  <si>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</si>
  <si>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</si>
  <si>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</si>
  <si>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</si>
  <si>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</si>
  <si>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</si>
  <si>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</si>
  <si>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</si>
  <si>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</si>
  <si>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</si>
  <si>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</si>
  <si>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</si>
  <si>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</si>
  <si>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</si>
  <si>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</si>
  <si>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</si>
  <si>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</si>
  <si>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</si>
  <si>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</si>
  <si>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</si>
  <si>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</si>
  <si>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</si>
  <si>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</si>
  <si>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</si>
  <si>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</si>
  <si>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</si>
  <si>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</si>
  <si>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</si>
  <si>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</si>
  <si>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</si>
  <si>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</si>
  <si>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</si>
  <si>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</si>
  <si>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</si>
  <si>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</si>
  <si>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</si>
  <si>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</si>
  <si>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</si>
  <si>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</si>
  <si>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</si>
  <si>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</si>
  <si>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</si>
  <si>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</si>
  <si>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</si>
  <si>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</si>
  <si>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</si>
  <si>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</si>
  <si>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</si>
  <si>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</si>
  <si>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</si>
  <si>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</si>
  <si>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</si>
  <si>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</si>
  <si>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</si>
  <si>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</si>
  <si>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</si>
  <si>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</si>
  <si>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</si>
  <si>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</si>
  <si>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</si>
  <si>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</si>
  <si>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</si>
  <si>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</si>
  <si>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</si>
  <si>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</si>
  <si>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</si>
  <si>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</si>
  <si>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</si>
  <si>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</si>
  <si>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</si>
  <si>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</si>
  <si>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</si>
  <si>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</si>
  <si>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</si>
  <si>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</si>
  <si>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</si>
  <si>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</si>
  <si>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</si>
  <si>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</si>
  <si>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</si>
  <si>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</si>
  <si>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</si>
  <si>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</si>
  <si>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</si>
  <si>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</si>
  <si>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</si>
  <si>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</si>
  <si>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</si>
  <si>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</si>
  <si>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</si>
  <si>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</si>
  <si>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</si>
  <si>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</si>
  <si>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</si>
  <si>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</si>
  <si>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</si>
  <si>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</si>
  <si>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</si>
  <si>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</si>
  <si>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</si>
  <si>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</si>
  <si>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</si>
  <si>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</si>
  <si>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</si>
  <si>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</si>
  <si>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</si>
  <si>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</si>
  <si>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</si>
  <si>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</si>
  <si>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</si>
  <si>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</si>
  <si>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</si>
  <si>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</si>
  <si>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</si>
  <si>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</si>
  <si>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</si>
  <si>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</si>
  <si>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</si>
  <si>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</si>
  <si>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</si>
  <si>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</si>
  <si>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</si>
  <si>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</si>
  <si>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</si>
  <si>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</si>
  <si>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</si>
  <si>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</si>
  <si>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</si>
  <si>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</si>
  <si>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</si>
  <si>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</si>
  <si>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</si>
  <si>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</si>
  <si>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</si>
  <si>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</si>
  <si>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</si>
  <si>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</si>
  <si>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</si>
  <si>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</si>
  <si>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</si>
  <si>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</si>
  <si>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</si>
  <si>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</si>
  <si>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</si>
  <si>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</si>
  <si>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</si>
  <si>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</si>
  <si>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</si>
  <si>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</si>
  <si>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</si>
  <si>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</si>
  <si>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</si>
  <si>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</si>
  <si>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</si>
  <si>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</si>
  <si>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</si>
  <si>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</si>
  <si>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</si>
  <si>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</si>
  <si>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</si>
  <si>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</si>
  <si>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</si>
  <si>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</si>
  <si>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</si>
  <si>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</si>
  <si>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</si>
  <si>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</si>
  <si>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</si>
  <si>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</si>
  <si>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</si>
  <si>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</si>
  <si>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</si>
  <si>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</si>
  <si>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</si>
  <si>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</si>
  <si>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</si>
  <si>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</si>
  <si>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</si>
  <si>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</si>
  <si>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</si>
  <si>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</si>
  <si>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</si>
  <si>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</si>
  <si>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</si>
  <si>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</si>
  <si>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</si>
  <si>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</si>
  <si>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</si>
  <si>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</si>
  <si>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</si>
  <si>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</si>
  <si>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</si>
  <si>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</si>
  <si>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</si>
  <si>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</si>
  <si>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</si>
  <si>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</si>
  <si>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</si>
  <si>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</si>
  <si>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</si>
  <si>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</si>
  <si>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</si>
  <si>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</si>
  <si>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</si>
  <si>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</si>
  <si>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</si>
  <si>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</si>
  <si>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</si>
  <si>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</si>
  <si>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</si>
  <si>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</si>
  <si>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</si>
  <si>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</si>
  <si>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</si>
  <si>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</si>
  <si>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</si>
  <si>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</si>
  <si>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</si>
  <si>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</si>
  <si>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</si>
  <si>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</si>
  <si>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</si>
  <si>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</si>
  <si>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</si>
  <si>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</si>
  <si>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</si>
  <si>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</si>
  <si>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</si>
  <si>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</si>
  <si>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</si>
  <si>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</si>
  <si>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</si>
  <si>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</si>
  <si>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</si>
  <si>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</si>
  <si>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Actual</t>
  </si>
  <si>
    <t>Total</t>
  </si>
  <si>
    <t>Combined Operating Statement Forecast</t>
  </si>
  <si>
    <t>Operating Statement Forecast</t>
  </si>
  <si>
    <t>Total Sales</t>
  </si>
  <si>
    <t>Total Cost of Goods Sold</t>
  </si>
  <si>
    <t>Total Operating Expenses</t>
  </si>
  <si>
    <t>All Departments</t>
  </si>
  <si>
    <t>Division 2 - Administration</t>
  </si>
  <si>
    <t>Division 1 - Corporate</t>
  </si>
  <si>
    <t>Division 3 - Bookstore &amp; C-Stores</t>
  </si>
  <si>
    <t>Division 300 &amp; 317 - Bookstore &amp; Computer Store</t>
  </si>
  <si>
    <t>Division 300 - Bookstore</t>
  </si>
  <si>
    <t>Division 310 - C-Stores</t>
  </si>
  <si>
    <t>Division 330 - Combined 307 &amp; 314</t>
  </si>
  <si>
    <t>Division 308 - Combined Textbooks</t>
  </si>
  <si>
    <t>Division 331 - Combined 315 &amp; 326</t>
  </si>
  <si>
    <t>Division 332 - Combined 316, 320, &amp; 323</t>
  </si>
  <si>
    <t>Division 4 - Food Services</t>
  </si>
  <si>
    <t>Division 310 &amp; 491 - C-Stores &amp; Cash Food Operations</t>
  </si>
  <si>
    <t>Division 491 - Cash Food Operations</t>
  </si>
  <si>
    <t>Division 492 - Residential Dining</t>
  </si>
  <si>
    <t>Division 5 - ID Card Services</t>
  </si>
  <si>
    <t>Division 6 - Computer Store</t>
  </si>
  <si>
    <t>FY 20-21 Revised Budget</t>
  </si>
  <si>
    <t>Revised Budget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</si>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</sst>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/d/yy\ h:mm\ AM/PM;@"/>
    <numFmt numFmtId="166" formatCode="_(&quot;$&quot;* #,##0_);_(&quot;$&quot;* \(#,##0\);_(&quot;$&quot;* &quot;-&quot;??_);_(@_)"/>
  </numFmts>
  <fonts count="8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 tint="-0.4999542222357860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39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0" fontId="2" fillId="0" borderId="0" xfId="3" applyNumberFormat="1" applyFont="1" applyFill="1"/>
    <xf numFmtId="0" fontId="0" fillId="0" borderId="0" xfId="0" applyFill="1"/>
    <xf numFmtId="166" fontId="3" fillId="2" borderId="1" xfId="2" applyNumberFormat="1" applyFont="1" applyFill="1" applyBorder="1"/>
    <xf numFmtId="166" fontId="3" fillId="2" borderId="2" xfId="2" applyNumberFormat="1" applyFont="1" applyFill="1" applyBorder="1"/>
    <xf numFmtId="0" fontId="3" fillId="0" borderId="0" xfId="0" applyFont="1" applyFill="1"/>
    <xf numFmtId="0" fontId="1" fillId="0" borderId="0" xfId="0" applyFont="1"/>
    <xf numFmtId="164" fontId="3" fillId="0" borderId="0" xfId="1" applyNumberFormat="1" applyFont="1" applyFill="1" applyBorder="1"/>
    <xf numFmtId="0" fontId="3" fillId="2" borderId="0" xfId="0" applyFont="1" applyFill="1" applyAlignment="1">
      <alignment horizontal="center"/>
    </xf>
    <xf numFmtId="164" fontId="0" fillId="0" borderId="0" xfId="1" applyNumberFormat="1" applyFont="1"/>
    <xf numFmtId="0" fontId="1" fillId="0" borderId="0" xfId="0" applyFont="1" applyFill="1" applyBorder="1"/>
    <xf numFmtId="0" fontId="3" fillId="0" borderId="0" xfId="0" applyFont="1"/>
    <xf numFmtId="0" fontId="0" fillId="0" borderId="0" xfId="0" applyFont="1" applyFill="1" applyBorder="1"/>
    <xf numFmtId="0" fontId="3" fillId="0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10" fontId="0" fillId="0" borderId="0" xfId="0" applyNumberFormat="1"/>
    <xf numFmtId="0" fontId="0" fillId="3" borderId="3" xfId="0" applyFill="1" applyBorder="1" applyAlignment="1">
      <alignment horizontal="center" vertical="center" wrapText="1"/>
    </xf>
    <xf numFmtId="0" fontId="0" fillId="0" borderId="0" xfId="0" applyFill="1" applyBorder="1"/>
    <xf numFmtId="164" fontId="1" fillId="0" borderId="0" xfId="1" applyNumberFormat="1" applyFont="1" applyFill="1" applyBorder="1"/>
    <xf numFmtId="49" fontId="1" fillId="0" borderId="0" xfId="0" applyNumberFormat="1" applyFont="1" applyFill="1"/>
    <xf numFmtId="0" fontId="1" fillId="0" borderId="0" xfId="0" applyFont="1" applyFill="1"/>
    <xf numFmtId="0" fontId="0" fillId="0" borderId="0" xfId="0" applyFont="1"/>
    <xf numFmtId="49" fontId="3" fillId="0" borderId="0" xfId="0" applyNumberFormat="1" applyFont="1" applyFill="1"/>
    <xf numFmtId="165" fontId="4" fillId="0" borderId="0" xfId="0" applyNumberFormat="1" applyFont="1" applyAlignment="1">
      <alignment horizontal="left"/>
    </xf>
    <xf numFmtId="0" fontId="3" fillId="0" borderId="0" xfId="0" applyFont="1" applyFill="1" applyBorder="1"/>
    <xf numFmtId="0" fontId="0" fillId="0" borderId="0" xfId="0" applyBorder="1"/>
    <xf numFmtId="0" fontId="3" fillId="0" borderId="0" xfId="0" quotePrefix="1" applyFont="1"/>
    <xf numFmtId="0" fontId="4" fillId="0" borderId="0" xfId="0" applyFont="1" applyAlignment="1">
      <alignment horizontal="left"/>
    </xf>
    <xf numFmtId="0" fontId="5" fillId="0" borderId="0" xfId="0" applyFont="1"/>
    <xf numFmtId="0" fontId="3" fillId="0" borderId="0" xfId="0" applyFont="1" applyAlignment="1">
      <alignment horizontal="left"/>
    </xf>
    <xf numFmtId="0" fontId="6" fillId="0" borderId="0" xfId="0" applyFont="1" applyFill="1"/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0" fontId="1" fillId="0" borderId="0" xfId="0" applyFont="1" applyBorder="1"/>
    <xf numFmtId="49" fontId="0" fillId="0" borderId="0" xfId="0" applyNumberFormat="1"/>
    <xf numFmtId="49" fontId="0" fillId="3" borderId="3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19" t="s">
        <v>235</v>
      </c>
      <c r="B3" s="19" t="s">
        <v>236</v>
      </c>
      <c r="C3" s="19" t="s">
        <v>9</v>
      </c>
      <c r="D3" s="19" t="s">
        <v>237</v>
      </c>
      <c r="E3" s="19" t="s">
        <v>238</v>
      </c>
      <c r="F3" s="19" t="s">
        <v>11</v>
      </c>
      <c r="G3" s="19" t="s">
        <v>239</v>
      </c>
      <c r="H3" s="19" t="s">
        <v>240</v>
      </c>
      <c r="I3" s="19" t="s">
        <v>241</v>
      </c>
      <c r="J3" s="19" t="s">
        <v>242</v>
      </c>
      <c r="K3" s="19" t="s">
        <v>243</v>
      </c>
      <c r="L3" s="19" t="s">
        <v>244</v>
      </c>
      <c r="M3" s="19" t="s">
        <v>245</v>
      </c>
      <c r="N3" s="19" t="s">
        <v>246</v>
      </c>
      <c r="O3" s="19" t="s">
        <v>247</v>
      </c>
      <c r="P3" s="19" t="s">
        <v>248</v>
      </c>
      <c r="Q3" s="19" t="s">
        <v>249</v>
      </c>
      <c r="R3" s="19" t="s">
        <v>250</v>
      </c>
      <c r="S3" s="19" t="s">
        <v>251</v>
      </c>
      <c r="T3" s="19" t="s">
        <v>252</v>
      </c>
      <c r="U3" s="19" t="s">
        <v>255</v>
      </c>
      <c r="V3" s="19" t="s">
        <v>256</v>
      </c>
      <c r="W3" s="19" t="s">
        <v>257</v>
      </c>
      <c r="X3" s="19" t="s">
        <v>258</v>
      </c>
      <c r="Y3" s="19" t="s">
        <v>259</v>
      </c>
      <c r="Z3" s="19" t="s">
        <v>260</v>
      </c>
      <c r="AA3" s="19" t="s">
        <v>261</v>
      </c>
      <c r="AB3" s="19" t="s">
        <v>262</v>
      </c>
      <c r="AC3" s="19" t="s">
        <v>263</v>
      </c>
      <c r="AD3" s="19" t="s">
        <v>264</v>
      </c>
      <c r="AE3" s="19" t="s">
        <v>265</v>
      </c>
      <c r="AF3" s="19" t="s">
        <v>266</v>
      </c>
      <c r="AG3" s="19" t="s">
        <v>267</v>
      </c>
      <c r="AH3" s="19" t="s">
        <v>268</v>
      </c>
      <c r="AI3" s="19" t="s">
        <v>269</v>
      </c>
      <c r="AJ3" s="19" t="s">
        <v>270</v>
      </c>
      <c r="AK3" s="19" t="s">
        <v>271</v>
      </c>
      <c r="AL3" s="19" t="s">
        <v>272</v>
      </c>
      <c r="AM3" s="19" t="s">
        <v>273</v>
      </c>
      <c r="AN3" s="19" t="s">
        <v>274</v>
      </c>
      <c r="AO3" s="19" t="s">
        <v>275</v>
      </c>
      <c r="AP3" s="19" t="s">
        <v>276</v>
      </c>
      <c r="AQ3" s="19" t="s">
        <v>277</v>
      </c>
      <c r="AR3" s="19" t="s">
        <v>278</v>
      </c>
      <c r="AS3" s="19" t="s">
        <v>279</v>
      </c>
      <c r="AT3" s="19" t="s">
        <v>280</v>
      </c>
      <c r="AU3" s="19" t="s">
        <v>281</v>
      </c>
      <c r="AV3" s="19" t="s">
        <v>253</v>
      </c>
      <c r="AW3" s="19" t="s">
        <v>254</v>
      </c>
      <c r="AX3" s="19" t="s">
        <v>282</v>
      </c>
      <c r="AY3" s="19" t="s">
        <v>283</v>
      </c>
      <c r="AZ3" s="19" t="s">
        <v>284</v>
      </c>
      <c r="BA3" s="19" t="s">
        <v>36</v>
      </c>
      <c r="BB3" s="19" t="s">
        <v>37</v>
      </c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293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295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295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297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297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296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296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298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298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299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37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19" t="s">
        <v>9</v>
      </c>
      <c r="B3" s="19" t="s">
        <v>10</v>
      </c>
      <c r="C3" s="19" t="s">
        <v>11</v>
      </c>
      <c r="D3" s="19" t="s">
        <v>12</v>
      </c>
      <c r="E3" s="19" t="s">
        <v>13</v>
      </c>
      <c r="F3" s="19" t="s">
        <v>14</v>
      </c>
      <c r="G3" s="19" t="s">
        <v>15</v>
      </c>
      <c r="H3" s="19" t="s">
        <v>16</v>
      </c>
      <c r="I3" s="19" t="s">
        <v>17</v>
      </c>
      <c r="J3" s="19" t="s">
        <v>18</v>
      </c>
      <c r="K3" s="19" t="s">
        <v>19</v>
      </c>
      <c r="L3" s="19" t="s">
        <v>20</v>
      </c>
      <c r="M3" s="19" t="s">
        <v>21</v>
      </c>
      <c r="N3" s="19" t="s">
        <v>22</v>
      </c>
      <c r="O3" s="19" t="s">
        <v>23</v>
      </c>
      <c r="P3" s="19" t="s">
        <v>24</v>
      </c>
      <c r="Q3" s="19" t="s">
        <v>25</v>
      </c>
      <c r="R3" s="19" t="s">
        <v>26</v>
      </c>
      <c r="S3" s="19" t="s">
        <v>27</v>
      </c>
      <c r="T3" s="19" t="s">
        <v>28</v>
      </c>
      <c r="U3" s="19" t="s">
        <v>29</v>
      </c>
      <c r="V3" s="19" t="s">
        <v>30</v>
      </c>
      <c r="W3" s="19" t="s">
        <v>31</v>
      </c>
      <c r="X3" s="19" t="s">
        <v>32</v>
      </c>
      <c r="Y3" s="19" t="s">
        <v>33</v>
      </c>
      <c r="Z3" s="19" t="s">
        <v>34</v>
      </c>
      <c r="AA3" s="19" t="s">
        <v>39</v>
      </c>
      <c r="AB3" s="19" t="s">
        <v>40</v>
      </c>
      <c r="AC3" s="19" t="s">
        <v>41</v>
      </c>
      <c r="AD3" s="19" t="s">
        <v>42</v>
      </c>
      <c r="AE3" s="19" t="s">
        <v>43</v>
      </c>
      <c r="AF3" s="19" t="s">
        <v>44</v>
      </c>
      <c r="AG3" s="19" t="s">
        <v>45</v>
      </c>
      <c r="AH3" s="19" t="s">
        <v>46</v>
      </c>
      <c r="AI3" s="19" t="s">
        <v>47</v>
      </c>
      <c r="AJ3" s="19" t="s">
        <v>48</v>
      </c>
      <c r="AK3" s="19" t="s">
        <v>49</v>
      </c>
      <c r="AL3" s="19" t="s">
        <v>50</v>
      </c>
      <c r="AM3" s="19" t="s">
        <v>51</v>
      </c>
      <c r="AN3" s="19" t="s">
        <v>52</v>
      </c>
      <c r="AO3" s="19" t="s">
        <v>53</v>
      </c>
      <c r="AP3" s="19" t="s">
        <v>54</v>
      </c>
      <c r="AQ3" s="19" t="s">
        <v>55</v>
      </c>
      <c r="AR3" s="19" t="s">
        <v>56</v>
      </c>
      <c r="AS3" s="19" t="s">
        <v>57</v>
      </c>
      <c r="AT3" s="19" t="s">
        <v>58</v>
      </c>
      <c r="AU3" s="19" t="s">
        <v>59</v>
      </c>
      <c r="AV3" s="19" t="s">
        <v>60</v>
      </c>
      <c r="AW3" s="19" t="s">
        <v>61</v>
      </c>
      <c r="AX3" s="19" t="s">
        <v>62</v>
      </c>
      <c r="AY3" s="19" t="s">
        <v>63</v>
      </c>
      <c r="AZ3" s="19" t="s">
        <v>64</v>
      </c>
      <c r="BA3" s="19" t="s">
        <v>65</v>
      </c>
      <c r="BB3" s="19" t="s">
        <v>66</v>
      </c>
      <c r="BC3" s="19" t="s">
        <v>67</v>
      </c>
      <c r="BD3" s="19" t="s">
        <v>68</v>
      </c>
      <c r="BE3" s="19" t="s">
        <v>69</v>
      </c>
      <c r="BF3" s="19" t="s">
        <v>70</v>
      </c>
      <c r="BG3" s="19" t="s">
        <v>71</v>
      </c>
      <c r="BH3" s="19" t="s">
        <v>72</v>
      </c>
      <c r="BI3" s="19" t="s">
        <v>73</v>
      </c>
      <c r="BJ3" s="19" t="s">
        <v>74</v>
      </c>
      <c r="BK3" s="19" t="s">
        <v>75</v>
      </c>
      <c r="BL3" s="19" t="s">
        <v>76</v>
      </c>
      <c r="BM3" s="19" t="s">
        <v>77</v>
      </c>
      <c r="BN3" s="19" t="s">
        <v>78</v>
      </c>
      <c r="BO3" s="19" t="s">
        <v>79</v>
      </c>
      <c r="BP3" s="19" t="s">
        <v>80</v>
      </c>
      <c r="BQ3" s="19" t="s">
        <v>81</v>
      </c>
      <c r="BR3" s="19" t="s">
        <v>82</v>
      </c>
      <c r="BS3" s="19" t="s">
        <v>83</v>
      </c>
      <c r="BT3" s="19" t="s">
        <v>84</v>
      </c>
      <c r="BU3" s="19" t="s">
        <v>85</v>
      </c>
      <c r="BV3" s="19" t="s">
        <v>86</v>
      </c>
      <c r="BW3" s="19" t="s">
        <v>87</v>
      </c>
      <c r="BX3" s="19" t="s">
        <v>88</v>
      </c>
      <c r="BY3" s="19" t="s">
        <v>89</v>
      </c>
      <c r="BZ3" s="19" t="s">
        <v>90</v>
      </c>
      <c r="CA3" s="19" t="s">
        <v>91</v>
      </c>
      <c r="CB3" s="19" t="s">
        <v>92</v>
      </c>
      <c r="CC3" s="19" t="s">
        <v>93</v>
      </c>
      <c r="CD3" s="19" t="s">
        <v>94</v>
      </c>
      <c r="CE3" s="19" t="s">
        <v>95</v>
      </c>
      <c r="CF3" s="19" t="s">
        <v>96</v>
      </c>
      <c r="CG3" s="19" t="s">
        <v>97</v>
      </c>
      <c r="CH3" s="19" t="s">
        <v>98</v>
      </c>
      <c r="CI3" s="19" t="s">
        <v>99</v>
      </c>
      <c r="CJ3" s="19" t="s">
        <v>100</v>
      </c>
      <c r="CK3" s="19" t="s">
        <v>101</v>
      </c>
      <c r="CL3" s="19" t="s">
        <v>102</v>
      </c>
      <c r="CM3" s="19" t="s">
        <v>103</v>
      </c>
      <c r="CN3" s="19" t="s">
        <v>104</v>
      </c>
      <c r="CO3" s="19" t="s">
        <v>105</v>
      </c>
      <c r="CP3" s="19" t="s">
        <v>106</v>
      </c>
      <c r="CQ3" s="19" t="s">
        <v>107</v>
      </c>
      <c r="CR3" s="19" t="s">
        <v>108</v>
      </c>
      <c r="CS3" s="19" t="s">
        <v>109</v>
      </c>
      <c r="CT3" s="19" t="s">
        <v>110</v>
      </c>
      <c r="CU3" s="19" t="s">
        <v>111</v>
      </c>
      <c r="CV3" s="19" t="s">
        <v>112</v>
      </c>
      <c r="CW3" s="19" t="s">
        <v>113</v>
      </c>
      <c r="CX3" s="19" t="s">
        <v>114</v>
      </c>
      <c r="CY3" s="19" t="s">
        <v>115</v>
      </c>
      <c r="CZ3" s="19" t="s">
        <v>116</v>
      </c>
      <c r="DA3" s="19" t="s">
        <v>117</v>
      </c>
      <c r="DB3" s="19" t="s">
        <v>118</v>
      </c>
      <c r="DC3" s="19" t="s">
        <v>119</v>
      </c>
      <c r="DD3" s="19" t="s">
        <v>120</v>
      </c>
      <c r="DE3" s="19" t="s">
        <v>121</v>
      </c>
      <c r="DF3" s="19" t="s">
        <v>122</v>
      </c>
      <c r="DG3" s="19" t="s">
        <v>123</v>
      </c>
      <c r="DH3" s="19" t="s">
        <v>124</v>
      </c>
      <c r="DI3" s="19" t="s">
        <v>125</v>
      </c>
      <c r="DJ3" s="19" t="s">
        <v>126</v>
      </c>
      <c r="DK3" s="19" t="s">
        <v>127</v>
      </c>
      <c r="DL3" s="19" t="s">
        <v>128</v>
      </c>
      <c r="DM3" s="19" t="s">
        <v>129</v>
      </c>
      <c r="DN3" s="19" t="s">
        <v>130</v>
      </c>
      <c r="DO3" s="19" t="s">
        <v>131</v>
      </c>
      <c r="DP3" s="19" t="s">
        <v>132</v>
      </c>
      <c r="DQ3" s="19" t="s">
        <v>133</v>
      </c>
      <c r="DR3" s="19" t="s">
        <v>134</v>
      </c>
      <c r="DS3" s="19" t="s">
        <v>135</v>
      </c>
      <c r="DT3" s="19" t="s">
        <v>136</v>
      </c>
      <c r="DU3" s="19" t="s">
        <v>137</v>
      </c>
      <c r="DV3" s="19" t="s">
        <v>138</v>
      </c>
      <c r="DW3" s="19" t="s">
        <v>139</v>
      </c>
      <c r="DX3" s="19" t="s">
        <v>140</v>
      </c>
      <c r="DY3" s="19" t="s">
        <v>141</v>
      </c>
      <c r="DZ3" s="19" t="s">
        <v>142</v>
      </c>
      <c r="EA3" s="19" t="s">
        <v>143</v>
      </c>
      <c r="EB3" s="19" t="s">
        <v>144</v>
      </c>
      <c r="EC3" s="19" t="s">
        <v>145</v>
      </c>
      <c r="ED3" s="19" t="s">
        <v>146</v>
      </c>
      <c r="EE3" s="19" t="s">
        <v>147</v>
      </c>
      <c r="EF3" s="19" t="s">
        <v>148</v>
      </c>
      <c r="EG3" s="19" t="s">
        <v>149</v>
      </c>
      <c r="EH3" s="19" t="s">
        <v>150</v>
      </c>
      <c r="EI3" s="19" t="s">
        <v>151</v>
      </c>
      <c r="EJ3" s="19" t="s">
        <v>152</v>
      </c>
      <c r="EK3" s="19" t="s">
        <v>153</v>
      </c>
      <c r="EL3" s="19" t="s">
        <v>154</v>
      </c>
      <c r="EM3" s="19" t="s">
        <v>155</v>
      </c>
      <c r="EN3" s="19" t="s">
        <v>156</v>
      </c>
      <c r="EO3" s="19" t="s">
        <v>157</v>
      </c>
      <c r="EP3" s="19" t="s">
        <v>158</v>
      </c>
      <c r="EQ3" s="19" t="s">
        <v>159</v>
      </c>
      <c r="ER3" s="19" t="s">
        <v>160</v>
      </c>
      <c r="ES3" s="19" t="s">
        <v>161</v>
      </c>
      <c r="ET3" s="19" t="s">
        <v>162</v>
      </c>
      <c r="EU3" s="19" t="s">
        <v>163</v>
      </c>
      <c r="EV3" s="19" t="s">
        <v>164</v>
      </c>
      <c r="EW3" s="19" t="s">
        <v>165</v>
      </c>
      <c r="EX3" s="19" t="s">
        <v>166</v>
      </c>
      <c r="EY3" s="19" t="s">
        <v>167</v>
      </c>
      <c r="EZ3" s="19" t="s">
        <v>168</v>
      </c>
      <c r="FA3" s="19" t="s">
        <v>169</v>
      </c>
      <c r="FB3" s="19" t="s">
        <v>170</v>
      </c>
      <c r="FC3" s="19" t="s">
        <v>171</v>
      </c>
      <c r="FD3" s="19" t="s">
        <v>172</v>
      </c>
      <c r="FE3" s="19" t="s">
        <v>173</v>
      </c>
      <c r="FF3" s="19" t="s">
        <v>174</v>
      </c>
      <c r="FG3" s="19" t="s">
        <v>175</v>
      </c>
      <c r="FH3" s="19" t="s">
        <v>176</v>
      </c>
      <c r="FI3" s="19" t="s">
        <v>177</v>
      </c>
      <c r="FJ3" s="19" t="s">
        <v>178</v>
      </c>
      <c r="FK3" s="19" t="s">
        <v>179</v>
      </c>
      <c r="FL3" s="19" t="s">
        <v>180</v>
      </c>
      <c r="FM3" s="19" t="s">
        <v>181</v>
      </c>
      <c r="FN3" s="19" t="s">
        <v>182</v>
      </c>
      <c r="FO3" s="19" t="s">
        <v>183</v>
      </c>
      <c r="FP3" s="19" t="s">
        <v>184</v>
      </c>
      <c r="FQ3" s="19" t="s">
        <v>185</v>
      </c>
      <c r="FR3" s="19" t="s">
        <v>186</v>
      </c>
      <c r="FS3" s="19" t="s">
        <v>187</v>
      </c>
      <c r="FT3" s="19" t="s">
        <v>188</v>
      </c>
      <c r="FU3" s="19" t="s">
        <v>189</v>
      </c>
      <c r="FV3" s="19" t="s">
        <v>190</v>
      </c>
      <c r="FW3" s="19" t="s">
        <v>191</v>
      </c>
      <c r="FX3" s="19" t="s">
        <v>192</v>
      </c>
      <c r="FY3" s="19" t="s">
        <v>193</v>
      </c>
      <c r="FZ3" s="19" t="s">
        <v>194</v>
      </c>
      <c r="GA3" s="19" t="s">
        <v>195</v>
      </c>
      <c r="GB3" s="19" t="s">
        <v>196</v>
      </c>
      <c r="GC3" s="19" t="s">
        <v>197</v>
      </c>
      <c r="GD3" s="19" t="s">
        <v>198</v>
      </c>
      <c r="GE3" s="19" t="s">
        <v>199</v>
      </c>
      <c r="GF3" s="19" t="s">
        <v>200</v>
      </c>
      <c r="GG3" s="19" t="s">
        <v>201</v>
      </c>
      <c r="GH3" s="19" t="s">
        <v>202</v>
      </c>
      <c r="GI3" s="19" t="s">
        <v>203</v>
      </c>
      <c r="GJ3" s="19" t="s">
        <v>204</v>
      </c>
      <c r="GK3" s="19" t="s">
        <v>205</v>
      </c>
      <c r="GL3" s="19" t="s">
        <v>206</v>
      </c>
      <c r="GM3" s="19" t="s">
        <v>207</v>
      </c>
      <c r="GN3" s="19" t="s">
        <v>208</v>
      </c>
      <c r="GO3" s="19" t="s">
        <v>209</v>
      </c>
      <c r="GP3" s="19" t="s">
        <v>210</v>
      </c>
      <c r="GQ3" s="19" t="s">
        <v>211</v>
      </c>
      <c r="GR3" s="19" t="s">
        <v>212</v>
      </c>
      <c r="GS3" s="19" t="s">
        <v>213</v>
      </c>
      <c r="GT3" s="19" t="s">
        <v>214</v>
      </c>
      <c r="GU3" s="19" t="s">
        <v>215</v>
      </c>
      <c r="GV3" s="19" t="s">
        <v>216</v>
      </c>
      <c r="GW3" s="19" t="s">
        <v>217</v>
      </c>
      <c r="GX3" s="19" t="s">
        <v>218</v>
      </c>
      <c r="GY3" s="19" t="s">
        <v>219</v>
      </c>
      <c r="GZ3" s="19" t="s">
        <v>220</v>
      </c>
      <c r="HA3" s="19" t="s">
        <v>221</v>
      </c>
      <c r="HB3" s="19" t="s">
        <v>222</v>
      </c>
      <c r="HC3" s="19" t="s">
        <v>223</v>
      </c>
      <c r="HD3" s="19" t="s">
        <v>224</v>
      </c>
      <c r="HE3" s="19" t="s">
        <v>225</v>
      </c>
      <c r="HF3" s="19" t="s">
        <v>226</v>
      </c>
      <c r="HG3" s="19" t="s">
        <v>227</v>
      </c>
      <c r="HH3" s="19" t="s">
        <v>228</v>
      </c>
      <c r="HI3" s="19" t="s">
        <v>233</v>
      </c>
      <c r="HJ3" s="19" t="s">
        <v>234</v>
      </c>
      <c r="HK3" s="19"/>
      <c r="HL3" s="19" t="s">
        <v>35</v>
      </c>
      <c r="HM3" s="38"/>
      <c r="HN3" s="19" t="s">
        <v>36</v>
      </c>
      <c r="HO3" s="19" t="s">
        <v>37</v>
      </c>
      <c r="HP3" t="s">
        <v>38</v>
      </c>
      <c r="JK3" s="19" t="s">
        <v>229</v>
      </c>
      <c r="JL3" s="19" t="s">
        <v>230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19" t="s">
        <v>231</v>
      </c>
      <c r="JL10002" s="19" t="s">
        <v>232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299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300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300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301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301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302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302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303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303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304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  <pageSetUpPr fitToPage="1"/>
  </sheetPr>
  <dimension ref="A2:R262"/>
  <sheetViews>
    <sheetView tabSelected="1" zoomScale="80" workbookViewId="0">
      <pane xSplit="3" ySplit="8" topLeftCell="D232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287</v>
      </c>
    </row>
    <row r="4" spans="1:18" x14ac:dyDescent="0.25">
      <c r="B4" s="29" t="s">
        <v>309</v>
      </c>
    </row>
    <row r="5" spans="1:18" ht="15" customHeight="1" x14ac:dyDescent="0.25">
      <c r="A5" s="14"/>
      <c r="B5" s="14" t="s">
        <v>292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476908.15</v>
      </c>
      <c r="E10" s="3">
        <f>SUM(OSRRefD11x_1)</f>
        <v>2210992.2500000005</v>
      </c>
      <c r="F10" s="3">
        <f>SUM(OSRRefD11x_2)</f>
        <v>895796.51000000024</v>
      </c>
      <c r="G10" s="3">
        <f>SUM(OSRRefD11x_3)</f>
        <v>680180.55000000028</v>
      </c>
      <c r="H10" s="3">
        <f>SUM(OSRRefE11x_0)</f>
        <v>604809.19999999995</v>
      </c>
      <c r="I10" s="3">
        <f>SUM(OSRRefE11x_1)</f>
        <v>532507</v>
      </c>
      <c r="J10" s="3">
        <f>SUM(OSRRefE11x_2)</f>
        <v>1427337.4000000001</v>
      </c>
      <c r="K10" s="3">
        <f>SUM(OSRRefE11x_3)</f>
        <v>688596.7</v>
      </c>
      <c r="L10" s="3">
        <f>SUM(OSRRefE11x_4)</f>
        <v>566712.30000000005</v>
      </c>
      <c r="M10" s="3">
        <f>SUM(OSRRefE11x_5)</f>
        <v>712679.55</v>
      </c>
      <c r="N10" s="3">
        <f>SUM(OSRRefE11x_6)</f>
        <v>597104.80000000005</v>
      </c>
      <c r="O10" s="3">
        <f>SUM(OSRRefE11x_7)</f>
        <v>630091.9</v>
      </c>
      <c r="P10" s="24"/>
      <c r="Q10" s="3">
        <f>SUM(OSRRefG11x)</f>
        <v>10023716.310000002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-11094.37</f>
        <v>-11094.37</v>
      </c>
      <c r="E11" s="2">
        <f>-18033.67</f>
        <v>-18033.669999999998</v>
      </c>
      <c r="F11" s="2">
        <f>-8672.74</f>
        <v>-8672.74</v>
      </c>
      <c r="G11" s="2">
        <f>-11561.63</f>
        <v>-11561.63</v>
      </c>
      <c r="H11" s="2">
        <v>421207.19999999995</v>
      </c>
      <c r="I11" s="2">
        <v>375375</v>
      </c>
      <c r="J11" s="2">
        <v>1298876.4000000001</v>
      </c>
      <c r="K11" s="2">
        <v>486272.7</v>
      </c>
      <c r="L11" s="2">
        <v>365306.3</v>
      </c>
      <c r="M11" s="2">
        <v>489526.55000000005</v>
      </c>
      <c r="N11" s="2">
        <v>466159.8</v>
      </c>
      <c r="O11" s="2">
        <v>552926.9</v>
      </c>
      <c r="Q11" s="2">
        <f>SUM(OSRRefD11_0x)+IFERROR(SUM(OSRRefE11_0x),0)</f>
        <v>4406288.4400000004</v>
      </c>
    </row>
    <row r="12" spans="1:18" s="9" customFormat="1" hidden="1" outlineLevel="1" x14ac:dyDescent="0.2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712327.57</v>
      </c>
    </row>
    <row r="13" spans="1:18" s="9" customFormat="1" hidden="1" outlineLevel="1" x14ac:dyDescent="0.2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319139.52</v>
      </c>
    </row>
    <row r="14" spans="1:18" s="9" customFormat="1" hidden="1" outlineLevel="1" x14ac:dyDescent="0.2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10665.630000000001</v>
      </c>
    </row>
    <row r="15" spans="1:18" s="9" customFormat="1" hidden="1" outlineLevel="1" x14ac:dyDescent="0.2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2459.56</v>
      </c>
    </row>
    <row r="16" spans="1:18" s="9" customFormat="1" hidden="1" outlineLevel="1" x14ac:dyDescent="0.2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197.37</v>
      </c>
    </row>
    <row r="17" spans="1:17" s="9" customFormat="1" hidden="1" outlineLevel="1" x14ac:dyDescent="0.2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/>
      <c r="I17" s="2"/>
      <c r="J17" s="2"/>
      <c r="K17" s="2"/>
      <c r="L17" s="2"/>
      <c r="M17" s="2"/>
      <c r="N17" s="2"/>
      <c r="O17" s="2"/>
      <c r="Q17" s="2">
        <f>SUM(OSRRefD11_6x)+IFERROR(SUM(OSRRefE11_6x),0)</f>
        <v>340.24</v>
      </c>
    </row>
    <row r="18" spans="1:17" s="9" customFormat="1" hidden="1" outlineLevel="1" x14ac:dyDescent="0.2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/>
      <c r="I18" s="2"/>
      <c r="J18" s="2"/>
      <c r="K18" s="2"/>
      <c r="L18" s="2"/>
      <c r="M18" s="2"/>
      <c r="N18" s="2"/>
      <c r="O18" s="2"/>
      <c r="Q18" s="2">
        <f>SUM(OSRRefD11_7x)+IFERROR(SUM(OSRRefE11_7x),0)</f>
        <v>183.89000000000001</v>
      </c>
    </row>
    <row r="19" spans="1:17" s="9" customFormat="1" hidden="1" outlineLevel="1" x14ac:dyDescent="0.25">
      <c r="A19" s="22"/>
      <c r="B19" s="13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/>
      <c r="I19" s="2"/>
      <c r="J19" s="2"/>
      <c r="K19" s="2"/>
      <c r="L19" s="2"/>
      <c r="M19" s="2"/>
      <c r="N19" s="2"/>
      <c r="O19" s="2"/>
      <c r="Q19" s="2">
        <f>SUM(OSRRefD11_8x)+IFERROR(SUM(OSRRefE11_8x),0)</f>
        <v>278.83</v>
      </c>
    </row>
    <row r="20" spans="1:17" s="9" customFormat="1" hidden="1" outlineLevel="1" x14ac:dyDescent="0.25">
      <c r="A20" s="22"/>
      <c r="B20" s="13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/>
      <c r="I20" s="2"/>
      <c r="J20" s="2"/>
      <c r="K20" s="2"/>
      <c r="L20" s="2"/>
      <c r="M20" s="2"/>
      <c r="N20" s="2"/>
      <c r="O20" s="2"/>
      <c r="Q20" s="2">
        <f>SUM(OSRRefD11_9x)+IFERROR(SUM(OSRRefE11_9x),0)</f>
        <v>35003.5</v>
      </c>
    </row>
    <row r="21" spans="1:17" s="9" customFormat="1" hidden="1" outlineLevel="1" x14ac:dyDescent="0.25">
      <c r="A21" s="22"/>
      <c r="B21" s="13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/>
      <c r="I21" s="2"/>
      <c r="J21" s="2"/>
      <c r="K21" s="2"/>
      <c r="L21" s="2"/>
      <c r="M21" s="2"/>
      <c r="N21" s="2"/>
      <c r="O21" s="2"/>
      <c r="Q21" s="2">
        <f>SUM(OSRRefD11_10x)+IFERROR(SUM(OSRRefE11_10x),0)</f>
        <v>14268.850000000002</v>
      </c>
    </row>
    <row r="22" spans="1:17" s="9" customFormat="1" hidden="1" outlineLevel="1" x14ac:dyDescent="0.25">
      <c r="A22" s="22"/>
      <c r="B22" s="13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/>
      <c r="I22" s="2"/>
      <c r="J22" s="2"/>
      <c r="K22" s="2"/>
      <c r="L22" s="2"/>
      <c r="M22" s="2"/>
      <c r="N22" s="2"/>
      <c r="O22" s="2"/>
      <c r="Q22" s="2">
        <f>SUM(OSRRefD11_11x)+IFERROR(SUM(OSRRefE11_11x),0)</f>
        <v>1667.9599999999998</v>
      </c>
    </row>
    <row r="23" spans="1:17" s="9" customFormat="1" hidden="1" outlineLevel="1" x14ac:dyDescent="0.25">
      <c r="A23" s="22"/>
      <c r="B23" s="13" t="str">
        <f>CONCATENATE("          ","4032", " - ","TAXABLE SALES-JUICE")</f>
        <v xml:space="preserve">          4032 - TAXABLE SALES-JUICE</v>
      </c>
      <c r="C23" s="23"/>
      <c r="D23" s="2">
        <f>0</f>
        <v>0</v>
      </c>
      <c r="E23" s="2">
        <f>--88.2</f>
        <v>88.2</v>
      </c>
      <c r="F23" s="2">
        <f>--356.39</f>
        <v>356.39</v>
      </c>
      <c r="G23" s="2">
        <f t="shared" ref="G23:G24" si="1">0</f>
        <v>0</v>
      </c>
      <c r="H23" s="2"/>
      <c r="I23" s="2"/>
      <c r="J23" s="2"/>
      <c r="K23" s="2"/>
      <c r="L23" s="2"/>
      <c r="M23" s="2"/>
      <c r="N23" s="2"/>
      <c r="O23" s="2"/>
      <c r="Q23" s="2">
        <f>SUM(OSRRefD11_12x)+IFERROR(SUM(OSRRefE11_12x),0)</f>
        <v>444.59</v>
      </c>
    </row>
    <row r="24" spans="1:17" s="9" customFormat="1" hidden="1" outlineLevel="1" x14ac:dyDescent="0.25">
      <c r="A24" s="22"/>
      <c r="B24" s="13" t="str">
        <f>CONCATENATE("          ","4034", " - ","TAXABLE SALES-SODA")</f>
        <v xml:space="preserve">          4034 - TAXABLE SALES-SODA</v>
      </c>
      <c r="C24" s="23"/>
      <c r="D24" s="2">
        <f>--6.78</f>
        <v>6.78</v>
      </c>
      <c r="E24" s="2">
        <f t="shared" ref="E24:F24" si="2">0</f>
        <v>0</v>
      </c>
      <c r="F24" s="2">
        <f t="shared" si="2"/>
        <v>0</v>
      </c>
      <c r="G24" s="2">
        <f t="shared" si="1"/>
        <v>0</v>
      </c>
      <c r="H24" s="2"/>
      <c r="I24" s="2"/>
      <c r="J24" s="2"/>
      <c r="K24" s="2"/>
      <c r="L24" s="2"/>
      <c r="M24" s="2"/>
      <c r="N24" s="2"/>
      <c r="O24" s="2"/>
      <c r="Q24" s="2">
        <f>SUM(OSRRefD11_13x)+IFERROR(SUM(OSRRefE11_13x),0)</f>
        <v>6.78</v>
      </c>
    </row>
    <row r="25" spans="1:17" s="9" customFormat="1" hidden="1" outlineLevel="1" x14ac:dyDescent="0.25">
      <c r="A25" s="22"/>
      <c r="B25" s="13" t="str">
        <f>CONCATENATE("          ","4040", " - ","TAXABLE SALES-LOGO CLOTHING")</f>
        <v xml:space="preserve">          4040 - TAXABLE SALES-LOGO CLOTHING</v>
      </c>
      <c r="C25" s="23"/>
      <c r="D25" s="2">
        <f>--72292.26</f>
        <v>72292.259999999995</v>
      </c>
      <c r="E25" s="2">
        <f>--177286.09</f>
        <v>177286.09</v>
      </c>
      <c r="F25" s="2">
        <f>--78841.84</f>
        <v>78841.84</v>
      </c>
      <c r="G25" s="2">
        <f>--54384.72</f>
        <v>54384.72</v>
      </c>
      <c r="H25" s="2"/>
      <c r="I25" s="2"/>
      <c r="J25" s="2"/>
      <c r="K25" s="2"/>
      <c r="L25" s="2"/>
      <c r="M25" s="2"/>
      <c r="N25" s="2"/>
      <c r="O25" s="2"/>
      <c r="Q25" s="2">
        <f>SUM(OSRRefD11_14x)+IFERROR(SUM(OSRRefE11_14x),0)</f>
        <v>382804.90999999992</v>
      </c>
    </row>
    <row r="26" spans="1:17" s="9" customFormat="1" hidden="1" outlineLevel="1" x14ac:dyDescent="0.25">
      <c r="A26" s="22"/>
      <c r="B26" s="13" t="str">
        <f>CONCATENATE("          ","4041", " - ","TAXABLE SALES-LOGO GIFTS")</f>
        <v xml:space="preserve">          4041 - TAXABLE SALES-LOGO GIFTS</v>
      </c>
      <c r="C26" s="23"/>
      <c r="D26" s="2">
        <f>--21188.91</f>
        <v>21188.91</v>
      </c>
      <c r="E26" s="2">
        <f>--82120.65</f>
        <v>82120.649999999994</v>
      </c>
      <c r="F26" s="2">
        <f>--27724.06</f>
        <v>27724.06</v>
      </c>
      <c r="G26" s="2">
        <f>--22053.6</f>
        <v>22053.599999999999</v>
      </c>
      <c r="H26" s="2"/>
      <c r="I26" s="2"/>
      <c r="J26" s="2"/>
      <c r="K26" s="2"/>
      <c r="L26" s="2"/>
      <c r="M26" s="2"/>
      <c r="N26" s="2"/>
      <c r="O26" s="2"/>
      <c r="Q26" s="2">
        <f>SUM(OSRRefD11_15x)+IFERROR(SUM(OSRRefE11_15x),0)</f>
        <v>153087.22</v>
      </c>
    </row>
    <row r="27" spans="1:17" s="9" customFormat="1" hidden="1" outlineLevel="1" x14ac:dyDescent="0.25">
      <c r="A27" s="22"/>
      <c r="B27" s="13" t="str">
        <f>CONCATENATE("          ","4042", " - ","TAXABLE SALES-EVERYDAY GIFTS")</f>
        <v xml:space="preserve">          4042 - TAXABLE SALES-EVERYDAY GIFTS</v>
      </c>
      <c r="C27" s="23"/>
      <c r="D27" s="2">
        <f>--9503.9</f>
        <v>9503.9</v>
      </c>
      <c r="E27" s="2">
        <f>--30421.14</f>
        <v>30421.14</v>
      </c>
      <c r="F27" s="2">
        <f>--8004.46</f>
        <v>8004.46</v>
      </c>
      <c r="G27" s="2">
        <f>--6854.18</f>
        <v>6854.18</v>
      </c>
      <c r="H27" s="2"/>
      <c r="I27" s="2"/>
      <c r="J27" s="2"/>
      <c r="K27" s="2"/>
      <c r="L27" s="2"/>
      <c r="M27" s="2"/>
      <c r="N27" s="2"/>
      <c r="O27" s="2"/>
      <c r="Q27" s="2">
        <f>SUM(OSRRefD11_16x)+IFERROR(SUM(OSRRefE11_16x),0)</f>
        <v>54783.68</v>
      </c>
    </row>
    <row r="28" spans="1:17" s="9" customFormat="1" hidden="1" outlineLevel="1" x14ac:dyDescent="0.25">
      <c r="A28" s="22"/>
      <c r="B28" s="13" t="str">
        <f>CONCATENATE("          ","4043", " - ","TAXABLE SALES-CARDS")</f>
        <v xml:space="preserve">          4043 - TAXABLE SALES-CARDS</v>
      </c>
      <c r="C28" s="23"/>
      <c r="D28" s="2">
        <f>--217.36</f>
        <v>217.36</v>
      </c>
      <c r="E28" s="2">
        <f>--6768.27</f>
        <v>6768.27</v>
      </c>
      <c r="F28" s="2">
        <f>--2805.53</f>
        <v>2805.53</v>
      </c>
      <c r="G28" s="2">
        <f>--30454.88</f>
        <v>30454.880000000001</v>
      </c>
      <c r="H28" s="2"/>
      <c r="I28" s="2"/>
      <c r="J28" s="2"/>
      <c r="K28" s="2"/>
      <c r="L28" s="2"/>
      <c r="M28" s="2"/>
      <c r="N28" s="2"/>
      <c r="O28" s="2"/>
      <c r="Q28" s="2">
        <f>SUM(OSRRefD11_17x)+IFERROR(SUM(OSRRefE11_17x),0)</f>
        <v>40246.04</v>
      </c>
    </row>
    <row r="29" spans="1:17" s="9" customFormat="1" hidden="1" outlineLevel="1" x14ac:dyDescent="0.25">
      <c r="A29" s="22"/>
      <c r="B29" s="13" t="str">
        <f>CONCATENATE("          ","4044", " - ","TAXABLE SALES-ACCESSORIES")</f>
        <v xml:space="preserve">          4044 - TAXABLE SALES-ACCESSORIES</v>
      </c>
      <c r="C29" s="23"/>
      <c r="D29" s="2">
        <f>--1800.68</f>
        <v>1800.68</v>
      </c>
      <c r="E29" s="2">
        <f>--6568.52</f>
        <v>6568.52</v>
      </c>
      <c r="F29" s="2">
        <f>--2962.32</f>
        <v>2962.32</v>
      </c>
      <c r="G29" s="2">
        <f>--1157.64</f>
        <v>1157.6400000000001</v>
      </c>
      <c r="H29" s="2"/>
      <c r="I29" s="2"/>
      <c r="J29" s="2"/>
      <c r="K29" s="2"/>
      <c r="L29" s="2"/>
      <c r="M29" s="2"/>
      <c r="N29" s="2"/>
      <c r="O29" s="2"/>
      <c r="Q29" s="2">
        <f>SUM(OSRRefD11_18x)+IFERROR(SUM(OSRRefE11_18x),0)</f>
        <v>12489.16</v>
      </c>
    </row>
    <row r="30" spans="1:17" s="9" customFormat="1" hidden="1" outlineLevel="1" x14ac:dyDescent="0.25">
      <c r="A30" s="22"/>
      <c r="B30" s="13" t="str">
        <f>CONCATENATE("          ","4045", " - ","TAXABLE SALES-SPECIAL ORDERS")</f>
        <v xml:space="preserve">          4045 - TAXABLE SALES-SPECIAL ORDERS</v>
      </c>
      <c r="C30" s="23"/>
      <c r="D30" s="2">
        <f>--43426.73</f>
        <v>43426.73</v>
      </c>
      <c r="E30" s="2">
        <f>--46004.35</f>
        <v>46004.35</v>
      </c>
      <c r="F30" s="2">
        <f>--2575.36</f>
        <v>2575.36</v>
      </c>
      <c r="G30" s="2">
        <f>--4950.17</f>
        <v>4950.17</v>
      </c>
      <c r="H30" s="2"/>
      <c r="I30" s="2"/>
      <c r="J30" s="2"/>
      <c r="K30" s="2"/>
      <c r="L30" s="2"/>
      <c r="M30" s="2"/>
      <c r="N30" s="2"/>
      <c r="O30" s="2"/>
      <c r="Q30" s="2">
        <f>SUM(OSRRefD11_19x)+IFERROR(SUM(OSRRefE11_19x),0)</f>
        <v>96956.61</v>
      </c>
    </row>
    <row r="31" spans="1:17" s="9" customFormat="1" hidden="1" outlineLevel="1" x14ac:dyDescent="0.25">
      <c r="A31" s="22"/>
      <c r="B31" s="13" t="str">
        <f>CONCATENATE("          ","4051", " - ","TAXABLE SALES-FOOD")</f>
        <v xml:space="preserve">          4051 - TAXABLE SALES-FOOD</v>
      </c>
      <c r="C31" s="23"/>
      <c r="D31" s="2">
        <f t="shared" ref="D31:D32" si="3">0</f>
        <v>0</v>
      </c>
      <c r="E31" s="2">
        <f>--2510.72</f>
        <v>2510.7199999999998</v>
      </c>
      <c r="F31" s="2">
        <f>--4141.96</f>
        <v>4141.96</v>
      </c>
      <c r="G31" s="2">
        <f>--6097.26</f>
        <v>6097.26</v>
      </c>
      <c r="H31" s="2"/>
      <c r="I31" s="2"/>
      <c r="J31" s="2"/>
      <c r="K31" s="2"/>
      <c r="L31" s="2"/>
      <c r="M31" s="2"/>
      <c r="N31" s="2"/>
      <c r="O31" s="2"/>
      <c r="Q31" s="2">
        <f>SUM(OSRRefD11_20x)+IFERROR(SUM(OSRRefE11_20x),0)</f>
        <v>12749.94</v>
      </c>
    </row>
    <row r="32" spans="1:17" s="9" customFormat="1" hidden="1" outlineLevel="1" x14ac:dyDescent="0.25">
      <c r="A32" s="22"/>
      <c r="B32" s="13" t="str">
        <f>CONCATENATE("          ","4052", " - ","TAXABLE SALES-FOOD")</f>
        <v xml:space="preserve">          4052 - TAXABLE SALES-FOOD</v>
      </c>
      <c r="C32" s="23"/>
      <c r="D32" s="2">
        <f t="shared" si="3"/>
        <v>0</v>
      </c>
      <c r="E32" s="2">
        <f t="shared" ref="E32:F32" si="4">0</f>
        <v>0</v>
      </c>
      <c r="F32" s="2">
        <f t="shared" si="4"/>
        <v>0</v>
      </c>
      <c r="G32" s="2">
        <f>--30231.29</f>
        <v>30231.29</v>
      </c>
      <c r="H32" s="2"/>
      <c r="I32" s="2"/>
      <c r="J32" s="2"/>
      <c r="K32" s="2"/>
      <c r="L32" s="2"/>
      <c r="M32" s="2"/>
      <c r="N32" s="2"/>
      <c r="O32" s="2"/>
      <c r="Q32" s="2">
        <f>SUM(OSRRefD11_21x)+IFERROR(SUM(OSRRefE11_21x),0)</f>
        <v>30231.29</v>
      </c>
    </row>
    <row r="33" spans="1:17" s="9" customFormat="1" hidden="1" outlineLevel="1" x14ac:dyDescent="0.25">
      <c r="A33" s="22"/>
      <c r="B33" s="13" t="str">
        <f>CONCATENATE("          ","4053", " - ","TAXABLE SALES-FOOD")</f>
        <v xml:space="preserve">          4053 - TAXABLE SALES-FOOD</v>
      </c>
      <c r="C33" s="23"/>
      <c r="D33" s="2">
        <f>--199.89</f>
        <v>199.89</v>
      </c>
      <c r="E33" s="2">
        <f>--140.01</f>
        <v>140.01</v>
      </c>
      <c r="F33" s="2">
        <f>--62.54</f>
        <v>62.54</v>
      </c>
      <c r="G33" s="2">
        <f t="shared" ref="G33:G34" si="5">0</f>
        <v>0</v>
      </c>
      <c r="H33" s="2"/>
      <c r="I33" s="2"/>
      <c r="J33" s="2"/>
      <c r="K33" s="2"/>
      <c r="L33" s="2"/>
      <c r="M33" s="2"/>
      <c r="N33" s="2"/>
      <c r="O33" s="2"/>
      <c r="Q33" s="2">
        <f>SUM(OSRRefD11_22x)+IFERROR(SUM(OSRRefE11_22x),0)</f>
        <v>402.44</v>
      </c>
    </row>
    <row r="34" spans="1:17" s="9" customFormat="1" hidden="1" outlineLevel="1" x14ac:dyDescent="0.25">
      <c r="A34" s="22"/>
      <c r="B34" s="13" t="str">
        <f>CONCATENATE("          ","4058", " - ","TAXABLE SALES-FOOD")</f>
        <v xml:space="preserve">          4058 - TAXABLE SALES-FOOD</v>
      </c>
      <c r="C34" s="23"/>
      <c r="D34" s="2">
        <f>--974.91</f>
        <v>974.91</v>
      </c>
      <c r="E34" s="2">
        <f t="shared" ref="E34:F34" si="6">0</f>
        <v>0</v>
      </c>
      <c r="F34" s="2">
        <f t="shared" si="6"/>
        <v>0</v>
      </c>
      <c r="G34" s="2">
        <f t="shared" si="5"/>
        <v>0</v>
      </c>
      <c r="H34" s="2"/>
      <c r="I34" s="2"/>
      <c r="J34" s="2"/>
      <c r="K34" s="2"/>
      <c r="L34" s="2"/>
      <c r="M34" s="2"/>
      <c r="N34" s="2"/>
      <c r="O34" s="2"/>
      <c r="Q34" s="2">
        <f>SUM(OSRRefD11_23x)+IFERROR(SUM(OSRRefE11_23x),0)</f>
        <v>974.91</v>
      </c>
    </row>
    <row r="35" spans="1:17" s="9" customFormat="1" hidden="1" outlineLevel="1" x14ac:dyDescent="0.25">
      <c r="A35" s="22"/>
      <c r="B35" s="13" t="str">
        <f>CONCATENATE("          ","4081", " - ","TAXABLE SALES-ELECTRONICS")</f>
        <v xml:space="preserve">          4081 - TAXABLE SALES-ELECTRONICS</v>
      </c>
      <c r="C35" s="23"/>
      <c r="D35" s="2">
        <f>--21557.16</f>
        <v>21557.16</v>
      </c>
      <c r="E35" s="2">
        <f>--16305.86</f>
        <v>16305.86</v>
      </c>
      <c r="F35" s="2">
        <f>--12239.6</f>
        <v>12239.6</v>
      </c>
      <c r="G35" s="2">
        <f>--5014.67</f>
        <v>5014.67</v>
      </c>
      <c r="H35" s="2"/>
      <c r="I35" s="2"/>
      <c r="J35" s="2"/>
      <c r="K35" s="2"/>
      <c r="L35" s="2"/>
      <c r="M35" s="2"/>
      <c r="N35" s="2"/>
      <c r="O35" s="2"/>
      <c r="Q35" s="2">
        <f>SUM(OSRRefD11_24x)+IFERROR(SUM(OSRRefE11_24x),0)</f>
        <v>55117.29</v>
      </c>
    </row>
    <row r="36" spans="1:17" s="9" customFormat="1" hidden="1" outlineLevel="1" x14ac:dyDescent="0.25">
      <c r="A36" s="22"/>
      <c r="B36" s="13" t="str">
        <f>CONCATENATE("          ","4082", " - ","TAXABLE SALES-COMPUTER HARDWAR")</f>
        <v xml:space="preserve">          4082 - TAXABLE SALES-COMPUTER HARDWAR</v>
      </c>
      <c r="C36" s="23"/>
      <c r="D36" s="2">
        <f>--137228.87</f>
        <v>137228.87</v>
      </c>
      <c r="E36" s="2">
        <f>--403983.14</f>
        <v>403983.14</v>
      </c>
      <c r="F36" s="2">
        <f>--198101.2</f>
        <v>198101.2</v>
      </c>
      <c r="G36" s="2">
        <f>--152786.78</f>
        <v>152786.78</v>
      </c>
      <c r="H36" s="2"/>
      <c r="I36" s="2"/>
      <c r="J36" s="2"/>
      <c r="K36" s="2"/>
      <c r="L36" s="2"/>
      <c r="M36" s="2"/>
      <c r="N36" s="2"/>
      <c r="O36" s="2"/>
      <c r="Q36" s="2">
        <f>SUM(OSRRefD11_25x)+IFERROR(SUM(OSRRefE11_25x),0)</f>
        <v>892099.99</v>
      </c>
    </row>
    <row r="37" spans="1:17" s="9" customFormat="1" hidden="1" outlineLevel="1" x14ac:dyDescent="0.25">
      <c r="A37" s="22"/>
      <c r="B37" s="13" t="str">
        <f>CONCATENATE("          ","4083", " - ","TAXABLE SALES-COMPUTER EQUIPME")</f>
        <v xml:space="preserve">          4083 - TAXABLE SALES-COMPUTER EQUIPME</v>
      </c>
      <c r="C37" s="23"/>
      <c r="D37" s="2">
        <f>--6790.15</f>
        <v>6790.15</v>
      </c>
      <c r="E37" s="2">
        <f>--42925.21</f>
        <v>42925.21</v>
      </c>
      <c r="F37" s="2">
        <f>--18947.33</f>
        <v>18947.330000000002</v>
      </c>
      <c r="G37" s="2">
        <f>--3392.4</f>
        <v>3392.4</v>
      </c>
      <c r="H37" s="2"/>
      <c r="I37" s="2"/>
      <c r="J37" s="2"/>
      <c r="K37" s="2"/>
      <c r="L37" s="2"/>
      <c r="M37" s="2"/>
      <c r="N37" s="2"/>
      <c r="O37" s="2"/>
      <c r="Q37" s="2">
        <f>SUM(OSRRefD11_26x)+IFERROR(SUM(OSRRefE11_26x),0)</f>
        <v>72055.09</v>
      </c>
    </row>
    <row r="38" spans="1:17" s="9" customFormat="1" hidden="1" outlineLevel="1" x14ac:dyDescent="0.25">
      <c r="A38" s="22"/>
      <c r="B38" s="13" t="str">
        <f>CONCATENATE("          ","4085", " - ","TAXABLE SALES-SOFTWARE")</f>
        <v xml:space="preserve">          4085 - TAXABLE SALES-SOFTWARE</v>
      </c>
      <c r="C38" s="23"/>
      <c r="D38" s="2">
        <f>0</f>
        <v>0</v>
      </c>
      <c r="E38" s="2">
        <f>--129</f>
        <v>129</v>
      </c>
      <c r="F38" s="2">
        <f>--852.96</f>
        <v>852.96</v>
      </c>
      <c r="G38" s="2">
        <f>--139</f>
        <v>139</v>
      </c>
      <c r="H38" s="2"/>
      <c r="I38" s="2"/>
      <c r="J38" s="2"/>
      <c r="K38" s="2"/>
      <c r="L38" s="2"/>
      <c r="M38" s="2"/>
      <c r="N38" s="2"/>
      <c r="O38" s="2"/>
      <c r="Q38" s="2">
        <f>SUM(OSRRefD11_27x)+IFERROR(SUM(OSRRefE11_27x),0)</f>
        <v>1120.96</v>
      </c>
    </row>
    <row r="39" spans="1:17" s="9" customFormat="1" hidden="1" outlineLevel="1" x14ac:dyDescent="0.25">
      <c r="A39" s="22"/>
      <c r="B39" s="13" t="str">
        <f>CONCATENATE("          ","4086", " - ","TAXABLE SALES-COMPUTER SUPPLIE")</f>
        <v xml:space="preserve">          4086 - TAXABLE SALES-COMPUTER SUPPLIE</v>
      </c>
      <c r="C39" s="23"/>
      <c r="D39" s="2">
        <f>--25959.21</f>
        <v>25959.21</v>
      </c>
      <c r="E39" s="2">
        <f>--1308.27</f>
        <v>1308.27</v>
      </c>
      <c r="F39" s="2">
        <f>--713.93</f>
        <v>713.93</v>
      </c>
      <c r="G39" s="2">
        <f>--1385.25</f>
        <v>1385.25</v>
      </c>
      <c r="H39" s="2"/>
      <c r="I39" s="2"/>
      <c r="J39" s="2"/>
      <c r="K39" s="2"/>
      <c r="L39" s="2"/>
      <c r="M39" s="2"/>
      <c r="N39" s="2"/>
      <c r="O39" s="2"/>
      <c r="Q39" s="2">
        <f>SUM(OSRRefD11_28x)+IFERROR(SUM(OSRRefE11_28x),0)</f>
        <v>29366.66</v>
      </c>
    </row>
    <row r="40" spans="1:17" s="9" customFormat="1" hidden="1" outlineLevel="1" x14ac:dyDescent="0.25">
      <c r="A40" s="22"/>
      <c r="B40" s="13" t="str">
        <f>CONCATENATE("          ","4100", " - ","NON-TAXABLE SALES")</f>
        <v xml:space="preserve">          4100 - NON-TAXABLE SALES</v>
      </c>
      <c r="C40" s="23"/>
      <c r="D40" s="2">
        <f>--24009.3</f>
        <v>24009.3</v>
      </c>
      <c r="E40" s="2">
        <f>--217221.03</f>
        <v>217221.03</v>
      </c>
      <c r="F40" s="2">
        <f>--41155.69</f>
        <v>41155.69</v>
      </c>
      <c r="G40" s="2">
        <f>--151698.79</f>
        <v>151698.79</v>
      </c>
      <c r="H40" s="2">
        <v>183602</v>
      </c>
      <c r="I40" s="2">
        <v>157132</v>
      </c>
      <c r="J40" s="2">
        <v>128461</v>
      </c>
      <c r="K40" s="2">
        <v>202324</v>
      </c>
      <c r="L40" s="2">
        <v>201406</v>
      </c>
      <c r="M40" s="2">
        <v>223153</v>
      </c>
      <c r="N40" s="2">
        <v>130945</v>
      </c>
      <c r="O40" s="2">
        <v>77165</v>
      </c>
      <c r="Q40" s="2">
        <f>SUM(OSRRefD11_29x)+IFERROR(SUM(OSRRefE11_29x),0)</f>
        <v>1738272.81</v>
      </c>
    </row>
    <row r="41" spans="1:17" s="9" customFormat="1" hidden="1" outlineLevel="1" x14ac:dyDescent="0.25">
      <c r="A41" s="22"/>
      <c r="B41" s="13" t="str">
        <f>CONCATENATE("          ","4101", " - ","NON-TAXABLE SALES-NEW TEXT")</f>
        <v xml:space="preserve">          4101 - NON-TAXABLE SALES-NEW TEXT</v>
      </c>
      <c r="C41" s="23"/>
      <c r="D41" s="2">
        <f>--10341.86</f>
        <v>10341.86</v>
      </c>
      <c r="E41" s="2">
        <f>--41238.82</f>
        <v>41238.82</v>
      </c>
      <c r="F41" s="2">
        <f>--18824.16</f>
        <v>18824.16</v>
      </c>
      <c r="G41" s="2">
        <f>--7260.05</f>
        <v>7260.05</v>
      </c>
      <c r="H41" s="2"/>
      <c r="I41" s="2"/>
      <c r="J41" s="2"/>
      <c r="K41" s="2"/>
      <c r="L41" s="2"/>
      <c r="M41" s="2"/>
      <c r="N41" s="2"/>
      <c r="O41" s="2"/>
      <c r="Q41" s="2">
        <f>SUM(OSRRefD11_30x)+IFERROR(SUM(OSRRefE11_30x),0)</f>
        <v>77664.89</v>
      </c>
    </row>
    <row r="42" spans="1:17" s="9" customFormat="1" hidden="1" outlineLevel="1" x14ac:dyDescent="0.25">
      <c r="A42" s="22"/>
      <c r="B42" s="13" t="str">
        <f>CONCATENATE("          ","4102", " - ","NON-TAXABLE SALES-USED TEXT")</f>
        <v xml:space="preserve">          4102 - NON-TAXABLE SALES-USED TEXT</v>
      </c>
      <c r="C42" s="23"/>
      <c r="D42" s="2">
        <f>--4190.44</f>
        <v>4190.4399999999996</v>
      </c>
      <c r="E42" s="2">
        <f>--17373.3</f>
        <v>17373.3</v>
      </c>
      <c r="F42" s="2">
        <f>--8807.08</f>
        <v>8807.08</v>
      </c>
      <c r="G42" s="2">
        <f>--2341.65</f>
        <v>2341.65</v>
      </c>
      <c r="H42" s="2"/>
      <c r="I42" s="2"/>
      <c r="J42" s="2"/>
      <c r="K42" s="2"/>
      <c r="L42" s="2"/>
      <c r="M42" s="2"/>
      <c r="N42" s="2"/>
      <c r="O42" s="2"/>
      <c r="Q42" s="2">
        <f>SUM(OSRRefD11_31x)+IFERROR(SUM(OSRRefE11_31x),0)</f>
        <v>32712.47</v>
      </c>
    </row>
    <row r="43" spans="1:17" s="9" customFormat="1" hidden="1" outlineLevel="1" x14ac:dyDescent="0.25">
      <c r="A43" s="22"/>
      <c r="B43" s="13" t="str">
        <f>CONCATENATE("          ","4103", " - ","NON-TAXABLE SALES-RENTAL TEXT")</f>
        <v xml:space="preserve">          4103 - NON-TAXABLE SALES-RENTAL TEXT</v>
      </c>
      <c r="C43" s="23"/>
      <c r="D43" s="2">
        <f t="shared" ref="D43:E43" si="7">0</f>
        <v>0</v>
      </c>
      <c r="E43" s="2">
        <f t="shared" si="7"/>
        <v>0</v>
      </c>
      <c r="F43" s="2">
        <f>--284.97</f>
        <v>284.97000000000003</v>
      </c>
      <c r="G43" s="2">
        <f>0</f>
        <v>0</v>
      </c>
      <c r="H43" s="2"/>
      <c r="I43" s="2"/>
      <c r="J43" s="2"/>
      <c r="K43" s="2"/>
      <c r="L43" s="2"/>
      <c r="M43" s="2"/>
      <c r="N43" s="2"/>
      <c r="O43" s="2"/>
      <c r="Q43" s="2">
        <f>SUM(OSRRefD11_32x)+IFERROR(SUM(OSRRefE11_32x),0)</f>
        <v>284.97000000000003</v>
      </c>
    </row>
    <row r="44" spans="1:17" s="9" customFormat="1" hidden="1" outlineLevel="1" x14ac:dyDescent="0.25">
      <c r="A44" s="22"/>
      <c r="B44" s="13" t="str">
        <f>CONCATENATE("          ","4104", " - ","NON-TAXABLE SALES-DIGITAL TEXT")</f>
        <v xml:space="preserve">          4104 - NON-TAXABLE SALES-DIGITAL TEXT</v>
      </c>
      <c r="C44" s="23"/>
      <c r="D44" s="2">
        <f>--7485.52</f>
        <v>7485.52</v>
      </c>
      <c r="E44" s="2">
        <f>--205404.66</f>
        <v>205404.66</v>
      </c>
      <c r="F44" s="2">
        <f>--73817.67</f>
        <v>73817.67</v>
      </c>
      <c r="G44" s="2">
        <f>--6767.67</f>
        <v>6767.67</v>
      </c>
      <c r="H44" s="2"/>
      <c r="I44" s="2"/>
      <c r="J44" s="2"/>
      <c r="K44" s="2"/>
      <c r="L44" s="2"/>
      <c r="M44" s="2"/>
      <c r="N44" s="2"/>
      <c r="O44" s="2"/>
      <c r="Q44" s="2">
        <f>SUM(OSRRefD11_33x)+IFERROR(SUM(OSRRefE11_33x),0)</f>
        <v>293475.51999999996</v>
      </c>
    </row>
    <row r="45" spans="1:17" s="9" customFormat="1" hidden="1" outlineLevel="1" x14ac:dyDescent="0.25">
      <c r="A45" s="22"/>
      <c r="B45" s="13" t="str">
        <f>CONCATENATE("          ","4113", " - ","NON-TAXABLE SALES-TRADE BOOKS")</f>
        <v xml:space="preserve">          4113 - NON-TAXABLE SALES-TRADE BOOKS</v>
      </c>
      <c r="C45" s="23"/>
      <c r="D45" s="2">
        <f t="shared" ref="D45:F45" si="8">0</f>
        <v>0</v>
      </c>
      <c r="E45" s="2">
        <f t="shared" si="8"/>
        <v>0</v>
      </c>
      <c r="F45" s="2">
        <f t="shared" si="8"/>
        <v>0</v>
      </c>
      <c r="G45" s="2">
        <f>--1655.95</f>
        <v>1655.95</v>
      </c>
      <c r="H45" s="2"/>
      <c r="I45" s="2"/>
      <c r="J45" s="2"/>
      <c r="K45" s="2"/>
      <c r="L45" s="2"/>
      <c r="M45" s="2"/>
      <c r="N45" s="2"/>
      <c r="O45" s="2"/>
      <c r="Q45" s="2">
        <f>SUM(OSRRefD11_34x)+IFERROR(SUM(OSRRefE11_34x),0)</f>
        <v>1655.95</v>
      </c>
    </row>
    <row r="46" spans="1:17" s="9" customFormat="1" hidden="1" outlineLevel="1" x14ac:dyDescent="0.25">
      <c r="A46" s="22"/>
      <c r="B46" s="13" t="str">
        <f>CONCATENATE("          ","4118", " - ","NON-TAXABLE SALES-STUDY GUIDES")</f>
        <v xml:space="preserve">          4118 - NON-TAXABLE SALES-STUDY GUIDES</v>
      </c>
      <c r="C46" s="23"/>
      <c r="D46" s="2">
        <f>--53.96</f>
        <v>53.96</v>
      </c>
      <c r="E46" s="2">
        <f>--47.87</f>
        <v>47.87</v>
      </c>
      <c r="F46" s="2">
        <f>--6.5</f>
        <v>6.5</v>
      </c>
      <c r="G46" s="2">
        <f>--97.3</f>
        <v>97.3</v>
      </c>
      <c r="H46" s="2"/>
      <c r="I46" s="2"/>
      <c r="J46" s="2"/>
      <c r="K46" s="2"/>
      <c r="L46" s="2"/>
      <c r="M46" s="2"/>
      <c r="N46" s="2"/>
      <c r="O46" s="2"/>
      <c r="Q46" s="2">
        <f>SUM(OSRRefD11_35x)+IFERROR(SUM(OSRRefE11_35x),0)</f>
        <v>205.63</v>
      </c>
    </row>
    <row r="47" spans="1:17" s="9" customFormat="1" hidden="1" outlineLevel="1" x14ac:dyDescent="0.25">
      <c r="A47" s="22"/>
      <c r="B47" s="13" t="str">
        <f>CONCATENATE("          ","4126", " - ","NON-TAXABLE SALES-WRITING INST")</f>
        <v xml:space="preserve">          4126 - NON-TAXABLE SALES-WRITING INST</v>
      </c>
      <c r="C47" s="23"/>
      <c r="D47" s="2">
        <f>--52.68</f>
        <v>52.68</v>
      </c>
      <c r="E47" s="2">
        <f t="shared" ref="E47:G47" si="9">0</f>
        <v>0</v>
      </c>
      <c r="F47" s="2">
        <f t="shared" si="9"/>
        <v>0</v>
      </c>
      <c r="G47" s="2">
        <f t="shared" si="9"/>
        <v>0</v>
      </c>
      <c r="H47" s="2"/>
      <c r="I47" s="2"/>
      <c r="J47" s="2"/>
      <c r="K47" s="2"/>
      <c r="L47" s="2"/>
      <c r="M47" s="2"/>
      <c r="N47" s="2"/>
      <c r="O47" s="2"/>
      <c r="Q47" s="2">
        <f>SUM(OSRRefD11_36x)+IFERROR(SUM(OSRRefE11_36x),0)</f>
        <v>52.68</v>
      </c>
    </row>
    <row r="48" spans="1:17" s="9" customFormat="1" hidden="1" outlineLevel="1" x14ac:dyDescent="0.25">
      <c r="A48" s="22"/>
      <c r="B48" s="13" t="str">
        <f>CONCATENATE("          ","4127", " - ","NON-TAXABLE SALES-SCHOOL SUPPL")</f>
        <v xml:space="preserve">          4127 - NON-TAXABLE SALES-SCHOOL SUPPL</v>
      </c>
      <c r="C48" s="23"/>
      <c r="D48" s="2">
        <f>--72.25</f>
        <v>72.25</v>
      </c>
      <c r="E48" s="2">
        <f>--1788.16</f>
        <v>1788.16</v>
      </c>
      <c r="F48" s="2">
        <f>--810.33</f>
        <v>810.33</v>
      </c>
      <c r="G48" s="2">
        <f>--160.95</f>
        <v>160.94999999999999</v>
      </c>
      <c r="H48" s="2"/>
      <c r="I48" s="2"/>
      <c r="J48" s="2"/>
      <c r="K48" s="2"/>
      <c r="L48" s="2"/>
      <c r="M48" s="2"/>
      <c r="N48" s="2"/>
      <c r="O48" s="2"/>
      <c r="Q48" s="2">
        <f>SUM(OSRRefD11_37x)+IFERROR(SUM(OSRRefE11_37x),0)</f>
        <v>2831.69</v>
      </c>
    </row>
    <row r="49" spans="1:17" s="9" customFormat="1" hidden="1" outlineLevel="1" x14ac:dyDescent="0.25">
      <c r="A49" s="22"/>
      <c r="B49" s="13" t="str">
        <f>CONCATENATE("          ","4131", " - ","NON-TAXABLE SALES-FOOD")</f>
        <v xml:space="preserve">          4131 - NON-TAXABLE SALES-FOOD</v>
      </c>
      <c r="C49" s="23"/>
      <c r="D49" s="2">
        <f>--259.43</f>
        <v>259.43</v>
      </c>
      <c r="E49" s="2">
        <f>--1575.79</f>
        <v>1575.79</v>
      </c>
      <c r="F49" s="2">
        <f>--2168.74</f>
        <v>2168.7399999999998</v>
      </c>
      <c r="G49" s="2">
        <f>--1521.48</f>
        <v>1521.48</v>
      </c>
      <c r="H49" s="2"/>
      <c r="I49" s="2"/>
      <c r="J49" s="2"/>
      <c r="K49" s="2"/>
      <c r="L49" s="2"/>
      <c r="M49" s="2"/>
      <c r="N49" s="2"/>
      <c r="O49" s="2"/>
      <c r="Q49" s="2">
        <f>SUM(OSRRefD11_38x)+IFERROR(SUM(OSRRefE11_38x),0)</f>
        <v>5525.4400000000005</v>
      </c>
    </row>
    <row r="50" spans="1:17" s="9" customFormat="1" hidden="1" outlineLevel="1" x14ac:dyDescent="0.25">
      <c r="A50" s="22"/>
      <c r="B50" s="13" t="str">
        <f>CONCATENATE("          ","4132", " - ","NON-TAXABLE SALES-JUICE")</f>
        <v xml:space="preserve">          4132 - NON-TAXABLE SALES-JUICE</v>
      </c>
      <c r="C50" s="23"/>
      <c r="D50" s="2">
        <f>--22.49</f>
        <v>22.49</v>
      </c>
      <c r="E50" s="2">
        <f>--625.8</f>
        <v>625.79999999999995</v>
      </c>
      <c r="F50" s="2">
        <f>--1406.08</f>
        <v>1406.08</v>
      </c>
      <c r="G50" s="2">
        <f t="shared" ref="G50:G53" si="10">0</f>
        <v>0</v>
      </c>
      <c r="H50" s="2"/>
      <c r="I50" s="2"/>
      <c r="J50" s="2"/>
      <c r="K50" s="2"/>
      <c r="L50" s="2"/>
      <c r="M50" s="2"/>
      <c r="N50" s="2"/>
      <c r="O50" s="2"/>
      <c r="Q50" s="2">
        <f>SUM(OSRRefD11_39x)+IFERROR(SUM(OSRRefE11_39x),0)</f>
        <v>2054.37</v>
      </c>
    </row>
    <row r="51" spans="1:17" s="9" customFormat="1" hidden="1" outlineLevel="1" x14ac:dyDescent="0.25">
      <c r="A51" s="22"/>
      <c r="B51" s="13" t="str">
        <f>CONCATENATE("          ","4133", " - ","NON-TAXABLE SALES-CANDY")</f>
        <v xml:space="preserve">          4133 - NON-TAXABLE SALES-CANDY</v>
      </c>
      <c r="C51" s="23"/>
      <c r="D51" s="2">
        <f>--68.28</f>
        <v>68.28</v>
      </c>
      <c r="E51" s="2">
        <f>--12.43</f>
        <v>12.43</v>
      </c>
      <c r="F51" s="2">
        <f t="shared" ref="F51:F53" si="11">0</f>
        <v>0</v>
      </c>
      <c r="G51" s="2">
        <f t="shared" si="10"/>
        <v>0</v>
      </c>
      <c r="H51" s="2"/>
      <c r="I51" s="2"/>
      <c r="J51" s="2"/>
      <c r="K51" s="2"/>
      <c r="L51" s="2"/>
      <c r="M51" s="2"/>
      <c r="N51" s="2"/>
      <c r="O51" s="2"/>
      <c r="Q51" s="2">
        <f>SUM(OSRRefD11_40x)+IFERROR(SUM(OSRRefE11_40x),0)</f>
        <v>80.710000000000008</v>
      </c>
    </row>
    <row r="52" spans="1:17" s="9" customFormat="1" hidden="1" outlineLevel="1" x14ac:dyDescent="0.25">
      <c r="A52" s="22"/>
      <c r="B52" s="13" t="str">
        <f>CONCATENATE("          ","4134", " - ","NON-TAXABLE SALES-SODA")</f>
        <v xml:space="preserve">          4134 - NON-TAXABLE SALES-SODA</v>
      </c>
      <c r="C52" s="23"/>
      <c r="D52" s="2">
        <f>--45.53</f>
        <v>45.53</v>
      </c>
      <c r="E52" s="2">
        <f t="shared" ref="E52:E53" si="12">0</f>
        <v>0</v>
      </c>
      <c r="F52" s="2">
        <f t="shared" si="11"/>
        <v>0</v>
      </c>
      <c r="G52" s="2">
        <f t="shared" si="10"/>
        <v>0</v>
      </c>
      <c r="H52" s="2"/>
      <c r="I52" s="2"/>
      <c r="J52" s="2"/>
      <c r="K52" s="2"/>
      <c r="L52" s="2"/>
      <c r="M52" s="2"/>
      <c r="N52" s="2"/>
      <c r="O52" s="2"/>
      <c r="Q52" s="2">
        <f>SUM(OSRRefD11_41x)+IFERROR(SUM(OSRRefE11_41x),0)</f>
        <v>45.53</v>
      </c>
    </row>
    <row r="53" spans="1:17" s="9" customFormat="1" hidden="1" outlineLevel="1" x14ac:dyDescent="0.25">
      <c r="A53" s="22"/>
      <c r="B53" s="13" t="str">
        <f>CONCATENATE("          ","4137", " - ","NON-TAXABLE SALES-WATER")</f>
        <v xml:space="preserve">          4137 - NON-TAXABLE SALES-WATER</v>
      </c>
      <c r="C53" s="23"/>
      <c r="D53" s="2">
        <f>--68.25</f>
        <v>68.25</v>
      </c>
      <c r="E53" s="2">
        <f t="shared" si="12"/>
        <v>0</v>
      </c>
      <c r="F53" s="2">
        <f t="shared" si="11"/>
        <v>0</v>
      </c>
      <c r="G53" s="2">
        <f t="shared" si="10"/>
        <v>0</v>
      </c>
      <c r="H53" s="2"/>
      <c r="I53" s="2"/>
      <c r="J53" s="2"/>
      <c r="K53" s="2"/>
      <c r="L53" s="2"/>
      <c r="M53" s="2"/>
      <c r="N53" s="2"/>
      <c r="O53" s="2"/>
      <c r="Q53" s="2">
        <f>SUM(OSRRefD11_42x)+IFERROR(SUM(OSRRefE11_42x),0)</f>
        <v>68.25</v>
      </c>
    </row>
    <row r="54" spans="1:17" s="9" customFormat="1" hidden="1" outlineLevel="1" x14ac:dyDescent="0.25">
      <c r="A54" s="22"/>
      <c r="B54" s="13" t="str">
        <f>CONCATENATE("          ","4140", " - ","NON-TAXABLE SALES-LOGO CLOTHIN")</f>
        <v xml:space="preserve">          4140 - NON-TAXABLE SALES-LOGO CLOTHIN</v>
      </c>
      <c r="C54" s="23"/>
      <c r="D54" s="2">
        <f>--6846.24</f>
        <v>6846.24</v>
      </c>
      <c r="E54" s="2">
        <f>--7266.5</f>
        <v>7266.5</v>
      </c>
      <c r="F54" s="2">
        <f>--3339.7</f>
        <v>3339.7</v>
      </c>
      <c r="G54" s="2">
        <f>--13163.04</f>
        <v>13163.04</v>
      </c>
      <c r="H54" s="2"/>
      <c r="I54" s="2"/>
      <c r="J54" s="2"/>
      <c r="K54" s="2"/>
      <c r="L54" s="2"/>
      <c r="M54" s="2"/>
      <c r="N54" s="2"/>
      <c r="O54" s="2"/>
      <c r="Q54" s="2">
        <f>SUM(OSRRefD11_43x)+IFERROR(SUM(OSRRefE11_43x),0)</f>
        <v>30615.48</v>
      </c>
    </row>
    <row r="55" spans="1:17" s="9" customFormat="1" hidden="1" outlineLevel="1" x14ac:dyDescent="0.25">
      <c r="A55" s="22"/>
      <c r="B55" s="13" t="str">
        <f>CONCATENATE("          ","4141", " - ","NON-TAXABLE SALES-LOGO GIFTS")</f>
        <v xml:space="preserve">          4141 - NON-TAXABLE SALES-LOGO GIFTS</v>
      </c>
      <c r="C55" s="23"/>
      <c r="D55" s="2">
        <f>--1200.19</f>
        <v>1200.19</v>
      </c>
      <c r="E55" s="2">
        <f>--1189.06</f>
        <v>1189.06</v>
      </c>
      <c r="F55" s="2">
        <f>--555.74</f>
        <v>555.74</v>
      </c>
      <c r="G55" s="2">
        <f>--437.71</f>
        <v>437.71</v>
      </c>
      <c r="H55" s="2"/>
      <c r="I55" s="2"/>
      <c r="J55" s="2"/>
      <c r="K55" s="2"/>
      <c r="L55" s="2"/>
      <c r="M55" s="2"/>
      <c r="N55" s="2"/>
      <c r="O55" s="2"/>
      <c r="Q55" s="2">
        <f>SUM(OSRRefD11_44x)+IFERROR(SUM(OSRRefE11_44x),0)</f>
        <v>3382.7</v>
      </c>
    </row>
    <row r="56" spans="1:17" s="9" customFormat="1" hidden="1" outlineLevel="1" x14ac:dyDescent="0.25">
      <c r="A56" s="22"/>
      <c r="B56" s="13" t="str">
        <f>CONCATENATE("          ","4142", " - ","NON-TAXABLE SALES-EVERYDAY GIF")</f>
        <v xml:space="preserve">          4142 - NON-TAXABLE SALES-EVERYDAY GIF</v>
      </c>
      <c r="C56" s="23"/>
      <c r="D56" s="2">
        <f>--640.17</f>
        <v>640.16999999999996</v>
      </c>
      <c r="E56" s="2">
        <f>--339.4</f>
        <v>339.4</v>
      </c>
      <c r="F56" s="2">
        <f>--30.16</f>
        <v>30.16</v>
      </c>
      <c r="G56" s="2">
        <f>--310.68</f>
        <v>310.68</v>
      </c>
      <c r="H56" s="2"/>
      <c r="I56" s="2"/>
      <c r="J56" s="2"/>
      <c r="K56" s="2"/>
      <c r="L56" s="2"/>
      <c r="M56" s="2"/>
      <c r="N56" s="2"/>
      <c r="O56" s="2"/>
      <c r="Q56" s="2">
        <f>SUM(OSRRefD11_45x)+IFERROR(SUM(OSRRefE11_45x),0)</f>
        <v>1320.4099999999999</v>
      </c>
    </row>
    <row r="57" spans="1:17" s="9" customFormat="1" hidden="1" outlineLevel="1" x14ac:dyDescent="0.25">
      <c r="A57" s="22"/>
      <c r="B57" s="13" t="str">
        <f>CONCATENATE("          ","4143", " - ","NON-TAXABLE SALES-CARDS")</f>
        <v xml:space="preserve">          4143 - NON-TAXABLE SALES-CARDS</v>
      </c>
      <c r="C57" s="23"/>
      <c r="D57" s="2">
        <f>0</f>
        <v>0</v>
      </c>
      <c r="E57" s="2">
        <f>--19.98</f>
        <v>19.98</v>
      </c>
      <c r="F57" s="2">
        <f>0</f>
        <v>0</v>
      </c>
      <c r="G57" s="2">
        <f>--9.99</f>
        <v>9.99</v>
      </c>
      <c r="H57" s="2"/>
      <c r="I57" s="2"/>
      <c r="J57" s="2"/>
      <c r="K57" s="2"/>
      <c r="L57" s="2"/>
      <c r="M57" s="2"/>
      <c r="N57" s="2"/>
      <c r="O57" s="2"/>
      <c r="Q57" s="2">
        <f>SUM(OSRRefD11_46x)+IFERROR(SUM(OSRRefE11_46x),0)</f>
        <v>29.97</v>
      </c>
    </row>
    <row r="58" spans="1:17" s="9" customFormat="1" hidden="1" outlineLevel="1" x14ac:dyDescent="0.25">
      <c r="A58" s="22"/>
      <c r="B58" s="13" t="str">
        <f>CONCATENATE("          ","4144", " - ","NON-TAXABLE SALES-ACCESSORIES")</f>
        <v xml:space="preserve">          4144 - NON-TAXABLE SALES-ACCESSORIES</v>
      </c>
      <c r="C58" s="23"/>
      <c r="D58" s="2">
        <f>--47.85</f>
        <v>47.85</v>
      </c>
      <c r="E58" s="2">
        <f>--107.95</f>
        <v>107.95</v>
      </c>
      <c r="F58" s="2">
        <f>--59.95</f>
        <v>59.95</v>
      </c>
      <c r="G58" s="2">
        <f>--154</f>
        <v>154</v>
      </c>
      <c r="H58" s="2"/>
      <c r="I58" s="2"/>
      <c r="J58" s="2"/>
      <c r="K58" s="2"/>
      <c r="L58" s="2"/>
      <c r="M58" s="2"/>
      <c r="N58" s="2"/>
      <c r="O58" s="2"/>
      <c r="Q58" s="2">
        <f>SUM(OSRRefD11_47x)+IFERROR(SUM(OSRRefE11_47x),0)</f>
        <v>369.75</v>
      </c>
    </row>
    <row r="59" spans="1:17" s="9" customFormat="1" hidden="1" outlineLevel="1" x14ac:dyDescent="0.25">
      <c r="A59" s="22"/>
      <c r="B59" s="13" t="str">
        <f>CONCATENATE("          ","4145", " - ","NON-TAXABLE SALES-SPECIAL ORDE")</f>
        <v xml:space="preserve">          4145 - NON-TAXABLE SALES-SPECIAL ORDE</v>
      </c>
      <c r="C59" s="23"/>
      <c r="D59" s="2">
        <f>--35496</f>
        <v>35496</v>
      </c>
      <c r="E59" s="2">
        <f>--350</f>
        <v>350</v>
      </c>
      <c r="F59" s="2">
        <f t="shared" ref="F59:G59" si="13">0</f>
        <v>0</v>
      </c>
      <c r="G59" s="2">
        <f t="shared" si="13"/>
        <v>0</v>
      </c>
      <c r="H59" s="2"/>
      <c r="I59" s="2"/>
      <c r="J59" s="2"/>
      <c r="K59" s="2"/>
      <c r="L59" s="2"/>
      <c r="M59" s="2"/>
      <c r="N59" s="2"/>
      <c r="O59" s="2"/>
      <c r="Q59" s="2">
        <f>SUM(OSRRefD11_48x)+IFERROR(SUM(OSRRefE11_48x),0)</f>
        <v>35846</v>
      </c>
    </row>
    <row r="60" spans="1:17" s="9" customFormat="1" hidden="1" outlineLevel="1" x14ac:dyDescent="0.25">
      <c r="A60" s="22"/>
      <c r="B60" s="13" t="str">
        <f>CONCATENATE("          ","4146", " - ","NON-TAXABLE SALES-COIN OP MACH")</f>
        <v xml:space="preserve">          4146 - NON-TAXABLE SALES-COIN OP MACH</v>
      </c>
      <c r="C60" s="23"/>
      <c r="D60" s="2">
        <f>0</f>
        <v>0</v>
      </c>
      <c r="E60" s="2">
        <f>--15.5</f>
        <v>15.5</v>
      </c>
      <c r="F60" s="2">
        <f>--49.7</f>
        <v>49.7</v>
      </c>
      <c r="G60" s="2">
        <f>--21.3</f>
        <v>21.3</v>
      </c>
      <c r="H60" s="2"/>
      <c r="I60" s="2"/>
      <c r="J60" s="2"/>
      <c r="K60" s="2"/>
      <c r="L60" s="2"/>
      <c r="M60" s="2"/>
      <c r="N60" s="2"/>
      <c r="O60" s="2"/>
      <c r="Q60" s="2">
        <f>SUM(OSRRefD11_49x)+IFERROR(SUM(OSRRefE11_49x),0)</f>
        <v>86.5</v>
      </c>
    </row>
    <row r="61" spans="1:17" s="9" customFormat="1" hidden="1" outlineLevel="1" x14ac:dyDescent="0.25">
      <c r="A61" s="22"/>
      <c r="B61" s="13" t="str">
        <f>CONCATENATE("          ","4147", " - ","NON-TAXABLE SALES-MISC")</f>
        <v xml:space="preserve">          4147 - NON-TAXABLE SALES-MISC</v>
      </c>
      <c r="C61" s="23"/>
      <c r="D61" s="2">
        <f>--1</f>
        <v>1</v>
      </c>
      <c r="E61" s="2">
        <f>--23</f>
        <v>23</v>
      </c>
      <c r="F61" s="2">
        <f>--24</f>
        <v>24</v>
      </c>
      <c r="G61" s="2">
        <f>--38.5</f>
        <v>38.5</v>
      </c>
      <c r="H61" s="2"/>
      <c r="I61" s="2"/>
      <c r="J61" s="2"/>
      <c r="K61" s="2"/>
      <c r="L61" s="2"/>
      <c r="M61" s="2"/>
      <c r="N61" s="2"/>
      <c r="O61" s="2"/>
      <c r="Q61" s="2">
        <f>SUM(OSRRefD11_50x)+IFERROR(SUM(OSRRefE11_50x),0)</f>
        <v>86.5</v>
      </c>
    </row>
    <row r="62" spans="1:17" s="9" customFormat="1" hidden="1" outlineLevel="1" x14ac:dyDescent="0.25">
      <c r="A62" s="22"/>
      <c r="B62" s="13" t="str">
        <f>CONCATENATE("          ","4151", " - ","NON-TAXABLE SALES-FOOD")</f>
        <v xml:space="preserve">          4151 - NON-TAXABLE SALES-FOOD</v>
      </c>
      <c r="C62" s="23"/>
      <c r="D62" s="2">
        <f>--1300</f>
        <v>1300</v>
      </c>
      <c r="E62" s="2">
        <f>--42758.9</f>
        <v>42758.9</v>
      </c>
      <c r="F62" s="2">
        <f>--223549.77</f>
        <v>223549.77</v>
      </c>
      <c r="G62" s="2">
        <f>--173820.37</f>
        <v>173820.37</v>
      </c>
      <c r="H62" s="2"/>
      <c r="I62" s="2"/>
      <c r="J62" s="2"/>
      <c r="K62" s="2"/>
      <c r="L62" s="2"/>
      <c r="M62" s="2"/>
      <c r="N62" s="2"/>
      <c r="O62" s="2"/>
      <c r="Q62" s="2">
        <f>SUM(OSRRefD11_51x)+IFERROR(SUM(OSRRefE11_51x),0)</f>
        <v>441429.04</v>
      </c>
    </row>
    <row r="63" spans="1:17" s="9" customFormat="1" hidden="1" outlineLevel="1" x14ac:dyDescent="0.25">
      <c r="A63" s="22"/>
      <c r="B63" s="13" t="str">
        <f>CONCATENATE("          ","4153", " - ","NON-TAXABLE SALES-FOOD")</f>
        <v xml:space="preserve">          4153 - NON-TAXABLE SALES-FOOD</v>
      </c>
      <c r="C63" s="23"/>
      <c r="D63" s="2">
        <f>--17828.03</f>
        <v>17828.03</v>
      </c>
      <c r="E63" s="2">
        <f>--9247.39</f>
        <v>9247.39</v>
      </c>
      <c r="F63" s="2">
        <f>--3278.36</f>
        <v>3278.36</v>
      </c>
      <c r="G63" s="2">
        <f>-14477.2</f>
        <v>-14477.2</v>
      </c>
      <c r="H63" s="2"/>
      <c r="I63" s="2"/>
      <c r="J63" s="2"/>
      <c r="K63" s="2"/>
      <c r="L63" s="2"/>
      <c r="M63" s="2"/>
      <c r="N63" s="2"/>
      <c r="O63" s="2"/>
      <c r="Q63" s="2">
        <f>SUM(OSRRefD11_52x)+IFERROR(SUM(OSRRefE11_52x),0)</f>
        <v>15876.579999999998</v>
      </c>
    </row>
    <row r="64" spans="1:17" s="9" customFormat="1" hidden="1" outlineLevel="1" x14ac:dyDescent="0.25">
      <c r="A64" s="22"/>
      <c r="B64" s="13" t="str">
        <f>CONCATENATE("          ","4181", " - ","NON-TAXABLE SALES-ELECTRONICS")</f>
        <v xml:space="preserve">          4181 - NON-TAXABLE SALES-ELECTRONICS</v>
      </c>
      <c r="C64" s="23"/>
      <c r="D64" s="2">
        <f>--289.98</f>
        <v>289.98</v>
      </c>
      <c r="E64" s="2">
        <f>--2349.29</f>
        <v>2349.29</v>
      </c>
      <c r="F64" s="2">
        <f>--669.89</f>
        <v>669.89</v>
      </c>
      <c r="G64" s="2">
        <f>--194.97</f>
        <v>194.97</v>
      </c>
      <c r="H64" s="2"/>
      <c r="I64" s="2"/>
      <c r="J64" s="2"/>
      <c r="K64" s="2"/>
      <c r="L64" s="2"/>
      <c r="M64" s="2"/>
      <c r="N64" s="2"/>
      <c r="O64" s="2"/>
      <c r="Q64" s="2">
        <f>SUM(OSRRefD11_53x)+IFERROR(SUM(OSRRefE11_53x),0)</f>
        <v>3504.1299999999997</v>
      </c>
    </row>
    <row r="65" spans="1:17" s="9" customFormat="1" hidden="1" outlineLevel="1" x14ac:dyDescent="0.25">
      <c r="A65" s="22"/>
      <c r="B65" s="13" t="str">
        <f>CONCATENATE("          ","4182", " - ","NON-TAXABLE SALES-COMPUTER HAR")</f>
        <v xml:space="preserve">          4182 - NON-TAXABLE SALES-COMPUTER HAR</v>
      </c>
      <c r="C65" s="23"/>
      <c r="D65" s="2">
        <f>--35876.99</f>
        <v>35876.99</v>
      </c>
      <c r="E65" s="2">
        <f>--46190.39</f>
        <v>46190.39</v>
      </c>
      <c r="F65" s="2">
        <f>--38657</f>
        <v>38657</v>
      </c>
      <c r="G65" s="2">
        <f>--24570</f>
        <v>24570</v>
      </c>
      <c r="H65" s="2"/>
      <c r="I65" s="2"/>
      <c r="J65" s="2"/>
      <c r="K65" s="2"/>
      <c r="L65" s="2"/>
      <c r="M65" s="2"/>
      <c r="N65" s="2"/>
      <c r="O65" s="2"/>
      <c r="Q65" s="2">
        <f>SUM(OSRRefD11_54x)+IFERROR(SUM(OSRRefE11_54x),0)</f>
        <v>145294.38</v>
      </c>
    </row>
    <row r="66" spans="1:17" s="9" customFormat="1" hidden="1" outlineLevel="1" x14ac:dyDescent="0.25">
      <c r="A66" s="22"/>
      <c r="B66" s="13" t="str">
        <f>CONCATENATE("          ","4183", " - ","NON-TAXABLE SALES-COMPUTER EQU")</f>
        <v xml:space="preserve">          4183 - NON-TAXABLE SALES-COMPUTER EQU</v>
      </c>
      <c r="C66" s="23"/>
      <c r="D66" s="2">
        <f>--1359.85</f>
        <v>1359.85</v>
      </c>
      <c r="E66" s="2">
        <f>--1759.83</f>
        <v>1759.83</v>
      </c>
      <c r="F66" s="2">
        <f>--1946.8</f>
        <v>1946.8</v>
      </c>
      <c r="G66" s="2">
        <f>--1269.91</f>
        <v>1269.9100000000001</v>
      </c>
      <c r="H66" s="2"/>
      <c r="I66" s="2"/>
      <c r="J66" s="2"/>
      <c r="K66" s="2"/>
      <c r="L66" s="2"/>
      <c r="M66" s="2"/>
      <c r="N66" s="2"/>
      <c r="O66" s="2"/>
      <c r="Q66" s="2">
        <f>SUM(OSRRefD11_55x)+IFERROR(SUM(OSRRefE11_55x),0)</f>
        <v>6336.3899999999994</v>
      </c>
    </row>
    <row r="67" spans="1:17" s="9" customFormat="1" hidden="1" outlineLevel="1" x14ac:dyDescent="0.25">
      <c r="A67" s="22"/>
      <c r="B67" s="13" t="str">
        <f>CONCATENATE("          ","4185", " - ","NON-TAXABLE SALES-SOFTWARE")</f>
        <v xml:space="preserve">          4185 - NON-TAXABLE SALES-SOFTWARE</v>
      </c>
      <c r="C67" s="23"/>
      <c r="D67" s="2">
        <f>--6187.74</f>
        <v>6187.74</v>
      </c>
      <c r="E67" s="2">
        <f>--4610.75</f>
        <v>4610.75</v>
      </c>
      <c r="F67" s="2">
        <f>--8427.6</f>
        <v>8427.6</v>
      </c>
      <c r="G67" s="2">
        <f>--4590.76</f>
        <v>4590.76</v>
      </c>
      <c r="H67" s="2"/>
      <c r="I67" s="2"/>
      <c r="J67" s="2"/>
      <c r="K67" s="2"/>
      <c r="L67" s="2"/>
      <c r="M67" s="2"/>
      <c r="N67" s="2"/>
      <c r="O67" s="2"/>
      <c r="Q67" s="2">
        <f>SUM(OSRRefD11_56x)+IFERROR(SUM(OSRRefE11_56x),0)</f>
        <v>23816.85</v>
      </c>
    </row>
    <row r="68" spans="1:17" s="9" customFormat="1" hidden="1" outlineLevel="1" x14ac:dyDescent="0.25">
      <c r="A68" s="22"/>
      <c r="B68" s="13" t="str">
        <f>CONCATENATE("          ","4186", " - ","NON-TAXABLE SALES-COMPUTER SUP")</f>
        <v xml:space="preserve">          4186 - NON-TAXABLE SALES-COMPUTER SUP</v>
      </c>
      <c r="C68" s="23"/>
      <c r="D68" s="2">
        <f>--154.95</f>
        <v>154.94999999999999</v>
      </c>
      <c r="E68" s="2">
        <f>--257.95</f>
        <v>257.95</v>
      </c>
      <c r="F68" s="2">
        <f>--460.89</f>
        <v>460.89</v>
      </c>
      <c r="G68" s="2">
        <f>--855.98</f>
        <v>855.98</v>
      </c>
      <c r="H68" s="2"/>
      <c r="I68" s="2"/>
      <c r="J68" s="2"/>
      <c r="K68" s="2"/>
      <c r="L68" s="2"/>
      <c r="M68" s="2"/>
      <c r="N68" s="2"/>
      <c r="O68" s="2"/>
      <c r="Q68" s="2">
        <f>SUM(OSRRefD11_57x)+IFERROR(SUM(OSRRefE11_57x),0)</f>
        <v>1729.77</v>
      </c>
    </row>
    <row r="69" spans="1:17" s="9" customFormat="1" hidden="1" outlineLevel="1" x14ac:dyDescent="0.25">
      <c r="A69" s="22"/>
      <c r="B69" s="13" t="str">
        <f>CONCATENATE("          ","4201", " - ","SALES RETURN TAXABLE-NEW TEXT")</f>
        <v xml:space="preserve">          4201 - SALES RETURN TAXABLE-NEW TEXT</v>
      </c>
      <c r="C69" s="23"/>
      <c r="D69" s="2">
        <f>-633.4</f>
        <v>-633.4</v>
      </c>
      <c r="E69" s="2">
        <f>-18222.39</f>
        <v>-18222.39</v>
      </c>
      <c r="F69" s="2">
        <f>-13393.2</f>
        <v>-13393.2</v>
      </c>
      <c r="G69" s="2">
        <f>-1512.25</f>
        <v>-1512.25</v>
      </c>
      <c r="H69" s="2"/>
      <c r="I69" s="2"/>
      <c r="J69" s="2"/>
      <c r="K69" s="2"/>
      <c r="L69" s="2"/>
      <c r="M69" s="2"/>
      <c r="N69" s="2"/>
      <c r="O69" s="2"/>
      <c r="Q69" s="2">
        <f>SUM(OSRRefD11_58x)+IFERROR(SUM(OSRRefE11_58x),0)</f>
        <v>-33761.240000000005</v>
      </c>
    </row>
    <row r="70" spans="1:17" s="9" customFormat="1" hidden="1" outlineLevel="1" x14ac:dyDescent="0.25">
      <c r="A70" s="22"/>
      <c r="B70" s="13" t="str">
        <f>CONCATENATE("          ","4202", " - ","SALES RETURN TAXABLE-USED TEXT")</f>
        <v xml:space="preserve">          4202 - SALES RETURN TAXABLE-USED TEXT</v>
      </c>
      <c r="C70" s="23"/>
      <c r="D70" s="2">
        <f>-178.35</f>
        <v>-178.35</v>
      </c>
      <c r="E70" s="2">
        <f>-8869.4</f>
        <v>-8869.4</v>
      </c>
      <c r="F70" s="2">
        <f>-1345.2</f>
        <v>-1345.2</v>
      </c>
      <c r="G70" s="2">
        <f>-136.05</f>
        <v>-136.05000000000001</v>
      </c>
      <c r="H70" s="2"/>
      <c r="I70" s="2"/>
      <c r="J70" s="2"/>
      <c r="K70" s="2"/>
      <c r="L70" s="2"/>
      <c r="M70" s="2"/>
      <c r="N70" s="2"/>
      <c r="O70" s="2"/>
      <c r="Q70" s="2">
        <f>SUM(OSRRefD11_59x)+IFERROR(SUM(OSRRefE11_59x),0)</f>
        <v>-10529</v>
      </c>
    </row>
    <row r="71" spans="1:17" s="9" customFormat="1" hidden="1" outlineLevel="1" x14ac:dyDescent="0.25">
      <c r="A71" s="22"/>
      <c r="B71" s="13" t="str">
        <f>CONCATENATE("          ","4204", " - ","SALES RETURN TAXABLE-DIGITAL T")</f>
        <v xml:space="preserve">          4204 - SALES RETURN TAXABLE-DIGITAL T</v>
      </c>
      <c r="C71" s="23"/>
      <c r="D71" s="2">
        <f>0</f>
        <v>0</v>
      </c>
      <c r="E71" s="2">
        <f>-1141.08</f>
        <v>-1141.08</v>
      </c>
      <c r="F71" s="2">
        <f>-105.87</f>
        <v>-105.87</v>
      </c>
      <c r="G71" s="2">
        <f>-383.9</f>
        <v>-383.9</v>
      </c>
      <c r="H71" s="2"/>
      <c r="I71" s="2"/>
      <c r="J71" s="2"/>
      <c r="K71" s="2"/>
      <c r="L71" s="2"/>
      <c r="M71" s="2"/>
      <c r="N71" s="2"/>
      <c r="O71" s="2"/>
      <c r="Q71" s="2">
        <f>SUM(OSRRefD11_60x)+IFERROR(SUM(OSRRefE11_60x),0)</f>
        <v>-1630.85</v>
      </c>
    </row>
    <row r="72" spans="1:17" s="9" customFormat="1" hidden="1" outlineLevel="1" x14ac:dyDescent="0.25">
      <c r="A72" s="22"/>
      <c r="B72" s="13" t="str">
        <f>CONCATENATE("          ","4226", " - ","SALES RETURN TAXABLE-WRITING I")</f>
        <v xml:space="preserve">          4226 - SALES RETURN TAXABLE-WRITING I</v>
      </c>
      <c r="C72" s="23"/>
      <c r="D72" s="2">
        <f>-6.38</f>
        <v>-6.38</v>
      </c>
      <c r="E72" s="2">
        <f>0</f>
        <v>0</v>
      </c>
      <c r="F72" s="2">
        <f>-22.49</f>
        <v>-22.49</v>
      </c>
      <c r="G72" s="2">
        <f>-5.36</f>
        <v>-5.36</v>
      </c>
      <c r="H72" s="2"/>
      <c r="I72" s="2"/>
      <c r="J72" s="2"/>
      <c r="K72" s="2"/>
      <c r="L72" s="2"/>
      <c r="M72" s="2"/>
      <c r="N72" s="2"/>
      <c r="O72" s="2"/>
      <c r="Q72" s="2">
        <f>SUM(OSRRefD11_61x)+IFERROR(SUM(OSRRefE11_61x),0)</f>
        <v>-34.229999999999997</v>
      </c>
    </row>
    <row r="73" spans="1:17" s="9" customFormat="1" hidden="1" outlineLevel="1" x14ac:dyDescent="0.25">
      <c r="A73" s="22"/>
      <c r="B73" s="13" t="str">
        <f>CONCATENATE("          ","4227", " - ","SALES RETURN TAXABLE-SCHOOL SU")</f>
        <v xml:space="preserve">          4227 - SALES RETURN TAXABLE-SCHOOL SU</v>
      </c>
      <c r="C73" s="23"/>
      <c r="D73" s="2">
        <f>-56.77</f>
        <v>-56.77</v>
      </c>
      <c r="E73" s="2">
        <f>-359.61</f>
        <v>-359.61</v>
      </c>
      <c r="F73" s="2">
        <f>-152.29</f>
        <v>-152.29</v>
      </c>
      <c r="G73" s="2">
        <f>-9.99</f>
        <v>-9.99</v>
      </c>
      <c r="H73" s="2"/>
      <c r="I73" s="2"/>
      <c r="J73" s="2"/>
      <c r="K73" s="2"/>
      <c r="L73" s="2"/>
      <c r="M73" s="2"/>
      <c r="N73" s="2"/>
      <c r="O73" s="2"/>
      <c r="Q73" s="2">
        <f>SUM(OSRRefD11_62x)+IFERROR(SUM(OSRRefE11_62x),0)</f>
        <v>-578.66</v>
      </c>
    </row>
    <row r="74" spans="1:17" s="9" customFormat="1" hidden="1" outlineLevel="1" x14ac:dyDescent="0.25">
      <c r="A74" s="22"/>
      <c r="B74" s="13" t="str">
        <f>CONCATENATE("          ","4228", " - ","SALES RETURN TAXABLE-ART/TECH")</f>
        <v xml:space="preserve">          4228 - SALES RETURN TAXABLE-ART/TECH</v>
      </c>
      <c r="C74" s="23"/>
      <c r="D74" s="2">
        <f>0</f>
        <v>0</v>
      </c>
      <c r="E74" s="2">
        <f>-164.44</f>
        <v>-164.44</v>
      </c>
      <c r="F74" s="2">
        <f>-57.76</f>
        <v>-57.76</v>
      </c>
      <c r="G74" s="2">
        <f>0</f>
        <v>0</v>
      </c>
      <c r="H74" s="2"/>
      <c r="I74" s="2"/>
      <c r="J74" s="2"/>
      <c r="K74" s="2"/>
      <c r="L74" s="2"/>
      <c r="M74" s="2"/>
      <c r="N74" s="2"/>
      <c r="O74" s="2"/>
      <c r="Q74" s="2">
        <f>SUM(OSRRefD11_63x)+IFERROR(SUM(OSRRefE11_63x),0)</f>
        <v>-222.2</v>
      </c>
    </row>
    <row r="75" spans="1:17" s="9" customFormat="1" hidden="1" outlineLevel="1" x14ac:dyDescent="0.25">
      <c r="A75" s="22"/>
      <c r="B75" s="13" t="str">
        <f>CONCATENATE("          ","4240", " - ","SALES RETURN TAXABLE-LOGO CLOT")</f>
        <v xml:space="preserve">          4240 - SALES RETURN TAXABLE-LOGO CLOT</v>
      </c>
      <c r="C75" s="23"/>
      <c r="D75" s="2">
        <f>-3368.1</f>
        <v>-3368.1</v>
      </c>
      <c r="E75" s="2">
        <f>-4788.72</f>
        <v>-4788.72</v>
      </c>
      <c r="F75" s="2">
        <f>-3453.14</f>
        <v>-3453.14</v>
      </c>
      <c r="G75" s="2">
        <f>-2239.56</f>
        <v>-2239.56</v>
      </c>
      <c r="H75" s="2"/>
      <c r="I75" s="2"/>
      <c r="J75" s="2"/>
      <c r="K75" s="2"/>
      <c r="L75" s="2"/>
      <c r="M75" s="2"/>
      <c r="N75" s="2"/>
      <c r="O75" s="2"/>
      <c r="Q75" s="2">
        <f>SUM(OSRRefD11_64x)+IFERROR(SUM(OSRRefE11_64x),0)</f>
        <v>-13849.519999999999</v>
      </c>
    </row>
    <row r="76" spans="1:17" s="9" customFormat="1" hidden="1" outlineLevel="1" x14ac:dyDescent="0.25">
      <c r="A76" s="22"/>
      <c r="B76" s="13" t="str">
        <f>CONCATENATE("          ","4241", " - ","SALES RETURN TAXABLE-LOGO GIFT")</f>
        <v xml:space="preserve">          4241 - SALES RETURN TAXABLE-LOGO GIFT</v>
      </c>
      <c r="C76" s="23"/>
      <c r="D76" s="2">
        <f>-341.98</f>
        <v>-341.98</v>
      </c>
      <c r="E76" s="2">
        <f>-986.21</f>
        <v>-986.21</v>
      </c>
      <c r="F76" s="2">
        <f>-988.92</f>
        <v>-988.92</v>
      </c>
      <c r="G76" s="2">
        <f>-379.45</f>
        <v>-379.45</v>
      </c>
      <c r="H76" s="2"/>
      <c r="I76" s="2"/>
      <c r="J76" s="2"/>
      <c r="K76" s="2"/>
      <c r="L76" s="2"/>
      <c r="M76" s="2"/>
      <c r="N76" s="2"/>
      <c r="O76" s="2"/>
      <c r="Q76" s="2">
        <f>SUM(OSRRefD11_65x)+IFERROR(SUM(OSRRefE11_65x),0)</f>
        <v>-2696.56</v>
      </c>
    </row>
    <row r="77" spans="1:17" s="9" customFormat="1" hidden="1" outlineLevel="1" x14ac:dyDescent="0.25">
      <c r="A77" s="22"/>
      <c r="B77" s="13" t="str">
        <f>CONCATENATE("          ","4242", " - ","SALES RETURN TAXABLE-EVERYDAY")</f>
        <v xml:space="preserve">          4242 - SALES RETURN TAXABLE-EVERYDAY</v>
      </c>
      <c r="C77" s="23"/>
      <c r="D77" s="2">
        <f>-178.96</f>
        <v>-178.96</v>
      </c>
      <c r="E77" s="2">
        <f>-470.53</f>
        <v>-470.53</v>
      </c>
      <c r="F77" s="2">
        <f>-405.07</f>
        <v>-405.07</v>
      </c>
      <c r="G77" s="2">
        <f>-266.95</f>
        <v>-266.95</v>
      </c>
      <c r="H77" s="2"/>
      <c r="I77" s="2"/>
      <c r="J77" s="2"/>
      <c r="K77" s="2"/>
      <c r="L77" s="2"/>
      <c r="M77" s="2"/>
      <c r="N77" s="2"/>
      <c r="O77" s="2"/>
      <c r="Q77" s="2">
        <f>SUM(OSRRefD11_66x)+IFERROR(SUM(OSRRefE11_66x),0)</f>
        <v>-1321.51</v>
      </c>
    </row>
    <row r="78" spans="1:17" s="9" customFormat="1" hidden="1" outlineLevel="1" x14ac:dyDescent="0.25">
      <c r="A78" s="22"/>
      <c r="B78" s="13" t="str">
        <f>CONCATENATE("          ","4243", " - ","SALES RETURN TAXABLE-CARDS")</f>
        <v xml:space="preserve">          4243 - SALES RETURN TAXABLE-CARDS</v>
      </c>
      <c r="C78" s="23"/>
      <c r="D78" s="2">
        <f t="shared" ref="D78:D79" si="14">0</f>
        <v>0</v>
      </c>
      <c r="E78" s="2">
        <f>-93.43</f>
        <v>-93.43</v>
      </c>
      <c r="F78" s="2">
        <f>-59.94</f>
        <v>-59.94</v>
      </c>
      <c r="G78" s="2">
        <f>-829.55</f>
        <v>-829.55</v>
      </c>
      <c r="H78" s="2"/>
      <c r="I78" s="2"/>
      <c r="J78" s="2"/>
      <c r="K78" s="2"/>
      <c r="L78" s="2"/>
      <c r="M78" s="2"/>
      <c r="N78" s="2"/>
      <c r="O78" s="2"/>
      <c r="Q78" s="2">
        <f>SUM(OSRRefD11_67x)+IFERROR(SUM(OSRRefE11_67x),0)</f>
        <v>-982.92</v>
      </c>
    </row>
    <row r="79" spans="1:17" s="9" customFormat="1" hidden="1" outlineLevel="1" x14ac:dyDescent="0.25">
      <c r="A79" s="22"/>
      <c r="B79" s="13" t="str">
        <f>CONCATENATE("          ","4244", " - ","SALES RETURN TAXABLE-ACCESSORI")</f>
        <v xml:space="preserve">          4244 - SALES RETURN TAXABLE-ACCESSORI</v>
      </c>
      <c r="C79" s="23"/>
      <c r="D79" s="2">
        <f t="shared" si="14"/>
        <v>0</v>
      </c>
      <c r="E79" s="2">
        <f>-350.99</f>
        <v>-350.99</v>
      </c>
      <c r="F79" s="2">
        <f>-60</f>
        <v>-60</v>
      </c>
      <c r="G79" s="2">
        <f>0</f>
        <v>0</v>
      </c>
      <c r="H79" s="2"/>
      <c r="I79" s="2"/>
      <c r="J79" s="2"/>
      <c r="K79" s="2"/>
      <c r="L79" s="2"/>
      <c r="M79" s="2"/>
      <c r="N79" s="2"/>
      <c r="O79" s="2"/>
      <c r="Q79" s="2">
        <f>SUM(OSRRefD11_68x)+IFERROR(SUM(OSRRefE11_68x),0)</f>
        <v>-410.99</v>
      </c>
    </row>
    <row r="80" spans="1:17" s="9" customFormat="1" hidden="1" outlineLevel="1" x14ac:dyDescent="0.25">
      <c r="A80" s="22"/>
      <c r="B80" s="13" t="str">
        <f>CONCATENATE("          ","4245", " - ","SALES RETURN TAXABLE-SPECIAL O")</f>
        <v xml:space="preserve">          4245 - SALES RETURN TAXABLE-SPECIAL O</v>
      </c>
      <c r="C80" s="23"/>
      <c r="D80" s="2">
        <f>-1121</f>
        <v>-1121</v>
      </c>
      <c r="E80" s="2">
        <f>-57.96</f>
        <v>-57.96</v>
      </c>
      <c r="F80" s="2">
        <f>-3.99</f>
        <v>-3.99</v>
      </c>
      <c r="G80" s="2">
        <f>-363.98</f>
        <v>-363.98</v>
      </c>
      <c r="H80" s="2"/>
      <c r="I80" s="2"/>
      <c r="J80" s="2"/>
      <c r="K80" s="2"/>
      <c r="L80" s="2"/>
      <c r="M80" s="2"/>
      <c r="N80" s="2"/>
      <c r="O80" s="2"/>
      <c r="Q80" s="2">
        <f>SUM(OSRRefD11_69x)+IFERROR(SUM(OSRRefE11_69x),0)</f>
        <v>-1546.93</v>
      </c>
    </row>
    <row r="81" spans="1:17" s="9" customFormat="1" hidden="1" outlineLevel="1" x14ac:dyDescent="0.25">
      <c r="A81" s="22"/>
      <c r="B81" s="13" t="str">
        <f>CONCATENATE("          ","4281", " - ","SALES RETURN TAXABLE-ELECTRONI")</f>
        <v xml:space="preserve">          4281 - SALES RETURN TAXABLE-ELECTRONI</v>
      </c>
      <c r="C81" s="23"/>
      <c r="D81" s="2">
        <f>-6291.99</f>
        <v>-6291.99</v>
      </c>
      <c r="E81" s="2">
        <f>-7424.23</f>
        <v>-7424.23</v>
      </c>
      <c r="F81" s="2">
        <f>-557.94</f>
        <v>-557.94000000000005</v>
      </c>
      <c r="G81" s="2">
        <f>-357.99</f>
        <v>-357.99</v>
      </c>
      <c r="H81" s="2"/>
      <c r="I81" s="2"/>
      <c r="J81" s="2"/>
      <c r="K81" s="2"/>
      <c r="L81" s="2"/>
      <c r="M81" s="2"/>
      <c r="N81" s="2"/>
      <c r="O81" s="2"/>
      <c r="Q81" s="2">
        <f>SUM(OSRRefD11_70x)+IFERROR(SUM(OSRRefE11_70x),0)</f>
        <v>-14632.15</v>
      </c>
    </row>
    <row r="82" spans="1:17" s="9" customFormat="1" hidden="1" outlineLevel="1" x14ac:dyDescent="0.25">
      <c r="A82" s="22"/>
      <c r="B82" s="13" t="str">
        <f>CONCATENATE("          ","4282", " - ","SALES RETURN TAXABLE-COMPUTER")</f>
        <v xml:space="preserve">          4282 - SALES RETURN TAXABLE-COMPUTER</v>
      </c>
      <c r="C82" s="23"/>
      <c r="D82" s="2">
        <f>-18207</f>
        <v>-18207</v>
      </c>
      <c r="E82" s="2">
        <f>-15442</f>
        <v>-15442</v>
      </c>
      <c r="F82" s="2">
        <f>-14636</f>
        <v>-14636</v>
      </c>
      <c r="G82" s="2">
        <f>-20038</f>
        <v>-20038</v>
      </c>
      <c r="H82" s="2"/>
      <c r="I82" s="2"/>
      <c r="J82" s="2"/>
      <c r="K82" s="2"/>
      <c r="L82" s="2"/>
      <c r="M82" s="2"/>
      <c r="N82" s="2"/>
      <c r="O82" s="2"/>
      <c r="Q82" s="2">
        <f>SUM(OSRRefD11_71x)+IFERROR(SUM(OSRRefE11_71x),0)</f>
        <v>-68323</v>
      </c>
    </row>
    <row r="83" spans="1:17" s="9" customFormat="1" hidden="1" outlineLevel="1" x14ac:dyDescent="0.25">
      <c r="A83" s="22"/>
      <c r="B83" s="13" t="str">
        <f>CONCATENATE("          ","4283", " - ","SALES RETURN TAXABLE-COMPUTER")</f>
        <v xml:space="preserve">          4283 - SALES RETURN TAXABLE-COMPUTER</v>
      </c>
      <c r="C83" s="23"/>
      <c r="D83" s="2">
        <f>-818.93</f>
        <v>-818.93</v>
      </c>
      <c r="E83" s="2">
        <f>-699.9</f>
        <v>-699.9</v>
      </c>
      <c r="F83" s="2">
        <f>-483.9</f>
        <v>-483.9</v>
      </c>
      <c r="G83" s="2">
        <f>-629.58</f>
        <v>-629.58000000000004</v>
      </c>
      <c r="H83" s="2"/>
      <c r="I83" s="2"/>
      <c r="J83" s="2"/>
      <c r="K83" s="2"/>
      <c r="L83" s="2"/>
      <c r="M83" s="2"/>
      <c r="N83" s="2"/>
      <c r="O83" s="2"/>
      <c r="Q83" s="2">
        <f>SUM(OSRRefD11_72x)+IFERROR(SUM(OSRRefE11_72x),0)</f>
        <v>-2632.31</v>
      </c>
    </row>
    <row r="84" spans="1:17" s="9" customFormat="1" hidden="1" outlineLevel="1" x14ac:dyDescent="0.25">
      <c r="A84" s="22"/>
      <c r="B84" s="13" t="str">
        <f>CONCATENATE("          ","4285", " - ","SALES RETURN TAXABLE-SOFTWARE")</f>
        <v xml:space="preserve">          4285 - SALES RETURN TAXABLE-SOFTWARE</v>
      </c>
      <c r="C84" s="23"/>
      <c r="D84" s="2">
        <f t="shared" ref="D84:D86" si="15">0</f>
        <v>0</v>
      </c>
      <c r="E84" s="2">
        <f>0</f>
        <v>0</v>
      </c>
      <c r="F84" s="2">
        <f>-552.98</f>
        <v>-552.98</v>
      </c>
      <c r="G84" s="2">
        <f>0</f>
        <v>0</v>
      </c>
      <c r="H84" s="2"/>
      <c r="I84" s="2"/>
      <c r="J84" s="2"/>
      <c r="K84" s="2"/>
      <c r="L84" s="2"/>
      <c r="M84" s="2"/>
      <c r="N84" s="2"/>
      <c r="O84" s="2"/>
      <c r="Q84" s="2">
        <f>SUM(OSRRefD11_73x)+IFERROR(SUM(OSRRefE11_73x),0)</f>
        <v>-552.98</v>
      </c>
    </row>
    <row r="85" spans="1:17" s="9" customFormat="1" hidden="1" outlineLevel="1" x14ac:dyDescent="0.25">
      <c r="A85" s="22"/>
      <c r="B85" s="13" t="str">
        <f>CONCATENATE("          ","4286", " - ","SALES RETURN TAXABLE-COMPUTER")</f>
        <v xml:space="preserve">          4286 - SALES RETURN TAXABLE-COMPUTER</v>
      </c>
      <c r="C85" s="23"/>
      <c r="D85" s="2">
        <f t="shared" si="15"/>
        <v>0</v>
      </c>
      <c r="E85" s="2">
        <f>-153.96</f>
        <v>-153.96</v>
      </c>
      <c r="F85" s="2">
        <f>-258.44</f>
        <v>-258.44</v>
      </c>
      <c r="G85" s="2">
        <f>-158.96</f>
        <v>-158.96</v>
      </c>
      <c r="H85" s="2"/>
      <c r="I85" s="2"/>
      <c r="J85" s="2"/>
      <c r="K85" s="2"/>
      <c r="L85" s="2"/>
      <c r="M85" s="2"/>
      <c r="N85" s="2"/>
      <c r="O85" s="2"/>
      <c r="Q85" s="2">
        <f>SUM(OSRRefD11_74x)+IFERROR(SUM(OSRRefE11_74x),0)</f>
        <v>-571.36</v>
      </c>
    </row>
    <row r="86" spans="1:17" s="9" customFormat="1" hidden="1" outlineLevel="1" x14ac:dyDescent="0.25">
      <c r="A86" s="22"/>
      <c r="B86" s="13" t="str">
        <f>CONCATENATE("          ","4301", " - ","SALES RETURN NON TAXABLE-NEW T")</f>
        <v xml:space="preserve">          4301 - SALES RETURN NON TAXABLE-NEW T</v>
      </c>
      <c r="C86" s="23"/>
      <c r="D86" s="2">
        <f t="shared" si="15"/>
        <v>0</v>
      </c>
      <c r="E86" s="2">
        <f>-20.25</f>
        <v>-20.25</v>
      </c>
      <c r="F86" s="2">
        <f>-1820.43</f>
        <v>-1820.43</v>
      </c>
      <c r="G86" s="2">
        <f>-535.49</f>
        <v>-535.49</v>
      </c>
      <c r="H86" s="2"/>
      <c r="I86" s="2"/>
      <c r="J86" s="2"/>
      <c r="K86" s="2"/>
      <c r="L86" s="2"/>
      <c r="M86" s="2"/>
      <c r="N86" s="2"/>
      <c r="O86" s="2"/>
      <c r="Q86" s="2">
        <f>SUM(OSRRefD11_75x)+IFERROR(SUM(OSRRefE11_75x),0)</f>
        <v>-2376.17</v>
      </c>
    </row>
    <row r="87" spans="1:17" s="9" customFormat="1" hidden="1" outlineLevel="1" x14ac:dyDescent="0.25">
      <c r="A87" s="22"/>
      <c r="B87" s="13" t="str">
        <f>CONCATENATE("          ","4302", " - ","SALES RETURN NON TAXABLE-TEXT")</f>
        <v xml:space="preserve">          4302 - SALES RETURN NON TAXABLE-TEXT</v>
      </c>
      <c r="C87" s="23"/>
      <c r="D87" s="2">
        <f>-63.67</f>
        <v>-63.67</v>
      </c>
      <c r="E87" s="2">
        <f>-346.17</f>
        <v>-346.17</v>
      </c>
      <c r="F87" s="2">
        <f>-737.24</f>
        <v>-737.24</v>
      </c>
      <c r="G87" s="2">
        <f>-169.72</f>
        <v>-169.72</v>
      </c>
      <c r="H87" s="2"/>
      <c r="I87" s="2"/>
      <c r="J87" s="2"/>
      <c r="K87" s="2"/>
      <c r="L87" s="2"/>
      <c r="M87" s="2"/>
      <c r="N87" s="2"/>
      <c r="O87" s="2"/>
      <c r="Q87" s="2">
        <f>SUM(OSRRefD11_76x)+IFERROR(SUM(OSRRefE11_76x),0)</f>
        <v>-1316.8</v>
      </c>
    </row>
    <row r="88" spans="1:17" s="9" customFormat="1" hidden="1" outlineLevel="1" x14ac:dyDescent="0.25">
      <c r="A88" s="22"/>
      <c r="B88" s="13" t="str">
        <f>CONCATENATE("          ","4304", " - ","SALES RETURN NON TAXABLE-DIGIT")</f>
        <v xml:space="preserve">          4304 - SALES RETURN NON TAXABLE-DIGIT</v>
      </c>
      <c r="C88" s="23"/>
      <c r="D88" s="2">
        <f>-452.05</f>
        <v>-452.05</v>
      </c>
      <c r="E88" s="2">
        <f>-5500.68</f>
        <v>-5500.68</v>
      </c>
      <c r="F88" s="2">
        <f>-7456.63</f>
        <v>-7456.63</v>
      </c>
      <c r="G88" s="2">
        <f>-692.75</f>
        <v>-692.75</v>
      </c>
      <c r="H88" s="2"/>
      <c r="I88" s="2"/>
      <c r="J88" s="2"/>
      <c r="K88" s="2"/>
      <c r="L88" s="2"/>
      <c r="M88" s="2"/>
      <c r="N88" s="2"/>
      <c r="O88" s="2"/>
      <c r="Q88" s="2">
        <f>SUM(OSRRefD11_77x)+IFERROR(SUM(OSRRefE11_77x),0)</f>
        <v>-14102.11</v>
      </c>
    </row>
    <row r="89" spans="1:17" s="9" customFormat="1" hidden="1" outlineLevel="1" x14ac:dyDescent="0.25">
      <c r="A89" s="22"/>
      <c r="B89" s="13" t="str">
        <f>CONCATENATE("          ","4340", " - ","SALES RETURN NON TAXABLE-LOGO")</f>
        <v xml:space="preserve">          4340 - SALES RETURN NON TAXABLE-LOGO</v>
      </c>
      <c r="C89" s="23"/>
      <c r="D89" s="2">
        <f>-434.24</f>
        <v>-434.24</v>
      </c>
      <c r="E89" s="2">
        <f>-69.9</f>
        <v>-69.900000000000006</v>
      </c>
      <c r="F89" s="2">
        <f>-36.9</f>
        <v>-36.9</v>
      </c>
      <c r="G89" s="2">
        <f>-195.69</f>
        <v>-195.69</v>
      </c>
      <c r="H89" s="2"/>
      <c r="I89" s="2"/>
      <c r="J89" s="2"/>
      <c r="K89" s="2"/>
      <c r="L89" s="2"/>
      <c r="M89" s="2"/>
      <c r="N89" s="2"/>
      <c r="O89" s="2"/>
      <c r="Q89" s="2">
        <f>SUM(OSRRefD11_78x)+IFERROR(SUM(OSRRefE11_78x),0)</f>
        <v>-736.73</v>
      </c>
    </row>
    <row r="90" spans="1:17" s="9" customFormat="1" hidden="1" outlineLevel="1" x14ac:dyDescent="0.25">
      <c r="A90" s="22"/>
      <c r="B90" s="13" t="str">
        <f>CONCATENATE("          ","4341", " - ","SALES RETURN NON TAXABLE-LOGO")</f>
        <v xml:space="preserve">          4341 - SALES RETURN NON TAXABLE-LOGO</v>
      </c>
      <c r="C90" s="23"/>
      <c r="D90" s="2">
        <f>-16.95</f>
        <v>-16.95</v>
      </c>
      <c r="E90" s="2">
        <f>0</f>
        <v>0</v>
      </c>
      <c r="F90" s="2">
        <f>-129.95</f>
        <v>-129.94999999999999</v>
      </c>
      <c r="G90" s="2">
        <f t="shared" ref="G90:G92" si="16">0</f>
        <v>0</v>
      </c>
      <c r="H90" s="2"/>
      <c r="I90" s="2"/>
      <c r="J90" s="2"/>
      <c r="K90" s="2"/>
      <c r="L90" s="2"/>
      <c r="M90" s="2"/>
      <c r="N90" s="2"/>
      <c r="O90" s="2"/>
      <c r="Q90" s="2">
        <f>SUM(OSRRefD11_79x)+IFERROR(SUM(OSRRefE11_79x),0)</f>
        <v>-146.89999999999998</v>
      </c>
    </row>
    <row r="91" spans="1:17" s="9" customFormat="1" hidden="1" outlineLevel="1" x14ac:dyDescent="0.25">
      <c r="A91" s="22"/>
      <c r="B91" s="13" t="str">
        <f>CONCATENATE("          ","4342", " - ","SALES RETURN NON TAXABLE-EVERY")</f>
        <v xml:space="preserve">          4342 - SALES RETURN NON TAXABLE-EVERY</v>
      </c>
      <c r="C91" s="23"/>
      <c r="D91" s="2">
        <f>-79.85</f>
        <v>-79.849999999999994</v>
      </c>
      <c r="E91" s="2">
        <f>-13.9</f>
        <v>-13.9</v>
      </c>
      <c r="F91" s="2">
        <f>-24.95</f>
        <v>-24.95</v>
      </c>
      <c r="G91" s="2">
        <f t="shared" si="16"/>
        <v>0</v>
      </c>
      <c r="H91" s="2"/>
      <c r="I91" s="2"/>
      <c r="J91" s="2"/>
      <c r="K91" s="2"/>
      <c r="L91" s="2"/>
      <c r="M91" s="2"/>
      <c r="N91" s="2"/>
      <c r="O91" s="2"/>
      <c r="Q91" s="2">
        <f>SUM(OSRRefD11_80x)+IFERROR(SUM(OSRRefE11_80x),0)</f>
        <v>-118.7</v>
      </c>
    </row>
    <row r="92" spans="1:17" s="9" customFormat="1" hidden="1" outlineLevel="1" x14ac:dyDescent="0.25">
      <c r="A92" s="22"/>
      <c r="B92" s="13" t="str">
        <f>CONCATENATE("          ","4381", " - ","SALES RETURN NON TAXABLE-ELECT")</f>
        <v xml:space="preserve">          4381 - SALES RETURN NON TAXABLE-ELECT</v>
      </c>
      <c r="C92" s="23"/>
      <c r="D92" s="2">
        <f>-1749</f>
        <v>-1749</v>
      </c>
      <c r="E92" s="2">
        <f>-3625.2</f>
        <v>-3625.2</v>
      </c>
      <c r="F92" s="2">
        <f>-249.95</f>
        <v>-249.95</v>
      </c>
      <c r="G92" s="2">
        <f t="shared" si="16"/>
        <v>0</v>
      </c>
      <c r="H92" s="2"/>
      <c r="I92" s="2"/>
      <c r="J92" s="2"/>
      <c r="K92" s="2"/>
      <c r="L92" s="2"/>
      <c r="M92" s="2"/>
      <c r="N92" s="2"/>
      <c r="O92" s="2"/>
      <c r="Q92" s="2">
        <f>SUM(OSRRefD11_81x)+IFERROR(SUM(OSRRefE11_81x),0)</f>
        <v>-5624.15</v>
      </c>
    </row>
    <row r="93" spans="1:17" x14ac:dyDescent="0.25">
      <c r="A93" s="5"/>
      <c r="B93" s="8"/>
      <c r="C93" s="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24"/>
      <c r="Q93" s="3"/>
    </row>
    <row r="94" spans="1:17" s="9" customFormat="1" collapsed="1" x14ac:dyDescent="0.25">
      <c r="A94" s="22"/>
      <c r="B94" s="16" t="s">
        <v>290</v>
      </c>
      <c r="C94" s="23"/>
      <c r="D94" s="3">
        <f>SUM(OSRRefD14x_0)</f>
        <v>336814.02000000014</v>
      </c>
      <c r="E94" s="3">
        <f>SUM(OSRRefD14x_1)</f>
        <v>1608162.8300000003</v>
      </c>
      <c r="F94" s="3">
        <f>SUM(OSRRefD14x_2)</f>
        <v>538743.32999999996</v>
      </c>
      <c r="G94" s="3">
        <f>SUM(OSRRefD14x_3)</f>
        <v>333634.33</v>
      </c>
      <c r="H94" s="3">
        <f>SUM(OSRRefE14x_0)</f>
        <v>321930</v>
      </c>
      <c r="I94" s="3">
        <f>SUM(OSRRefE14x_1)</f>
        <v>265229</v>
      </c>
      <c r="J94" s="3">
        <f>SUM(OSRRefE14x_2)</f>
        <v>957539</v>
      </c>
      <c r="K94" s="3">
        <f>SUM(OSRRefE14x_3)</f>
        <v>373592</v>
      </c>
      <c r="L94" s="3">
        <f>SUM(OSRRefE14x_4)</f>
        <v>286486</v>
      </c>
      <c r="M94" s="3">
        <f>SUM(OSRRefE14x_5)</f>
        <v>426133</v>
      </c>
      <c r="N94" s="3">
        <f>SUM(OSRRefE14x_6)</f>
        <v>329378</v>
      </c>
      <c r="O94" s="3">
        <f>SUM(OSRRefE14x_7)</f>
        <v>426732</v>
      </c>
      <c r="Q94" s="3">
        <f>SUM(OSRRefG14x)</f>
        <v>6204373.5099999979</v>
      </c>
    </row>
    <row r="95" spans="1:17" s="9" customFormat="1" hidden="1" outlineLevel="1" x14ac:dyDescent="0.25">
      <c r="A95" s="22"/>
      <c r="B95" s="13" t="str">
        <f>CONCATENATE("          ","5000", " - ","PURCHASES @ COST")</f>
        <v xml:space="preserve">          5000 - PURCHASES @ COST</v>
      </c>
      <c r="C95" s="23"/>
      <c r="D95" s="2"/>
      <c r="E95" s="2"/>
      <c r="F95" s="2"/>
      <c r="G95" s="2"/>
      <c r="H95" s="2">
        <v>321930</v>
      </c>
      <c r="I95" s="2">
        <v>265229</v>
      </c>
      <c r="J95" s="2">
        <v>957539</v>
      </c>
      <c r="K95" s="2">
        <v>373592</v>
      </c>
      <c r="L95" s="2">
        <v>286486</v>
      </c>
      <c r="M95" s="2">
        <v>426133</v>
      </c>
      <c r="N95" s="2">
        <v>329378</v>
      </c>
      <c r="O95" s="2">
        <v>426732</v>
      </c>
      <c r="Q95" s="2">
        <f>SUM(OSRRefD14_0x)+IFERROR(SUM(OSRRefE14_0x),0)</f>
        <v>3387019</v>
      </c>
    </row>
    <row r="96" spans="1:17" s="9" customFormat="1" hidden="1" outlineLevel="1" x14ac:dyDescent="0.25">
      <c r="A96" s="22"/>
      <c r="B96" s="13" t="str">
        <f>CONCATENATE("          ","5001", " - ","PURCHASES @ COST-NEW TEXT")</f>
        <v xml:space="preserve">          5001 - PURCHASES @ COST-NEW TEXT</v>
      </c>
      <c r="C96" s="23"/>
      <c r="D96" s="2">
        <v>153110.63</v>
      </c>
      <c r="E96" s="2">
        <v>538222.14</v>
      </c>
      <c r="F96" s="2">
        <v>602088.99</v>
      </c>
      <c r="G96" s="2">
        <v>55775.07</v>
      </c>
      <c r="H96" s="2"/>
      <c r="I96" s="2"/>
      <c r="J96" s="2"/>
      <c r="K96" s="2"/>
      <c r="L96" s="2"/>
      <c r="M96" s="2"/>
      <c r="N96" s="2"/>
      <c r="O96" s="2"/>
      <c r="Q96" s="2">
        <f>SUM(OSRRefD14_1x)+IFERROR(SUM(OSRRefE14_1x),0)</f>
        <v>1349196.83</v>
      </c>
    </row>
    <row r="97" spans="1:17" s="9" customFormat="1" hidden="1" outlineLevel="1" x14ac:dyDescent="0.25">
      <c r="A97" s="22"/>
      <c r="B97" s="13" t="str">
        <f>CONCATENATE("          ","5002", " - ","PURCHASES @ COST-USED TEXT")</f>
        <v xml:space="preserve">          5002 - PURCHASES @ COST-USED TEXT</v>
      </c>
      <c r="C97" s="23"/>
      <c r="D97" s="2">
        <v>60324.850000000006</v>
      </c>
      <c r="E97" s="2">
        <v>128042.67</v>
      </c>
      <c r="F97" s="2">
        <v>108363.86</v>
      </c>
      <c r="G97" s="2">
        <v>6331.95</v>
      </c>
      <c r="H97" s="2"/>
      <c r="I97" s="2"/>
      <c r="J97" s="2"/>
      <c r="K97" s="2"/>
      <c r="L97" s="2"/>
      <c r="M97" s="2"/>
      <c r="N97" s="2"/>
      <c r="O97" s="2"/>
      <c r="Q97" s="2">
        <f>SUM(OSRRefD14_2x)+IFERROR(SUM(OSRRefE14_2x),0)</f>
        <v>303063.33</v>
      </c>
    </row>
    <row r="98" spans="1:17" s="9" customFormat="1" hidden="1" outlineLevel="1" x14ac:dyDescent="0.25">
      <c r="A98" s="22"/>
      <c r="B98" s="13" t="str">
        <f>CONCATENATE("          ","5003", " - ","PURCHASES @ COST-RENTAL TEXT")</f>
        <v xml:space="preserve">          5003 - PURCHASES @ COST-RENTAL TEXT</v>
      </c>
      <c r="C98" s="23"/>
      <c r="D98" s="2">
        <v>-11926.64</v>
      </c>
      <c r="E98" s="2">
        <v>58.8</v>
      </c>
      <c r="F98" s="2">
        <v>781.74</v>
      </c>
      <c r="G98" s="2">
        <v>10600.69</v>
      </c>
      <c r="H98" s="2"/>
      <c r="I98" s="2"/>
      <c r="J98" s="2"/>
      <c r="K98" s="2"/>
      <c r="L98" s="2"/>
      <c r="M98" s="2"/>
      <c r="N98" s="2"/>
      <c r="O98" s="2"/>
      <c r="Q98" s="2">
        <f>SUM(OSRRefD14_3x)+IFERROR(SUM(OSRRefE14_3x),0)</f>
        <v>-485.40999999999985</v>
      </c>
    </row>
    <row r="99" spans="1:17" s="9" customFormat="1" hidden="1" outlineLevel="1" x14ac:dyDescent="0.25">
      <c r="A99" s="22"/>
      <c r="B99" s="13" t="str">
        <f>CONCATENATE("          ","5004", " - ","PURCHASES @ COST-DIGITAL TEXT")</f>
        <v xml:space="preserve">          5004 - PURCHASES @ COST-DIGITAL TEXT</v>
      </c>
      <c r="C99" s="23"/>
      <c r="D99" s="2">
        <v>4925.4799999999996</v>
      </c>
      <c r="E99" s="2">
        <v>117504.49</v>
      </c>
      <c r="F99" s="2">
        <v>60186.1</v>
      </c>
      <c r="G99" s="2">
        <v>12903.46</v>
      </c>
      <c r="H99" s="2"/>
      <c r="I99" s="2"/>
      <c r="J99" s="2"/>
      <c r="K99" s="2"/>
      <c r="L99" s="2"/>
      <c r="M99" s="2"/>
      <c r="N99" s="2"/>
      <c r="O99" s="2"/>
      <c r="Q99" s="2">
        <f>SUM(OSRRefD14_4x)+IFERROR(SUM(OSRRefE14_4x),0)</f>
        <v>195519.53</v>
      </c>
    </row>
    <row r="100" spans="1:17" s="9" customFormat="1" hidden="1" outlineLevel="1" x14ac:dyDescent="0.25">
      <c r="A100" s="22"/>
      <c r="B100" s="13" t="str">
        <f>CONCATENATE("          ","5011", " - ","PURCHASES @ COST-NO VALUE TEXT")</f>
        <v xml:space="preserve">          5011 - PURCHASES @ COST-NO VALUE TEXT</v>
      </c>
      <c r="C100" s="23"/>
      <c r="D100" s="2"/>
      <c r="E100" s="2"/>
      <c r="F100" s="2"/>
      <c r="G100" s="2">
        <v>67.17</v>
      </c>
      <c r="H100" s="2"/>
      <c r="I100" s="2"/>
      <c r="J100" s="2"/>
      <c r="K100" s="2"/>
      <c r="L100" s="2"/>
      <c r="M100" s="2"/>
      <c r="N100" s="2"/>
      <c r="O100" s="2"/>
      <c r="Q100" s="2">
        <f>SUM(OSRRefD14_5x)+IFERROR(SUM(OSRRefE14_5x),0)</f>
        <v>67.17</v>
      </c>
    </row>
    <row r="101" spans="1:17" s="9" customFormat="1" hidden="1" outlineLevel="1" x14ac:dyDescent="0.25">
      <c r="A101" s="22"/>
      <c r="B101" s="13" t="str">
        <f>CONCATENATE("          ","5013", " - ","PURCHASES @ COST-TRADE BOOKS")</f>
        <v xml:space="preserve">          5013 - PURCHASES @ COST-TRADE BOOKS</v>
      </c>
      <c r="C101" s="23"/>
      <c r="D101" s="2">
        <v>108.54</v>
      </c>
      <c r="E101" s="2"/>
      <c r="F101" s="2">
        <v>-9.36</v>
      </c>
      <c r="G101" s="2">
        <v>1384.46</v>
      </c>
      <c r="H101" s="2"/>
      <c r="I101" s="2"/>
      <c r="J101" s="2"/>
      <c r="K101" s="2"/>
      <c r="L101" s="2"/>
      <c r="M101" s="2"/>
      <c r="N101" s="2"/>
      <c r="O101" s="2"/>
      <c r="Q101" s="2">
        <f>SUM(OSRRefD14_6x)+IFERROR(SUM(OSRRefE14_6x),0)</f>
        <v>1483.64</v>
      </c>
    </row>
    <row r="102" spans="1:17" s="9" customFormat="1" hidden="1" outlineLevel="1" x14ac:dyDescent="0.25">
      <c r="A102" s="22"/>
      <c r="B102" s="13" t="str">
        <f>CONCATENATE("          ","5014", " - ","PURCHASES @ COST-REMAINDERS")</f>
        <v xml:space="preserve">          5014 - PURCHASES @ COST-REMAINDERS</v>
      </c>
      <c r="C102" s="23"/>
      <c r="D102" s="2">
        <v>-12.51</v>
      </c>
      <c r="E102" s="2"/>
      <c r="F102" s="2"/>
      <c r="G102" s="2">
        <v>102.92</v>
      </c>
      <c r="H102" s="2"/>
      <c r="I102" s="2"/>
      <c r="J102" s="2"/>
      <c r="K102" s="2"/>
      <c r="L102" s="2"/>
      <c r="M102" s="2"/>
      <c r="N102" s="2"/>
      <c r="O102" s="2"/>
      <c r="Q102" s="2">
        <f>SUM(OSRRefD14_7x)+IFERROR(SUM(OSRRefE14_7x),0)</f>
        <v>90.41</v>
      </c>
    </row>
    <row r="103" spans="1:17" s="9" customFormat="1" hidden="1" outlineLevel="1" x14ac:dyDescent="0.25">
      <c r="A103" s="22"/>
      <c r="B103" s="13" t="str">
        <f>CONCATENATE("          ","5025", " - ","PURCHASES @ COST-TEST FORMS")</f>
        <v xml:space="preserve">          5025 - PURCHASES @ COST-TEST FORMS</v>
      </c>
      <c r="C103" s="23"/>
      <c r="D103" s="2"/>
      <c r="E103" s="2"/>
      <c r="F103" s="2"/>
      <c r="G103" s="2">
        <v>599.29</v>
      </c>
      <c r="H103" s="2"/>
      <c r="I103" s="2"/>
      <c r="J103" s="2"/>
      <c r="K103" s="2"/>
      <c r="L103" s="2"/>
      <c r="M103" s="2"/>
      <c r="N103" s="2"/>
      <c r="O103" s="2"/>
      <c r="Q103" s="2">
        <f>SUM(OSRRefD14_8x)+IFERROR(SUM(OSRRefE14_8x),0)</f>
        <v>599.29</v>
      </c>
    </row>
    <row r="104" spans="1:17" s="9" customFormat="1" hidden="1" outlineLevel="1" x14ac:dyDescent="0.25">
      <c r="A104" s="22"/>
      <c r="B104" s="13" t="str">
        <f>CONCATENATE("          ","5026", " - ","PURCHASES @ COST-WRITING INSTR")</f>
        <v xml:space="preserve">          5026 - PURCHASES @ COST-WRITING INSTR</v>
      </c>
      <c r="C104" s="23"/>
      <c r="D104" s="2"/>
      <c r="E104" s="2"/>
      <c r="F104" s="2"/>
      <c r="G104" s="2">
        <v>380.02</v>
      </c>
      <c r="H104" s="2"/>
      <c r="I104" s="2"/>
      <c r="J104" s="2"/>
      <c r="K104" s="2"/>
      <c r="L104" s="2"/>
      <c r="M104" s="2"/>
      <c r="N104" s="2"/>
      <c r="O104" s="2"/>
      <c r="Q104" s="2">
        <f>SUM(OSRRefD14_9x)+IFERROR(SUM(OSRRefE14_9x),0)</f>
        <v>380.02</v>
      </c>
    </row>
    <row r="105" spans="1:17" s="9" customFormat="1" hidden="1" outlineLevel="1" x14ac:dyDescent="0.25">
      <c r="A105" s="22"/>
      <c r="B105" s="13" t="str">
        <f>CONCATENATE("          ","5027", " - ","PURCHASES @ COST-SCHOOL SUPPLI")</f>
        <v xml:space="preserve">          5027 - PURCHASES @ COST-SCHOOL SUPPLI</v>
      </c>
      <c r="C105" s="23"/>
      <c r="D105" s="2">
        <v>8503.4</v>
      </c>
      <c r="E105" s="2"/>
      <c r="F105" s="2"/>
      <c r="G105" s="2">
        <v>10567.95</v>
      </c>
      <c r="H105" s="2"/>
      <c r="I105" s="2"/>
      <c r="J105" s="2"/>
      <c r="K105" s="2"/>
      <c r="L105" s="2"/>
      <c r="M105" s="2"/>
      <c r="N105" s="2"/>
      <c r="O105" s="2"/>
      <c r="Q105" s="2">
        <f>SUM(OSRRefD14_10x)+IFERROR(SUM(OSRRefE14_10x),0)</f>
        <v>19071.349999999999</v>
      </c>
    </row>
    <row r="106" spans="1:17" s="9" customFormat="1" hidden="1" outlineLevel="1" x14ac:dyDescent="0.25">
      <c r="A106" s="22"/>
      <c r="B106" s="13" t="str">
        <f>CONCATENATE("          ","5028", " - ","PURCHASES @ COST-ART/TECH")</f>
        <v xml:space="preserve">          5028 - PURCHASES @ COST-ART/TECH</v>
      </c>
      <c r="C106" s="23"/>
      <c r="D106" s="2"/>
      <c r="E106" s="2"/>
      <c r="F106" s="2">
        <v>-83.4</v>
      </c>
      <c r="G106" s="2">
        <v>41425.96</v>
      </c>
      <c r="H106" s="2"/>
      <c r="I106" s="2"/>
      <c r="J106" s="2"/>
      <c r="K106" s="2"/>
      <c r="L106" s="2"/>
      <c r="M106" s="2"/>
      <c r="N106" s="2"/>
      <c r="O106" s="2"/>
      <c r="Q106" s="2">
        <f>SUM(OSRRefD14_11x)+IFERROR(SUM(OSRRefE14_11x),0)</f>
        <v>41342.559999999998</v>
      </c>
    </row>
    <row r="107" spans="1:17" s="9" customFormat="1" hidden="1" outlineLevel="1" x14ac:dyDescent="0.25">
      <c r="A107" s="22"/>
      <c r="B107" s="13" t="str">
        <f>CONCATENATE("          ","5031", " - ","PURCHASES @ COST-FOOD")</f>
        <v xml:space="preserve">          5031 - PURCHASES @ COST-FOOD</v>
      </c>
      <c r="C107" s="23"/>
      <c r="D107" s="2"/>
      <c r="E107" s="2"/>
      <c r="F107" s="2">
        <v>4065.92</v>
      </c>
      <c r="G107" s="2">
        <v>4469.18</v>
      </c>
      <c r="H107" s="2"/>
      <c r="I107" s="2"/>
      <c r="J107" s="2"/>
      <c r="K107" s="2"/>
      <c r="L107" s="2"/>
      <c r="M107" s="2"/>
      <c r="N107" s="2"/>
      <c r="O107" s="2"/>
      <c r="Q107" s="2">
        <f>SUM(OSRRefD14_12x)+IFERROR(SUM(OSRRefE14_12x),0)</f>
        <v>8535.1</v>
      </c>
    </row>
    <row r="108" spans="1:17" s="9" customFormat="1" hidden="1" outlineLevel="1" x14ac:dyDescent="0.25">
      <c r="A108" s="22"/>
      <c r="B108" s="13" t="str">
        <f>CONCATENATE("          ","5040", " - ","PURCHASES @ COST-LOGO CLOTHING")</f>
        <v xml:space="preserve">          5040 - PURCHASES @ COST-LOGO CLOTHING</v>
      </c>
      <c r="C108" s="23"/>
      <c r="D108" s="2">
        <v>1723.07</v>
      </c>
      <c r="E108" s="2">
        <v>7628.83</v>
      </c>
      <c r="F108" s="2">
        <v>4398.1499999999996</v>
      </c>
      <c r="G108" s="2">
        <v>25420.9</v>
      </c>
      <c r="H108" s="2"/>
      <c r="I108" s="2"/>
      <c r="J108" s="2"/>
      <c r="K108" s="2"/>
      <c r="L108" s="2"/>
      <c r="M108" s="2"/>
      <c r="N108" s="2"/>
      <c r="O108" s="2"/>
      <c r="Q108" s="2">
        <f>SUM(OSRRefD14_13x)+IFERROR(SUM(OSRRefE14_13x),0)</f>
        <v>39170.949999999997</v>
      </c>
    </row>
    <row r="109" spans="1:17" s="9" customFormat="1" hidden="1" outlineLevel="1" x14ac:dyDescent="0.25">
      <c r="A109" s="22"/>
      <c r="B109" s="13" t="str">
        <f>CONCATENATE("          ","5041", " - ","PURCHASES @ COST-LOGO GIFTS")</f>
        <v xml:space="preserve">          5041 - PURCHASES @ COST-LOGO GIFTS</v>
      </c>
      <c r="C109" s="23"/>
      <c r="D109" s="2">
        <v>-713.75</v>
      </c>
      <c r="E109" s="2">
        <v>1843.29</v>
      </c>
      <c r="F109" s="2">
        <v>868</v>
      </c>
      <c r="G109" s="2">
        <v>15289.8</v>
      </c>
      <c r="H109" s="2"/>
      <c r="I109" s="2"/>
      <c r="J109" s="2"/>
      <c r="K109" s="2"/>
      <c r="L109" s="2"/>
      <c r="M109" s="2"/>
      <c r="N109" s="2"/>
      <c r="O109" s="2"/>
      <c r="Q109" s="2">
        <f>SUM(OSRRefD14_14x)+IFERROR(SUM(OSRRefE14_14x),0)</f>
        <v>17287.34</v>
      </c>
    </row>
    <row r="110" spans="1:17" s="9" customFormat="1" hidden="1" outlineLevel="1" x14ac:dyDescent="0.25">
      <c r="A110" s="22"/>
      <c r="B110" s="13" t="str">
        <f>CONCATENATE("          ","5042", " - ","PURCHASES @ COST-EVERYDAY GIFT")</f>
        <v xml:space="preserve">          5042 - PURCHASES @ COST-EVERYDAY GIFT</v>
      </c>
      <c r="C110" s="23"/>
      <c r="D110" s="2">
        <v>236.16</v>
      </c>
      <c r="E110" s="2">
        <v>732.99</v>
      </c>
      <c r="F110" s="2">
        <v>522</v>
      </c>
      <c r="G110" s="2">
        <v>9421.5300000000007</v>
      </c>
      <c r="H110" s="2"/>
      <c r="I110" s="2"/>
      <c r="J110" s="2"/>
      <c r="K110" s="2"/>
      <c r="L110" s="2"/>
      <c r="M110" s="2"/>
      <c r="N110" s="2"/>
      <c r="O110" s="2"/>
      <c r="Q110" s="2">
        <f>SUM(OSRRefD14_15x)+IFERROR(SUM(OSRRefE14_15x),0)</f>
        <v>10912.68</v>
      </c>
    </row>
    <row r="111" spans="1:17" s="9" customFormat="1" hidden="1" outlineLevel="1" x14ac:dyDescent="0.25">
      <c r="A111" s="22"/>
      <c r="B111" s="13" t="str">
        <f>CONCATENATE("          ","5043", " - ","PURCHASES @ COST-CARDS")</f>
        <v xml:space="preserve">          5043 - PURCHASES @ COST-CARDS</v>
      </c>
      <c r="C111" s="23"/>
      <c r="D111" s="2">
        <v>308.7</v>
      </c>
      <c r="E111" s="2">
        <v>1406.55</v>
      </c>
      <c r="F111" s="2">
        <v>1401</v>
      </c>
      <c r="G111" s="2">
        <v>2526.75</v>
      </c>
      <c r="H111" s="2"/>
      <c r="I111" s="2"/>
      <c r="J111" s="2"/>
      <c r="K111" s="2"/>
      <c r="L111" s="2"/>
      <c r="M111" s="2"/>
      <c r="N111" s="2"/>
      <c r="O111" s="2"/>
      <c r="Q111" s="2">
        <f>SUM(OSRRefD14_16x)+IFERROR(SUM(OSRRefE14_16x),0)</f>
        <v>5643</v>
      </c>
    </row>
    <row r="112" spans="1:17" s="9" customFormat="1" hidden="1" outlineLevel="1" x14ac:dyDescent="0.25">
      <c r="A112" s="22"/>
      <c r="B112" s="13" t="str">
        <f>CONCATENATE("          ","5045", " - ","PURCHASES @ COST-SPECIAL ORDER")</f>
        <v xml:space="preserve">          5045 - PURCHASES @ COST-SPECIAL ORDER</v>
      </c>
      <c r="C112" s="23"/>
      <c r="D112" s="2">
        <v>2756.21</v>
      </c>
      <c r="E112" s="2">
        <v>5633.96</v>
      </c>
      <c r="F112" s="2">
        <v>52784.12</v>
      </c>
      <c r="G112" s="2">
        <v>10080.23</v>
      </c>
      <c r="H112" s="2"/>
      <c r="I112" s="2"/>
      <c r="J112" s="2"/>
      <c r="K112" s="2"/>
      <c r="L112" s="2"/>
      <c r="M112" s="2"/>
      <c r="N112" s="2"/>
      <c r="O112" s="2"/>
      <c r="Q112" s="2">
        <f>SUM(OSRRefD14_17x)+IFERROR(SUM(OSRRefE14_17x),0)</f>
        <v>71254.52</v>
      </c>
    </row>
    <row r="113" spans="1:17" s="9" customFormat="1" hidden="1" outlineLevel="1" x14ac:dyDescent="0.25">
      <c r="A113" s="22"/>
      <c r="B113" s="13" t="str">
        <f>CONCATENATE("          ","5053", " - ","PURCHASES @ COST-FOOD")</f>
        <v xml:space="preserve">          5053 - PURCHASES @ COST-FOOD</v>
      </c>
      <c r="C113" s="23"/>
      <c r="D113" s="2">
        <v>8053.75</v>
      </c>
      <c r="E113" s="2">
        <v>78417.86</v>
      </c>
      <c r="F113" s="2">
        <v>41608.75</v>
      </c>
      <c r="G113" s="2">
        <v>64600.930000000008</v>
      </c>
      <c r="H113" s="2"/>
      <c r="I113" s="2"/>
      <c r="J113" s="2"/>
      <c r="K113" s="2"/>
      <c r="L113" s="2"/>
      <c r="M113" s="2"/>
      <c r="N113" s="2"/>
      <c r="O113" s="2"/>
      <c r="Q113" s="2">
        <f>SUM(OSRRefD14_18x)+IFERROR(SUM(OSRRefE14_18x),0)</f>
        <v>192681.29</v>
      </c>
    </row>
    <row r="114" spans="1:17" s="9" customFormat="1" hidden="1" outlineLevel="1" x14ac:dyDescent="0.25">
      <c r="A114" s="22"/>
      <c r="B114" s="13" t="str">
        <f>CONCATENATE("          ","5059", " - ","PURCHASES @ COST-FOOD")</f>
        <v xml:space="preserve">          5059 - PURCHASES @ COST-FOOD</v>
      </c>
      <c r="C114" s="23"/>
      <c r="D114" s="2">
        <v>3409</v>
      </c>
      <c r="E114" s="2">
        <v>-30142.09</v>
      </c>
      <c r="F114" s="2">
        <v>3861.48</v>
      </c>
      <c r="G114" s="2">
        <v>25839.9</v>
      </c>
      <c r="H114" s="2"/>
      <c r="I114" s="2"/>
      <c r="J114" s="2"/>
      <c r="K114" s="2"/>
      <c r="L114" s="2"/>
      <c r="M114" s="2"/>
      <c r="N114" s="2"/>
      <c r="O114" s="2"/>
      <c r="Q114" s="2">
        <f>SUM(OSRRefD14_19x)+IFERROR(SUM(OSRRefE14_19x),0)</f>
        <v>2968.2900000000009</v>
      </c>
    </row>
    <row r="115" spans="1:17" s="9" customFormat="1" hidden="1" outlineLevel="1" x14ac:dyDescent="0.25">
      <c r="A115" s="22"/>
      <c r="B115" s="13" t="str">
        <f>CONCATENATE("          ","5081", " - ","PURCHASES @ COST-ELECTRONICS")</f>
        <v xml:space="preserve">          5081 - PURCHASES @ COST-ELECTRONICS</v>
      </c>
      <c r="C115" s="23"/>
      <c r="D115" s="2">
        <v>6676.92</v>
      </c>
      <c r="E115" s="2">
        <v>745.55</v>
      </c>
      <c r="F115" s="2">
        <v>8274.98</v>
      </c>
      <c r="G115" s="2">
        <v>6249.76</v>
      </c>
      <c r="H115" s="2"/>
      <c r="I115" s="2"/>
      <c r="J115" s="2"/>
      <c r="K115" s="2"/>
      <c r="L115" s="2"/>
      <c r="M115" s="2"/>
      <c r="N115" s="2"/>
      <c r="O115" s="2"/>
      <c r="Q115" s="2">
        <f>SUM(OSRRefD14_20x)+IFERROR(SUM(OSRRefE14_20x),0)</f>
        <v>21947.21</v>
      </c>
    </row>
    <row r="116" spans="1:17" s="9" customFormat="1" hidden="1" outlineLevel="1" x14ac:dyDescent="0.25">
      <c r="A116" s="22"/>
      <c r="B116" s="13" t="str">
        <f>CONCATENATE("          ","5082", " - ","PURCHASES @ COST-COMPUTER HARD")</f>
        <v xml:space="preserve">          5082 - PURCHASES @ COST-COMPUTER HARD</v>
      </c>
      <c r="C116" s="23"/>
      <c r="D116" s="2">
        <v>186472.57</v>
      </c>
      <c r="E116" s="2">
        <v>56751.23</v>
      </c>
      <c r="F116" s="2">
        <v>470149.41</v>
      </c>
      <c r="G116" s="2">
        <v>175404.87</v>
      </c>
      <c r="H116" s="2"/>
      <c r="I116" s="2"/>
      <c r="J116" s="2"/>
      <c r="K116" s="2"/>
      <c r="L116" s="2"/>
      <c r="M116" s="2"/>
      <c r="N116" s="2"/>
      <c r="O116" s="2"/>
      <c r="Q116" s="2">
        <f>SUM(OSRRefD14_21x)+IFERROR(SUM(OSRRefE14_21x),0)</f>
        <v>888778.08</v>
      </c>
    </row>
    <row r="117" spans="1:17" s="9" customFormat="1" hidden="1" outlineLevel="1" x14ac:dyDescent="0.25">
      <c r="A117" s="22"/>
      <c r="B117" s="13" t="str">
        <f>CONCATENATE("          ","5083", " - ","PURCHASES @ COST-COMPUTER EQUI")</f>
        <v xml:space="preserve">          5083 - PURCHASES @ COST-COMPUTER EQUI</v>
      </c>
      <c r="C117" s="23"/>
      <c r="D117" s="2">
        <v>29938.300000000003</v>
      </c>
      <c r="E117" s="2">
        <v>7340.55</v>
      </c>
      <c r="F117" s="2">
        <v>24155.15</v>
      </c>
      <c r="G117" s="2">
        <v>11838.95</v>
      </c>
      <c r="H117" s="2"/>
      <c r="I117" s="2"/>
      <c r="J117" s="2"/>
      <c r="K117" s="2"/>
      <c r="L117" s="2"/>
      <c r="M117" s="2"/>
      <c r="N117" s="2"/>
      <c r="O117" s="2"/>
      <c r="Q117" s="2">
        <f>SUM(OSRRefD14_22x)+IFERROR(SUM(OSRRefE14_22x),0)</f>
        <v>73272.950000000012</v>
      </c>
    </row>
    <row r="118" spans="1:17" s="9" customFormat="1" hidden="1" outlineLevel="1" x14ac:dyDescent="0.25">
      <c r="A118" s="22"/>
      <c r="B118" s="13" t="str">
        <f>CONCATENATE("          ","5085", " - ","PURCHASES @ COST-SOFTWARE")</f>
        <v xml:space="preserve">          5085 - PURCHASES @ COST-SOFTWARE</v>
      </c>
      <c r="C118" s="23"/>
      <c r="D118" s="2">
        <v>3864.34</v>
      </c>
      <c r="E118" s="2">
        <v>2364.2199999999998</v>
      </c>
      <c r="F118" s="2">
        <v>8609.1200000000008</v>
      </c>
      <c r="G118" s="2">
        <v>5843.52</v>
      </c>
      <c r="H118" s="2"/>
      <c r="I118" s="2"/>
      <c r="J118" s="2"/>
      <c r="K118" s="2"/>
      <c r="L118" s="2"/>
      <c r="M118" s="2"/>
      <c r="N118" s="2"/>
      <c r="O118" s="2"/>
      <c r="Q118" s="2">
        <f>SUM(OSRRefD14_23x)+IFERROR(SUM(OSRRefE14_23x),0)</f>
        <v>20681.2</v>
      </c>
    </row>
    <row r="119" spans="1:17" s="9" customFormat="1" hidden="1" outlineLevel="1" x14ac:dyDescent="0.25">
      <c r="A119" s="22"/>
      <c r="B119" s="13" t="str">
        <f>CONCATENATE("          ","5086", " - ","PURCHASES @ COST-COMPUTER SUPP")</f>
        <v xml:space="preserve">          5086 - PURCHASES @ COST-COMPUTER SUPP</v>
      </c>
      <c r="C119" s="23"/>
      <c r="D119" s="2">
        <v>87.25</v>
      </c>
      <c r="E119" s="2">
        <v>21649.96</v>
      </c>
      <c r="F119" s="2">
        <v>18.760000000000002</v>
      </c>
      <c r="G119" s="2">
        <v>773.47</v>
      </c>
      <c r="H119" s="2"/>
      <c r="I119" s="2"/>
      <c r="J119" s="2"/>
      <c r="K119" s="2"/>
      <c r="L119" s="2"/>
      <c r="M119" s="2"/>
      <c r="N119" s="2"/>
      <c r="O119" s="2"/>
      <c r="Q119" s="2">
        <f>SUM(OSRRefD14_24x)+IFERROR(SUM(OSRRefE14_24x),0)</f>
        <v>22529.439999999999</v>
      </c>
    </row>
    <row r="120" spans="1:17" s="9" customFormat="1" hidden="1" outlineLevel="1" x14ac:dyDescent="0.25">
      <c r="A120" s="22"/>
      <c r="B120" s="13" t="str">
        <f>CONCATENATE("          ","5200", " - ","PURCHASES OFFSET")</f>
        <v xml:space="preserve">          5200 - PURCHASES OFFSET</v>
      </c>
      <c r="C120" s="23"/>
      <c r="D120" s="2">
        <v>-442822.05</v>
      </c>
      <c r="E120" s="2">
        <v>-586112.93000000005</v>
      </c>
      <c r="F120" s="2">
        <v>-1333358.52</v>
      </c>
      <c r="G120" s="2">
        <v>-434415.86</v>
      </c>
      <c r="H120" s="2"/>
      <c r="I120" s="2"/>
      <c r="J120" s="2"/>
      <c r="K120" s="2"/>
      <c r="L120" s="2"/>
      <c r="M120" s="2"/>
      <c r="N120" s="2"/>
      <c r="O120" s="2"/>
      <c r="Q120" s="2">
        <f>SUM(OSRRefD14_25x)+IFERROR(SUM(OSRRefE14_25x),0)</f>
        <v>-2796709.36</v>
      </c>
    </row>
    <row r="121" spans="1:17" s="9" customFormat="1" hidden="1" outlineLevel="1" x14ac:dyDescent="0.25">
      <c r="A121" s="22"/>
      <c r="B121" s="13" t="str">
        <f>CONCATENATE("          ","5300", " - ","COG$ OFFSET")</f>
        <v xml:space="preserve">          5300 - COG$ OFFSET</v>
      </c>
      <c r="C121" s="23"/>
      <c r="D121" s="2">
        <v>319584</v>
      </c>
      <c r="E121" s="2">
        <v>1248893</v>
      </c>
      <c r="F121" s="2">
        <v>466553</v>
      </c>
      <c r="G121" s="2">
        <v>241934</v>
      </c>
      <c r="H121" s="2"/>
      <c r="I121" s="2"/>
      <c r="J121" s="2"/>
      <c r="K121" s="2"/>
      <c r="L121" s="2"/>
      <c r="M121" s="2"/>
      <c r="N121" s="2"/>
      <c r="O121" s="2"/>
      <c r="Q121" s="2">
        <f>SUM(OSRRefD14_26x)+IFERROR(SUM(OSRRefE14_26x),0)</f>
        <v>2276964</v>
      </c>
    </row>
    <row r="122" spans="1:17" s="9" customFormat="1" hidden="1" outlineLevel="1" x14ac:dyDescent="0.25">
      <c r="A122" s="22"/>
      <c r="B122" s="13" t="str">
        <f>CONCATENATE("          ","5501", " - ","FREIGHT-IN-NEW TEXT")</f>
        <v xml:space="preserve">          5501 - FREIGHT-IN-NEW TEXT</v>
      </c>
      <c r="C122" s="23"/>
      <c r="D122" s="2">
        <v>802.72</v>
      </c>
      <c r="E122" s="2">
        <v>4680.5600000000004</v>
      </c>
      <c r="F122" s="2">
        <v>5279.6</v>
      </c>
      <c r="G122" s="2">
        <v>23295.74</v>
      </c>
      <c r="H122" s="2"/>
      <c r="I122" s="2"/>
      <c r="J122" s="2"/>
      <c r="K122" s="2"/>
      <c r="L122" s="2"/>
      <c r="M122" s="2"/>
      <c r="N122" s="2"/>
      <c r="O122" s="2"/>
      <c r="Q122" s="2">
        <f>SUM(OSRRefD14_27x)+IFERROR(SUM(OSRRefE14_27x),0)</f>
        <v>34058.620000000003</v>
      </c>
    </row>
    <row r="123" spans="1:17" s="9" customFormat="1" hidden="1" outlineLevel="1" x14ac:dyDescent="0.25">
      <c r="A123" s="22"/>
      <c r="B123" s="13" t="str">
        <f>CONCATENATE("          ","5502", " - ","FREIGHT-IN-USED TEXT")</f>
        <v xml:space="preserve">          5502 - FREIGHT-IN-USED TEXT</v>
      </c>
      <c r="C123" s="23"/>
      <c r="D123" s="2">
        <v>47.89</v>
      </c>
      <c r="E123" s="2">
        <v>1186.6600000000001</v>
      </c>
      <c r="F123" s="2">
        <v>7276.27</v>
      </c>
      <c r="G123" s="2">
        <v>2233.9</v>
      </c>
      <c r="H123" s="2"/>
      <c r="I123" s="2"/>
      <c r="J123" s="2"/>
      <c r="K123" s="2"/>
      <c r="L123" s="2"/>
      <c r="M123" s="2"/>
      <c r="N123" s="2"/>
      <c r="O123" s="2"/>
      <c r="Q123" s="2">
        <f>SUM(OSRRefD14_28x)+IFERROR(SUM(OSRRefE14_28x),0)</f>
        <v>10744.72</v>
      </c>
    </row>
    <row r="124" spans="1:17" s="9" customFormat="1" hidden="1" outlineLevel="1" x14ac:dyDescent="0.25">
      <c r="A124" s="22"/>
      <c r="B124" s="13" t="str">
        <f>CONCATENATE("          ","5504", " - ","FREIGHT-IN-DIGITAL TEXT")</f>
        <v xml:space="preserve">          5504 - FREIGHT-IN-DIGITAL TEXT</v>
      </c>
      <c r="C124" s="23"/>
      <c r="D124" s="2"/>
      <c r="E124" s="2"/>
      <c r="F124" s="2">
        <v>10.99</v>
      </c>
      <c r="G124" s="2">
        <v>10.99</v>
      </c>
      <c r="H124" s="2"/>
      <c r="I124" s="2"/>
      <c r="J124" s="2"/>
      <c r="K124" s="2"/>
      <c r="L124" s="2"/>
      <c r="M124" s="2"/>
      <c r="N124" s="2"/>
      <c r="O124" s="2"/>
      <c r="Q124" s="2">
        <f>SUM(OSRRefD14_29x)+IFERROR(SUM(OSRRefE14_29x),0)</f>
        <v>21.98</v>
      </c>
    </row>
    <row r="125" spans="1:17" s="9" customFormat="1" hidden="1" outlineLevel="1" x14ac:dyDescent="0.25">
      <c r="A125" s="22"/>
      <c r="B125" s="13" t="str">
        <f>CONCATENATE("          ","5525", " - ","FREIGHT-IN-TEST FORMS")</f>
        <v xml:space="preserve">          5525 - FREIGHT-IN-TEST FORMS</v>
      </c>
      <c r="C125" s="23"/>
      <c r="D125" s="2"/>
      <c r="E125" s="2"/>
      <c r="F125" s="2"/>
      <c r="G125" s="2">
        <v>48.14</v>
      </c>
      <c r="H125" s="2"/>
      <c r="I125" s="2"/>
      <c r="J125" s="2"/>
      <c r="K125" s="2"/>
      <c r="L125" s="2"/>
      <c r="M125" s="2"/>
      <c r="N125" s="2"/>
      <c r="O125" s="2"/>
      <c r="Q125" s="2">
        <f>SUM(OSRRefD14_30x)+IFERROR(SUM(OSRRefE14_30x),0)</f>
        <v>48.14</v>
      </c>
    </row>
    <row r="126" spans="1:17" s="9" customFormat="1" hidden="1" outlineLevel="1" x14ac:dyDescent="0.25">
      <c r="A126" s="22"/>
      <c r="B126" s="13" t="str">
        <f>CONCATENATE("          ","5527", " - ","FREIGHT-IN-SCHOOL SUPPLIES")</f>
        <v xml:space="preserve">          5527 - FREIGHT-IN-SCHOOL SUPPLIES</v>
      </c>
      <c r="C126" s="23"/>
      <c r="D126" s="2"/>
      <c r="E126" s="2"/>
      <c r="F126" s="2"/>
      <c r="G126" s="2">
        <v>56</v>
      </c>
      <c r="H126" s="2"/>
      <c r="I126" s="2"/>
      <c r="J126" s="2"/>
      <c r="K126" s="2"/>
      <c r="L126" s="2"/>
      <c r="M126" s="2"/>
      <c r="N126" s="2"/>
      <c r="O126" s="2"/>
      <c r="Q126" s="2">
        <f>SUM(OSRRefD14_31x)+IFERROR(SUM(OSRRefE14_31x),0)</f>
        <v>56</v>
      </c>
    </row>
    <row r="127" spans="1:17" s="9" customFormat="1" hidden="1" outlineLevel="1" x14ac:dyDescent="0.25">
      <c r="A127" s="22"/>
      <c r="B127" s="13" t="str">
        <f>CONCATENATE("          ","5528", " - ","FREIGHT-IN-ART/TECH")</f>
        <v xml:space="preserve">          5528 - FREIGHT-IN-ART/TECH</v>
      </c>
      <c r="C127" s="23"/>
      <c r="D127" s="2">
        <v>38.049999999999997</v>
      </c>
      <c r="E127" s="2"/>
      <c r="F127" s="2">
        <v>6.76</v>
      </c>
      <c r="G127" s="2">
        <v>239.39</v>
      </c>
      <c r="H127" s="2"/>
      <c r="I127" s="2"/>
      <c r="J127" s="2"/>
      <c r="K127" s="2"/>
      <c r="L127" s="2"/>
      <c r="M127" s="2"/>
      <c r="N127" s="2"/>
      <c r="O127" s="2"/>
      <c r="Q127" s="2">
        <f>SUM(OSRRefD14_32x)+IFERROR(SUM(OSRRefE14_32x),0)</f>
        <v>284.2</v>
      </c>
    </row>
    <row r="128" spans="1:17" s="9" customFormat="1" hidden="1" outlineLevel="1" x14ac:dyDescent="0.25">
      <c r="A128" s="22"/>
      <c r="B128" s="13" t="str">
        <f>CONCATENATE("          ","5540", " - ","FREIGHT-IN-LOGO CLOTHING")</f>
        <v xml:space="preserve">          5540 - FREIGHT-IN-LOGO CLOTHING</v>
      </c>
      <c r="C128" s="23"/>
      <c r="D128" s="2">
        <v>909.83</v>
      </c>
      <c r="E128" s="2">
        <v>1021.7</v>
      </c>
      <c r="F128" s="2">
        <v>234.23</v>
      </c>
      <c r="G128" s="2">
        <v>1036.57</v>
      </c>
      <c r="H128" s="2"/>
      <c r="I128" s="2"/>
      <c r="J128" s="2"/>
      <c r="K128" s="2"/>
      <c r="L128" s="2"/>
      <c r="M128" s="2"/>
      <c r="N128" s="2"/>
      <c r="O128" s="2"/>
      <c r="Q128" s="2">
        <f>SUM(OSRRefD14_33x)+IFERROR(SUM(OSRRefE14_33x),0)</f>
        <v>3202.33</v>
      </c>
    </row>
    <row r="129" spans="1:17" s="9" customFormat="1" hidden="1" outlineLevel="1" x14ac:dyDescent="0.25">
      <c r="A129" s="22"/>
      <c r="B129" s="13" t="str">
        <f>CONCATENATE("          ","5541", " - ","FREIGHT-IN-LOGO GIFTS")</f>
        <v xml:space="preserve">          5541 - FREIGHT-IN-LOGO GIFTS</v>
      </c>
      <c r="C129" s="23"/>
      <c r="D129" s="2">
        <v>83.58</v>
      </c>
      <c r="E129" s="2">
        <v>123.12</v>
      </c>
      <c r="F129" s="2">
        <v>154.41</v>
      </c>
      <c r="G129" s="2">
        <v>773.7</v>
      </c>
      <c r="H129" s="2"/>
      <c r="I129" s="2"/>
      <c r="J129" s="2"/>
      <c r="K129" s="2"/>
      <c r="L129" s="2"/>
      <c r="M129" s="2"/>
      <c r="N129" s="2"/>
      <c r="O129" s="2"/>
      <c r="Q129" s="2">
        <f>SUM(OSRRefD14_34x)+IFERROR(SUM(OSRRefE14_34x),0)</f>
        <v>1134.81</v>
      </c>
    </row>
    <row r="130" spans="1:17" s="9" customFormat="1" hidden="1" outlineLevel="1" x14ac:dyDescent="0.25">
      <c r="A130" s="22"/>
      <c r="B130" s="13" t="str">
        <f>CONCATENATE("          ","5542", " - ","FREIGHT-IN-EVERYDAY GIFTS")</f>
        <v xml:space="preserve">          5542 - FREIGHT-IN-EVERYDAY GIFTS</v>
      </c>
      <c r="C130" s="23"/>
      <c r="D130" s="2">
        <v>5.94</v>
      </c>
      <c r="E130" s="2"/>
      <c r="F130" s="2">
        <v>65.44</v>
      </c>
      <c r="G130" s="2">
        <v>104.17</v>
      </c>
      <c r="H130" s="2"/>
      <c r="I130" s="2"/>
      <c r="J130" s="2"/>
      <c r="K130" s="2"/>
      <c r="L130" s="2"/>
      <c r="M130" s="2"/>
      <c r="N130" s="2"/>
      <c r="O130" s="2"/>
      <c r="Q130" s="2">
        <f>SUM(OSRRefD14_35x)+IFERROR(SUM(OSRRefE14_35x),0)</f>
        <v>175.55</v>
      </c>
    </row>
    <row r="131" spans="1:17" s="9" customFormat="1" hidden="1" outlineLevel="1" x14ac:dyDescent="0.25">
      <c r="A131" s="22"/>
      <c r="B131" s="13" t="str">
        <f>CONCATENATE("          ","5543", " - ","FREIGHT-IN-CARDS")</f>
        <v xml:space="preserve">          5543 - FREIGHT-IN-CARDS</v>
      </c>
      <c r="C131" s="23"/>
      <c r="D131" s="2"/>
      <c r="E131" s="2"/>
      <c r="F131" s="2">
        <v>81.77</v>
      </c>
      <c r="G131" s="2">
        <v>107.42</v>
      </c>
      <c r="H131" s="2"/>
      <c r="I131" s="2"/>
      <c r="J131" s="2"/>
      <c r="K131" s="2"/>
      <c r="L131" s="2"/>
      <c r="M131" s="2"/>
      <c r="N131" s="2"/>
      <c r="O131" s="2"/>
      <c r="Q131" s="2">
        <f>SUM(OSRRefD14_36x)+IFERROR(SUM(OSRRefE14_36x),0)</f>
        <v>189.19</v>
      </c>
    </row>
    <row r="132" spans="1:17" s="9" customFormat="1" hidden="1" outlineLevel="1" x14ac:dyDescent="0.25">
      <c r="A132" s="22"/>
      <c r="B132" s="13" t="str">
        <f>CONCATENATE("          ","5545", " - ","FREIGHT-IN-SPECIAL ORDERS")</f>
        <v xml:space="preserve">          5545 - FREIGHT-IN-SPECIAL ORDERS</v>
      </c>
      <c r="C132" s="23"/>
      <c r="D132" s="2">
        <v>300.39999999999998</v>
      </c>
      <c r="E132" s="2">
        <v>145.6</v>
      </c>
      <c r="F132" s="2">
        <v>214.61</v>
      </c>
      <c r="G132" s="2">
        <v>189.66</v>
      </c>
      <c r="H132" s="2"/>
      <c r="I132" s="2"/>
      <c r="J132" s="2"/>
      <c r="K132" s="2"/>
      <c r="L132" s="2"/>
      <c r="M132" s="2"/>
      <c r="N132" s="2"/>
      <c r="O132" s="2"/>
      <c r="Q132" s="2">
        <f>SUM(OSRRefD14_37x)+IFERROR(SUM(OSRRefE14_37x),0)</f>
        <v>850.27</v>
      </c>
    </row>
    <row r="133" spans="1:17" s="9" customFormat="1" hidden="1" outlineLevel="1" x14ac:dyDescent="0.25">
      <c r="A133" s="22"/>
      <c r="B133" s="13" t="str">
        <f>CONCATENATE("          ","5582", " - ","FREIGHT-IN-COMPUTER HARDWARE")</f>
        <v xml:space="preserve">          5582 - FREIGHT-IN-COMPUTER HARDWARE</v>
      </c>
      <c r="C133" s="23"/>
      <c r="D133" s="2"/>
      <c r="E133" s="2"/>
      <c r="F133" s="2">
        <v>24</v>
      </c>
      <c r="G133" s="2">
        <v>70</v>
      </c>
      <c r="H133" s="2"/>
      <c r="I133" s="2"/>
      <c r="J133" s="2"/>
      <c r="K133" s="2"/>
      <c r="L133" s="2"/>
      <c r="M133" s="2"/>
      <c r="N133" s="2"/>
      <c r="O133" s="2"/>
      <c r="Q133" s="2">
        <f>SUM(OSRRefD14_38x)+IFERROR(SUM(OSRRefE14_38x),0)</f>
        <v>94</v>
      </c>
    </row>
    <row r="134" spans="1:17" s="9" customFormat="1" hidden="1" outlineLevel="1" x14ac:dyDescent="0.25">
      <c r="A134" s="22"/>
      <c r="B134" s="13" t="str">
        <f>CONCATENATE("          ","5583", " - ","FREIGHT-IN-COMPUTER EQUIPMENT")</f>
        <v xml:space="preserve">          5583 - FREIGHT-IN-COMPUTER EQUIPMENT</v>
      </c>
      <c r="C134" s="23"/>
      <c r="D134" s="2">
        <v>17.39</v>
      </c>
      <c r="E134" s="2"/>
      <c r="F134" s="2">
        <v>156</v>
      </c>
      <c r="G134" s="2">
        <v>51.78</v>
      </c>
      <c r="H134" s="2"/>
      <c r="I134" s="2"/>
      <c r="J134" s="2"/>
      <c r="K134" s="2"/>
      <c r="L134" s="2"/>
      <c r="M134" s="2"/>
      <c r="N134" s="2"/>
      <c r="O134" s="2"/>
      <c r="Q134" s="2">
        <f>SUM(OSRRefD14_39x)+IFERROR(SUM(OSRRefE14_39x),0)</f>
        <v>225.17</v>
      </c>
    </row>
    <row r="135" spans="1:17" s="9" customFormat="1" hidden="1" outlineLevel="1" x14ac:dyDescent="0.25">
      <c r="A135" s="22"/>
      <c r="B135" s="13" t="str">
        <f>CONCATENATE("          ","5586", " - ","FREIGHT-IN-COMPUTER SUPPLIES")</f>
        <v xml:space="preserve">          5586 - FREIGHT-IN-COMPUTER SUPPLIES</v>
      </c>
      <c r="C135" s="23"/>
      <c r="D135" s="2"/>
      <c r="E135" s="2">
        <v>24.12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Q135" s="2">
        <f>SUM(OSRRefD14_40x)+IFERROR(SUM(OSRRefE14_40x),0)</f>
        <v>24.12</v>
      </c>
    </row>
    <row r="136" spans="1:17" x14ac:dyDescent="0.25">
      <c r="A136" s="5"/>
      <c r="B136" s="8"/>
      <c r="C136" s="8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Q136" s="3"/>
    </row>
    <row r="137" spans="1:17" s="14" customFormat="1" x14ac:dyDescent="0.25">
      <c r="A137" s="8"/>
      <c r="B137" s="17" t="s">
        <v>6</v>
      </c>
      <c r="C137" s="17"/>
      <c r="D137" s="6">
        <f t="shared" ref="D137:O137" si="17">IFERROR(+D10-D94, 0)</f>
        <v>140094.12999999989</v>
      </c>
      <c r="E137" s="6">
        <f t="shared" si="17"/>
        <v>602829.42000000016</v>
      </c>
      <c r="F137" s="6">
        <f t="shared" si="17"/>
        <v>357053.18000000028</v>
      </c>
      <c r="G137" s="6">
        <f t="shared" si="17"/>
        <v>346546.22000000026</v>
      </c>
      <c r="H137" s="6">
        <f t="shared" si="17"/>
        <v>282879.19999999995</v>
      </c>
      <c r="I137" s="6">
        <f t="shared" si="17"/>
        <v>267278</v>
      </c>
      <c r="J137" s="6">
        <f t="shared" si="17"/>
        <v>469798.40000000014</v>
      </c>
      <c r="K137" s="6">
        <f t="shared" si="17"/>
        <v>315004.69999999995</v>
      </c>
      <c r="L137" s="6">
        <f t="shared" si="17"/>
        <v>280226.30000000005</v>
      </c>
      <c r="M137" s="6">
        <f t="shared" si="17"/>
        <v>286546.55000000005</v>
      </c>
      <c r="N137" s="6">
        <f t="shared" si="17"/>
        <v>267726.80000000005</v>
      </c>
      <c r="O137" s="6">
        <f t="shared" si="17"/>
        <v>203359.90000000002</v>
      </c>
      <c r="Q137" s="6">
        <f>IFERROR(+Q10-Q94, 0)</f>
        <v>3819342.8000000045</v>
      </c>
    </row>
    <row r="138" spans="1:17" s="8" customFormat="1" x14ac:dyDescent="0.25">
      <c r="B138" s="16"/>
      <c r="C138" s="16"/>
      <c r="D138" s="4">
        <f t="shared" ref="D138:O138" si="18">IFERROR(D137/D10, 0)</f>
        <v>0.29375495050776523</v>
      </c>
      <c r="E138" s="4">
        <f t="shared" si="18"/>
        <v>0.27265107781359255</v>
      </c>
      <c r="F138" s="4">
        <f t="shared" si="18"/>
        <v>0.39858737560832891</v>
      </c>
      <c r="G138" s="4">
        <f t="shared" si="18"/>
        <v>0.50949151662746039</v>
      </c>
      <c r="H138" s="4">
        <f t="shared" si="18"/>
        <v>0.46771643023948706</v>
      </c>
      <c r="I138" s="4">
        <f t="shared" si="18"/>
        <v>0.50192391837102612</v>
      </c>
      <c r="J138" s="4">
        <f t="shared" si="18"/>
        <v>0.32914320047943824</v>
      </c>
      <c r="K138" s="4">
        <f t="shared" si="18"/>
        <v>0.45745891608251965</v>
      </c>
      <c r="L138" s="4">
        <f t="shared" si="18"/>
        <v>0.49447718004356006</v>
      </c>
      <c r="M138" s="4">
        <f t="shared" si="18"/>
        <v>0.40206927503391954</v>
      </c>
      <c r="N138" s="4">
        <f t="shared" si="18"/>
        <v>0.448374891643812</v>
      </c>
      <c r="O138" s="4">
        <f t="shared" si="18"/>
        <v>0.32274641207100108</v>
      </c>
      <c r="P138" s="18"/>
      <c r="Q138" s="4">
        <f>IFERROR(Q137/Q10, 0)</f>
        <v>0.38103061597919502</v>
      </c>
    </row>
    <row r="139" spans="1:17" x14ac:dyDescent="0.25">
      <c r="A139" s="5"/>
      <c r="B139" s="8"/>
      <c r="C139" s="5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Q139" s="1"/>
    </row>
    <row r="140" spans="1:17" s="14" customFormat="1" x14ac:dyDescent="0.25">
      <c r="A140" s="8"/>
      <c r="B140" s="16" t="s">
        <v>291</v>
      </c>
      <c r="C140" s="8"/>
      <c r="D140" s="10">
        <f>SUM(OSRRefD20x_0)</f>
        <v>699886.54999999993</v>
      </c>
      <c r="E140" s="10">
        <f>SUM(OSRRefD20x_1)</f>
        <v>609031.24000000011</v>
      </c>
      <c r="F140" s="10">
        <f>SUM(OSRRefD20x_2)</f>
        <v>689724.47</v>
      </c>
      <c r="G140" s="10">
        <f>SUM(OSRRefD20x_3)</f>
        <v>914242.08999999985</v>
      </c>
      <c r="H140" s="10">
        <f>SUM(OSRRefE20x_0)</f>
        <v>745341.49648233387</v>
      </c>
      <c r="I140" s="10">
        <f>SUM(OSRRefE20x_1)</f>
        <v>563291.58937785379</v>
      </c>
      <c r="J140" s="10">
        <f>SUM(OSRRefE20x_2)</f>
        <v>909483.75537003169</v>
      </c>
      <c r="K140" s="10">
        <f>SUM(OSRRefE20x_3)</f>
        <v>814095.40357392316</v>
      </c>
      <c r="L140" s="10">
        <f>SUM(OSRRefE20x_4)</f>
        <v>734848.89370503847</v>
      </c>
      <c r="M140" s="10">
        <f>SUM(OSRRefE20x_5)</f>
        <v>847107.28237321624</v>
      </c>
      <c r="N140" s="10">
        <f>SUM(OSRRefE20x_6)</f>
        <v>724894.64168303856</v>
      </c>
      <c r="O140" s="10">
        <f>SUM(OSRRefE20x_7)</f>
        <v>691996.83167718281</v>
      </c>
      <c r="Q140" s="10">
        <f>SUM(OSRRefG20x)</f>
        <v>8943944.2442426197</v>
      </c>
    </row>
    <row r="141" spans="1:17" s="34" customFormat="1" collapsed="1" x14ac:dyDescent="0.25">
      <c r="A141" s="35"/>
      <c r="B141" s="15" t="str">
        <f>CONCATENATE("     ","*Benefits                                         ")</f>
        <v xml:space="preserve">     *Benefits                                         </v>
      </c>
      <c r="C141" s="15"/>
      <c r="D141" s="1">
        <f>SUM(OSRRefD21_0x_0)</f>
        <v>154113.13999999998</v>
      </c>
      <c r="E141" s="1">
        <f>SUM(OSRRefD21_0x_1)</f>
        <v>151965.57999999999</v>
      </c>
      <c r="F141" s="1">
        <f>SUM(OSRRefD21_0x_2)</f>
        <v>157498.78</v>
      </c>
      <c r="G141" s="1">
        <f>SUM(OSRRefD21_0x_3)</f>
        <v>172384.21000000002</v>
      </c>
      <c r="H141" s="1">
        <f>SUM(OSRRefE21_0x_0)</f>
        <v>159034.26919556464</v>
      </c>
      <c r="I141" s="1">
        <f>SUM(OSRRefE21_0x_1)</f>
        <v>70306.632626469247</v>
      </c>
      <c r="J141" s="1">
        <f>SUM(OSRRefE21_0x_2)</f>
        <v>190299.98623214706</v>
      </c>
      <c r="K141" s="1">
        <f>SUM(OSRRefE21_0x_3)</f>
        <v>160127.31731561542</v>
      </c>
      <c r="L141" s="1">
        <f>SUM(OSRRefE21_0x_4)</f>
        <v>159358.06069673077</v>
      </c>
      <c r="M141" s="1">
        <f>SUM(OSRRefE21_0x_5)</f>
        <v>187083.43572533166</v>
      </c>
      <c r="N141" s="1">
        <f>SUM(OSRRefE21_0x_6)</f>
        <v>158119.2792247308</v>
      </c>
      <c r="O141" s="1">
        <f>SUM(OSRRefE21_0x_7)</f>
        <v>160369.66506887504</v>
      </c>
      <c r="Q141" s="2">
        <f>SUM(OSRRefD20_0x)+IFERROR(SUM(OSRRefE20_0x),0)</f>
        <v>1880660.3560854646</v>
      </c>
    </row>
    <row r="142" spans="1:17" s="34" customFormat="1" hidden="1" outlineLevel="1" x14ac:dyDescent="0.25">
      <c r="A142" s="35"/>
      <c r="B142" s="13" t="str">
        <f>CONCATENATE("          ","6111", " - ","F.I.C.A.")</f>
        <v xml:space="preserve">          6111 - F.I.C.A.</v>
      </c>
      <c r="C142" s="15"/>
      <c r="D142" s="21">
        <v>18869.66</v>
      </c>
      <c r="E142" s="21">
        <v>22595.21</v>
      </c>
      <c r="F142" s="21">
        <v>24213.34</v>
      </c>
      <c r="G142" s="21">
        <v>33152.579999999994</v>
      </c>
      <c r="H142" s="21">
        <v>19288.39677871847</v>
      </c>
      <c r="I142" s="21">
        <v>10515.051691315388</v>
      </c>
      <c r="J142" s="21">
        <v>25427.959091870183</v>
      </c>
      <c r="K142" s="21">
        <v>19441.960446196157</v>
      </c>
      <c r="L142" s="21">
        <v>19428.827898196159</v>
      </c>
      <c r="M142" s="21">
        <v>24302.450557745186</v>
      </c>
      <c r="N142" s="21">
        <v>19494.174951946159</v>
      </c>
      <c r="O142" s="21">
        <v>23471.133888571159</v>
      </c>
      <c r="P142" s="36"/>
      <c r="Q142" s="2">
        <f>SUM(OSRRefD21_0_0x)+IFERROR(SUM(OSRRefE21_0_0x),0)</f>
        <v>260200.74530455883</v>
      </c>
    </row>
    <row r="143" spans="1:17" s="34" customFormat="1" hidden="1" outlineLevel="1" x14ac:dyDescent="0.25">
      <c r="A143" s="35"/>
      <c r="B143" s="13" t="str">
        <f>CONCATENATE("          ","6112", " - ","COMPENSATION INSURANCE")</f>
        <v xml:space="preserve">          6112 - COMPENSATION INSURANCE</v>
      </c>
      <c r="C143" s="15"/>
      <c r="D143" s="21">
        <v>6219.84</v>
      </c>
      <c r="E143" s="21">
        <v>7180.93</v>
      </c>
      <c r="F143" s="21">
        <v>10584.2</v>
      </c>
      <c r="G143" s="21">
        <v>7630.81</v>
      </c>
      <c r="H143" s="21">
        <v>10523.69137663077</v>
      </c>
      <c r="I143" s="21">
        <v>5392.0265226923048</v>
      </c>
      <c r="J143" s="21">
        <v>13605.693721153846</v>
      </c>
      <c r="K143" s="21">
        <v>10845.431137073076</v>
      </c>
      <c r="L143" s="21">
        <v>10525.974404573075</v>
      </c>
      <c r="M143" s="21">
        <v>12663.497431028849</v>
      </c>
      <c r="N143" s="21">
        <v>9780.0000283230747</v>
      </c>
      <c r="O143" s="21">
        <v>8603.4822695730782</v>
      </c>
      <c r="P143" s="36"/>
      <c r="Q143" s="2">
        <f>SUM(OSRRefD21_0_1x)+IFERROR(SUM(OSRRefE21_0_1x),0)</f>
        <v>113555.57689104808</v>
      </c>
    </row>
    <row r="144" spans="1:17" s="34" customFormat="1" hidden="1" outlineLevel="1" x14ac:dyDescent="0.25">
      <c r="A144" s="35"/>
      <c r="B144" s="13" t="str">
        <f>CONCATENATE("          ","6113", " - ","GROUP INSURANCE")</f>
        <v xml:space="preserve">          6113 - GROUP INSURANCE</v>
      </c>
      <c r="C144" s="15"/>
      <c r="D144" s="21">
        <v>75665</v>
      </c>
      <c r="E144" s="21">
        <v>75559.64</v>
      </c>
      <c r="F144" s="21">
        <v>74825.47</v>
      </c>
      <c r="G144" s="21">
        <v>74141.570000000007</v>
      </c>
      <c r="H144" s="21">
        <v>84835.769230769263</v>
      </c>
      <c r="I144" s="21">
        <v>26147.692307692305</v>
      </c>
      <c r="J144" s="21">
        <v>96232.076923076849</v>
      </c>
      <c r="K144" s="21">
        <v>84835.769230769263</v>
      </c>
      <c r="L144" s="21">
        <v>84744.384615384639</v>
      </c>
      <c r="M144" s="21">
        <v>96323.461538461459</v>
      </c>
      <c r="N144" s="21">
        <v>84744.384615384639</v>
      </c>
      <c r="O144" s="21">
        <v>84927.153846153873</v>
      </c>
      <c r="P144" s="36"/>
      <c r="Q144" s="2">
        <f>SUM(OSRRefD21_0_2x)+IFERROR(SUM(OSRRefE21_0_2x),0)</f>
        <v>942982.37230769231</v>
      </c>
    </row>
    <row r="145" spans="1:17" s="34" customFormat="1" hidden="1" outlineLevel="1" x14ac:dyDescent="0.25">
      <c r="A145" s="35"/>
      <c r="B145" s="13" t="str">
        <f>CONCATENATE("          ","6114", " - ","STATE UNEMPLOYMENT INSURANCE")</f>
        <v xml:space="preserve">          6114 - STATE UNEMPLOYMENT INSURANCE</v>
      </c>
      <c r="C145" s="15"/>
      <c r="D145" s="21">
        <v>722.18</v>
      </c>
      <c r="E145" s="21">
        <v>779.29</v>
      </c>
      <c r="F145" s="21">
        <v>982.97</v>
      </c>
      <c r="G145" s="21">
        <v>756.23</v>
      </c>
      <c r="H145" s="21">
        <v>929.93307560000005</v>
      </c>
      <c r="I145" s="21">
        <v>628.03981399999998</v>
      </c>
      <c r="J145" s="21">
        <v>1326.0712771999999</v>
      </c>
      <c r="K145" s="21">
        <v>991.31060950000006</v>
      </c>
      <c r="L145" s="21">
        <v>947.00243649999993</v>
      </c>
      <c r="M145" s="21">
        <v>1145.3831767500001</v>
      </c>
      <c r="N145" s="21">
        <v>905.73996199999999</v>
      </c>
      <c r="O145" s="21">
        <v>802.97182249999992</v>
      </c>
      <c r="P145" s="36"/>
      <c r="Q145" s="2">
        <f>SUM(OSRRefD21_0_3x)+IFERROR(SUM(OSRRefE21_0_3x),0)</f>
        <v>10917.12217405</v>
      </c>
    </row>
    <row r="146" spans="1:17" s="34" customFormat="1" hidden="1" outlineLevel="1" x14ac:dyDescent="0.25">
      <c r="A146" s="35"/>
      <c r="B146" s="13" t="str">
        <f>CONCATENATE("          ","6115", " - ","P.E.R.S.")</f>
        <v xml:space="preserve">          6115 - P.E.R.S.</v>
      </c>
      <c r="C146" s="15"/>
      <c r="D146" s="21">
        <v>21251.449999999997</v>
      </c>
      <c r="E146" s="21">
        <v>14241.5</v>
      </c>
      <c r="F146" s="21">
        <v>14016.4</v>
      </c>
      <c r="G146" s="21">
        <v>12331.13</v>
      </c>
      <c r="H146" s="21">
        <v>12312.490272307696</v>
      </c>
      <c r="I146" s="21">
        <v>8180.6962169230719</v>
      </c>
      <c r="J146" s="21">
        <v>15519.993530961547</v>
      </c>
      <c r="K146" s="21">
        <v>12415.994824769234</v>
      </c>
      <c r="L146" s="21">
        <v>12415.994824769234</v>
      </c>
      <c r="M146" s="21">
        <v>15519.993530961547</v>
      </c>
      <c r="N146" s="21">
        <v>12415.994824769234</v>
      </c>
      <c r="O146" s="21">
        <v>12415.994824769234</v>
      </c>
      <c r="P146" s="36"/>
      <c r="Q146" s="2">
        <f>SUM(OSRRefD21_0_4x)+IFERROR(SUM(OSRRefE21_0_4x),0)</f>
        <v>163037.63285023079</v>
      </c>
    </row>
    <row r="147" spans="1:17" s="34" customFormat="1" hidden="1" outlineLevel="1" x14ac:dyDescent="0.25">
      <c r="A147" s="35"/>
      <c r="B147" s="13" t="str">
        <f>CONCATENATE("          ","6116", " - ","EDUCATIONAL BENEFITS")</f>
        <v xml:space="preserve">          6116 - EDUCATIONAL BENEFITS</v>
      </c>
      <c r="C147" s="15"/>
      <c r="D147" s="21">
        <v>0</v>
      </c>
      <c r="E147" s="21"/>
      <c r="F147" s="21"/>
      <c r="G147" s="21"/>
      <c r="H147" s="21">
        <v>0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1">
        <v>0</v>
      </c>
      <c r="P147" s="36"/>
      <c r="Q147" s="2">
        <f>SUM(OSRRefD21_0_5x)+IFERROR(SUM(OSRRefE21_0_5x),0)</f>
        <v>0</v>
      </c>
    </row>
    <row r="148" spans="1:17" s="34" customFormat="1" hidden="1" outlineLevel="1" x14ac:dyDescent="0.25">
      <c r="A148" s="35"/>
      <c r="B148" s="13" t="str">
        <f>CONCATENATE("          ","6117", " - ","RETIREMENT STAFF HOURLY")</f>
        <v xml:space="preserve">          6117 - RETIREMENT STAFF HOURLY</v>
      </c>
      <c r="C148" s="15"/>
      <c r="D148" s="21">
        <v>2649.82</v>
      </c>
      <c r="E148" s="21">
        <v>1920.07</v>
      </c>
      <c r="F148" s="21">
        <v>2046.41</v>
      </c>
      <c r="G148" s="21">
        <v>1868.21</v>
      </c>
      <c r="H148" s="21"/>
      <c r="I148" s="21"/>
      <c r="J148" s="21"/>
      <c r="K148" s="21"/>
      <c r="L148" s="21"/>
      <c r="M148" s="21"/>
      <c r="N148" s="21"/>
      <c r="O148" s="21"/>
      <c r="P148" s="36"/>
      <c r="Q148" s="2">
        <f>SUM(OSRRefD21_0_6x)+IFERROR(SUM(OSRRefE21_0_6x),0)</f>
        <v>8484.51</v>
      </c>
    </row>
    <row r="149" spans="1:17" s="34" customFormat="1" hidden="1" outlineLevel="1" x14ac:dyDescent="0.25">
      <c r="A149" s="35"/>
      <c r="B149" s="13" t="str">
        <f>CONCATENATE("          ","6118", " - ","VACATION")</f>
        <v xml:space="preserve">          6118 - VACATION</v>
      </c>
      <c r="C149" s="15"/>
      <c r="D149" s="21">
        <v>14322.85</v>
      </c>
      <c r="E149" s="21">
        <v>14846.529999999999</v>
      </c>
      <c r="F149" s="21">
        <v>15107.470000000001</v>
      </c>
      <c r="G149" s="21">
        <v>21889.86</v>
      </c>
      <c r="H149" s="21">
        <v>13257.58758615385</v>
      </c>
      <c r="I149" s="21">
        <v>6372.6263246153922</v>
      </c>
      <c r="J149" s="21">
        <v>16665.382050961536</v>
      </c>
      <c r="K149" s="21">
        <v>13339.169640769231</v>
      </c>
      <c r="L149" s="21">
        <v>13330.589640769231</v>
      </c>
      <c r="M149" s="21">
        <v>16673.962050961534</v>
      </c>
      <c r="N149" s="21">
        <v>13330.589640769231</v>
      </c>
      <c r="O149" s="21">
        <v>13347.749640769231</v>
      </c>
      <c r="P149" s="36"/>
      <c r="Q149" s="2">
        <f>SUM(OSRRefD21_0_7x)+IFERROR(SUM(OSRRefE21_0_7x),0)</f>
        <v>172484.36657576924</v>
      </c>
    </row>
    <row r="150" spans="1:17" s="34" customFormat="1" hidden="1" outlineLevel="1" x14ac:dyDescent="0.25">
      <c r="A150" s="35"/>
      <c r="B150" s="13" t="str">
        <f>CONCATENATE("          ","6119", " - ","SICK LEAVE")</f>
        <v xml:space="preserve">          6119 - SICK LEAVE</v>
      </c>
      <c r="C150" s="15"/>
      <c r="D150" s="21">
        <v>10199.56</v>
      </c>
      <c r="E150" s="21">
        <v>10199.56</v>
      </c>
      <c r="F150" s="21">
        <v>10103.620000000001</v>
      </c>
      <c r="G150" s="21">
        <v>14712.85</v>
      </c>
      <c r="H150" s="21">
        <v>11186.400875384608</v>
      </c>
      <c r="I150" s="21">
        <v>6370.4997492307721</v>
      </c>
      <c r="J150" s="21">
        <v>14822.809636923072</v>
      </c>
      <c r="K150" s="21">
        <v>11557.68142653846</v>
      </c>
      <c r="L150" s="21">
        <v>11265.286876538461</v>
      </c>
      <c r="M150" s="21">
        <v>13754.687439423073</v>
      </c>
      <c r="N150" s="21">
        <v>10748.39520153846</v>
      </c>
      <c r="O150" s="21">
        <v>10101.17877653846</v>
      </c>
      <c r="P150" s="36"/>
      <c r="Q150" s="2">
        <f>SUM(OSRRefD21_0_8x)+IFERROR(SUM(OSRRefE21_0_8x),0)</f>
        <v>135022.52998211537</v>
      </c>
    </row>
    <row r="151" spans="1:17" s="34" customFormat="1" hidden="1" outlineLevel="1" x14ac:dyDescent="0.25">
      <c r="A151" s="35"/>
      <c r="B151" s="13" t="str">
        <f>CONCATENATE("          ","6156", " - ","EMPLOYEE MEALS")</f>
        <v xml:space="preserve">          6156 - EMPLOYEE MEALS</v>
      </c>
      <c r="C151" s="15"/>
      <c r="D151" s="21">
        <v>4212.78</v>
      </c>
      <c r="E151" s="21">
        <v>4642.8500000000004</v>
      </c>
      <c r="F151" s="21">
        <v>5618.9</v>
      </c>
      <c r="G151" s="21">
        <v>5900.97</v>
      </c>
      <c r="H151" s="21">
        <v>6700</v>
      </c>
      <c r="I151" s="21">
        <v>6700</v>
      </c>
      <c r="J151" s="21">
        <v>6700</v>
      </c>
      <c r="K151" s="21">
        <v>6700</v>
      </c>
      <c r="L151" s="21">
        <v>6700</v>
      </c>
      <c r="M151" s="21">
        <v>6700</v>
      </c>
      <c r="N151" s="21">
        <v>6700</v>
      </c>
      <c r="O151" s="21">
        <v>6700</v>
      </c>
      <c r="P151" s="36"/>
      <c r="Q151" s="2">
        <f>SUM(OSRRefD21_0_9x)+IFERROR(SUM(OSRRefE21_0_9x),0)</f>
        <v>73975.5</v>
      </c>
    </row>
    <row r="152" spans="1:17" s="34" customFormat="1" collapsed="1" x14ac:dyDescent="0.25">
      <c r="A152" s="35"/>
      <c r="B152" s="15" t="str">
        <f>CONCATENATE("     ","*Payroll                                          ")</f>
        <v xml:space="preserve">     *Payroll                                          </v>
      </c>
      <c r="C152" s="15"/>
      <c r="D152" s="1">
        <f>SUM(OSRRefD21_1x_0)</f>
        <v>277403.17000000004</v>
      </c>
      <c r="E152" s="1">
        <f>SUM(OSRRefD21_1x_1)</f>
        <v>314680.14999999997</v>
      </c>
      <c r="F152" s="1">
        <f>SUM(OSRRefD21_1x_2)</f>
        <v>302225.3</v>
      </c>
      <c r="G152" s="1">
        <f>SUM(OSRRefD21_1x_3)</f>
        <v>322845.24</v>
      </c>
      <c r="H152" s="1">
        <f>SUM(OSRRefE21_1x_0)</f>
        <v>328749.22728676925</v>
      </c>
      <c r="I152" s="1">
        <f>SUM(OSRRefE21_1x_1)</f>
        <v>224481.95675138457</v>
      </c>
      <c r="J152" s="1">
        <f>SUM(OSRRefE21_1x_2)</f>
        <v>473642.76913788461</v>
      </c>
      <c r="K152" s="1">
        <f>SUM(OSRRefE21_1x_3)</f>
        <v>352277.08625830774</v>
      </c>
      <c r="L152" s="1">
        <f>SUM(OSRRefE21_1x_4)</f>
        <v>335256.83300830773</v>
      </c>
      <c r="M152" s="1">
        <f>SUM(OSRRefE21_1x_5)</f>
        <v>404589.84664788464</v>
      </c>
      <c r="N152" s="1">
        <f>SUM(OSRRefE21_1x_6)</f>
        <v>319970.36245830776</v>
      </c>
      <c r="O152" s="1">
        <f>SUM(OSRRefE21_1x_7)</f>
        <v>280821.16660830774</v>
      </c>
      <c r="Q152" s="2">
        <f>SUM(OSRRefD20_1x)+IFERROR(SUM(OSRRefE20_1x),0)</f>
        <v>3936943.1081571542</v>
      </c>
    </row>
    <row r="153" spans="1:17" s="34" customFormat="1" hidden="1" outlineLevel="1" x14ac:dyDescent="0.25">
      <c r="A153" s="35"/>
      <c r="B153" s="13" t="str">
        <f>CONCATENATE("          ","6001", " - ","ADMINISTRATIVE SALARIES")</f>
        <v xml:space="preserve">          6001 - ADMINISTRATIVE SALARIES</v>
      </c>
      <c r="C153" s="15"/>
      <c r="D153" s="21">
        <v>32190.44</v>
      </c>
      <c r="E153" s="21">
        <v>24856.46</v>
      </c>
      <c r="F153" s="21">
        <v>28440.28</v>
      </c>
      <c r="G153" s="21">
        <v>30125.759999999998</v>
      </c>
      <c r="H153" s="21">
        <v>23320.630769230771</v>
      </c>
      <c r="I153" s="21">
        <v>19512.938461538462</v>
      </c>
      <c r="J153" s="21">
        <v>29150.78846153845</v>
      </c>
      <c r="K153" s="21">
        <v>23320.630769230771</v>
      </c>
      <c r="L153" s="21">
        <v>23320.630769230771</v>
      </c>
      <c r="M153" s="21">
        <v>29150.78846153845</v>
      </c>
      <c r="N153" s="21">
        <v>23320.630769230771</v>
      </c>
      <c r="O153" s="21">
        <v>23320.630769230771</v>
      </c>
      <c r="P153" s="36"/>
      <c r="Q153" s="2">
        <f>SUM(OSRRefD21_1_0x)+IFERROR(SUM(OSRRefE21_1_0x),0)</f>
        <v>310030.60923076922</v>
      </c>
    </row>
    <row r="154" spans="1:17" s="34" customFormat="1" hidden="1" outlineLevel="1" x14ac:dyDescent="0.25">
      <c r="A154" s="35"/>
      <c r="B154" s="13" t="str">
        <f>CONCATENATE("          ","6002", " - ","STAFF SALARIES")</f>
        <v xml:space="preserve">          6002 - STAFF SALARIES</v>
      </c>
      <c r="C154" s="15"/>
      <c r="D154" s="21">
        <v>135928.07</v>
      </c>
      <c r="E154" s="21">
        <v>110527.54</v>
      </c>
      <c r="F154" s="21">
        <v>110555.99</v>
      </c>
      <c r="G154" s="21">
        <v>113887.76</v>
      </c>
      <c r="H154" s="21">
        <v>101194.33651753848</v>
      </c>
      <c r="I154" s="21">
        <v>62497.66320984612</v>
      </c>
      <c r="J154" s="21">
        <v>127851.99523634618</v>
      </c>
      <c r="K154" s="21">
        <v>102281.59618907695</v>
      </c>
      <c r="L154" s="21">
        <v>102281.59618907695</v>
      </c>
      <c r="M154" s="21">
        <v>127851.99523634618</v>
      </c>
      <c r="N154" s="21">
        <v>102281.59618907695</v>
      </c>
      <c r="O154" s="21">
        <v>102281.59618907695</v>
      </c>
      <c r="P154" s="36"/>
      <c r="Q154" s="2">
        <f>SUM(OSRRefD21_1_1x)+IFERROR(SUM(OSRRefE21_1_1x),0)</f>
        <v>1299421.7349563846</v>
      </c>
    </row>
    <row r="155" spans="1:17" s="34" customFormat="1" hidden="1" outlineLevel="1" x14ac:dyDescent="0.25">
      <c r="A155" s="35"/>
      <c r="B155" s="13" t="str">
        <f>CONCATENATE("          ","6003", " - ","STAFF HOURLY-9 MONTH")</f>
        <v xml:space="preserve">          6003 - STAFF HOURLY-9 MONTH</v>
      </c>
      <c r="C155" s="15"/>
      <c r="D155" s="21"/>
      <c r="E155" s="21"/>
      <c r="F155" s="21"/>
      <c r="G155" s="21"/>
      <c r="H155" s="21">
        <v>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36"/>
      <c r="Q155" s="2">
        <f>SUM(OSRRefD21_1_2x)+IFERROR(SUM(OSRRefE21_1_2x),0)</f>
        <v>0</v>
      </c>
    </row>
    <row r="156" spans="1:17" s="34" customFormat="1" hidden="1" outlineLevel="1" x14ac:dyDescent="0.25">
      <c r="A156" s="35"/>
      <c r="B156" s="13" t="str">
        <f>CONCATENATE("          ","6004", " - ","STAFF HOURLY")</f>
        <v xml:space="preserve">          6004 - STAFF HOURLY</v>
      </c>
      <c r="C156" s="15"/>
      <c r="D156" s="21">
        <v>54669.48</v>
      </c>
      <c r="E156" s="21">
        <v>64226.310000000005</v>
      </c>
      <c r="F156" s="21">
        <v>71482.58</v>
      </c>
      <c r="G156" s="21">
        <v>94314.06</v>
      </c>
      <c r="H156" s="21">
        <v>100691.71999999999</v>
      </c>
      <c r="I156" s="21">
        <v>39728.870080000001</v>
      </c>
      <c r="J156" s="21">
        <v>126666.83349999999</v>
      </c>
      <c r="K156" s="21">
        <v>101457.01879999999</v>
      </c>
      <c r="L156" s="21">
        <v>101302.5788</v>
      </c>
      <c r="M156" s="21">
        <v>126821.27350000001</v>
      </c>
      <c r="N156" s="21">
        <v>101302.5788</v>
      </c>
      <c r="O156" s="21">
        <v>104136.524</v>
      </c>
      <c r="P156" s="36"/>
      <c r="Q156" s="2">
        <f>SUM(OSRRefD21_1_3x)+IFERROR(SUM(OSRRefE21_1_3x),0)</f>
        <v>1086799.82748</v>
      </c>
    </row>
    <row r="157" spans="1:17" s="34" customFormat="1" hidden="1" outlineLevel="1" x14ac:dyDescent="0.25">
      <c r="A157" s="35"/>
      <c r="B157" s="13" t="str">
        <f>CONCATENATE("          ","6005", " - ","TEMPORARY WAGES-HOURLY")</f>
        <v xml:space="preserve">          6005 - TEMPORARY WAGES-HOURLY</v>
      </c>
      <c r="C157" s="15"/>
      <c r="D157" s="21">
        <v>19122.939999999999</v>
      </c>
      <c r="E157" s="21">
        <v>31518.659999999996</v>
      </c>
      <c r="F157" s="21">
        <v>48822.03</v>
      </c>
      <c r="G157" s="21">
        <v>52240.990000000005</v>
      </c>
      <c r="H157" s="21">
        <v>36032.225000000006</v>
      </c>
      <c r="I157" s="21">
        <v>28987.05</v>
      </c>
      <c r="J157" s="21">
        <v>25698.375</v>
      </c>
      <c r="K157" s="21">
        <v>37890.42</v>
      </c>
      <c r="L157" s="21">
        <v>37890.42</v>
      </c>
      <c r="M157" s="21">
        <v>38371.125</v>
      </c>
      <c r="N157" s="21">
        <v>20173.38</v>
      </c>
      <c r="O157" s="21">
        <v>2138.6550000000002</v>
      </c>
      <c r="P157" s="36"/>
      <c r="Q157" s="2">
        <f>SUM(OSRRefD21_1_4x)+IFERROR(SUM(OSRRefE21_1_4x),0)</f>
        <v>378886.27</v>
      </c>
    </row>
    <row r="158" spans="1:17" s="34" customFormat="1" hidden="1" outlineLevel="1" x14ac:dyDescent="0.25">
      <c r="A158" s="35"/>
      <c r="B158" s="13" t="str">
        <f>CONCATENATE("          ","6006", " - ","TEMPORARY PART TIME")</f>
        <v xml:space="preserve">          6006 - TEMPORARY PART TIME</v>
      </c>
      <c r="C158" s="15"/>
      <c r="D158" s="21">
        <v>2048.21</v>
      </c>
      <c r="E158" s="21">
        <v>1927.34</v>
      </c>
      <c r="F158" s="21">
        <v>1728.86</v>
      </c>
      <c r="G158" s="21">
        <v>1802.76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36"/>
      <c r="Q158" s="2">
        <f>SUM(OSRRefD21_1_5x)+IFERROR(SUM(OSRRefE21_1_5x),0)</f>
        <v>7507.17</v>
      </c>
    </row>
    <row r="159" spans="1:17" s="34" customFormat="1" hidden="1" outlineLevel="1" x14ac:dyDescent="0.25">
      <c r="A159" s="35"/>
      <c r="B159" s="13" t="str">
        <f>CONCATENATE("          ","6007", " - ","STUDENT HOURLY")</f>
        <v xml:space="preserve">          6007 - STUDENT HOURLY</v>
      </c>
      <c r="C159" s="15"/>
      <c r="D159" s="21">
        <v>33444.03</v>
      </c>
      <c r="E159" s="21">
        <v>80574.48</v>
      </c>
      <c r="F159" s="21">
        <v>36210.199999999997</v>
      </c>
      <c r="G159" s="21">
        <v>23964.41</v>
      </c>
      <c r="H159" s="21">
        <v>0</v>
      </c>
      <c r="I159" s="21">
        <v>275</v>
      </c>
      <c r="J159" s="21">
        <v>14878.362499999999</v>
      </c>
      <c r="K159" s="21">
        <v>0</v>
      </c>
      <c r="L159" s="21">
        <v>0</v>
      </c>
      <c r="M159" s="21">
        <v>0</v>
      </c>
      <c r="N159" s="21">
        <v>853.875</v>
      </c>
      <c r="O159" s="21">
        <v>48943.760650000004</v>
      </c>
      <c r="P159" s="36"/>
      <c r="Q159" s="2">
        <f>SUM(OSRRefD21_1_6x)+IFERROR(SUM(OSRRefE21_1_6x),0)</f>
        <v>239144.11814999999</v>
      </c>
    </row>
    <row r="160" spans="1:17" s="34" customFormat="1" hidden="1" outlineLevel="1" x14ac:dyDescent="0.25">
      <c r="A160" s="35"/>
      <c r="B160" s="13" t="str">
        <f>CONCATENATE("          ","6008", " - ","STUDENT HOURLY-FICA EXEMPT")</f>
        <v xml:space="preserve">          6008 - STUDENT HOURLY-FICA EXEMPT</v>
      </c>
      <c r="C160" s="15"/>
      <c r="D160" s="21"/>
      <c r="E160" s="21">
        <v>1049.3599999999999</v>
      </c>
      <c r="F160" s="21">
        <v>4985.3599999999997</v>
      </c>
      <c r="G160" s="21">
        <v>6509.5</v>
      </c>
      <c r="H160" s="21">
        <v>67510.314999999988</v>
      </c>
      <c r="I160" s="21">
        <v>73480.434999999998</v>
      </c>
      <c r="J160" s="21">
        <v>149396.41444000002</v>
      </c>
      <c r="K160" s="21">
        <v>87327.420499999993</v>
      </c>
      <c r="L160" s="21">
        <v>70461.607250000001</v>
      </c>
      <c r="M160" s="21">
        <v>82394.664449999997</v>
      </c>
      <c r="N160" s="21">
        <v>72038.301699999996</v>
      </c>
      <c r="O160" s="21">
        <v>0</v>
      </c>
      <c r="P160" s="36"/>
      <c r="Q160" s="2">
        <f>SUM(OSRRefD21_1_7x)+IFERROR(SUM(OSRRefE21_1_7x),0)</f>
        <v>615153.37833999994</v>
      </c>
    </row>
    <row r="161" spans="1:17" s="34" customFormat="1" hidden="1" outlineLevel="1" x14ac:dyDescent="0.25">
      <c r="A161" s="35"/>
      <c r="B161" s="13" t="str">
        <f>CONCATENATE("          ","6009", " - ","TEMPORARY-SEASONAL")</f>
        <v xml:space="preserve">          6009 - TEMPORARY-SEASONAL</v>
      </c>
      <c r="C161" s="15"/>
      <c r="D161" s="21"/>
      <c r="E161" s="21"/>
      <c r="F161" s="21"/>
      <c r="G161" s="21"/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36"/>
      <c r="Q161" s="2">
        <f>SUM(OSRRefD21_1_8x)+IFERROR(SUM(OSRRefE21_1_8x),0)</f>
        <v>0</v>
      </c>
    </row>
    <row r="162" spans="1:17" s="34" customFormat="1" hidden="1" outlineLevel="1" x14ac:dyDescent="0.25">
      <c r="A162" s="35"/>
      <c r="B162" s="13" t="str">
        <f>CONCATENATE("          ","6010", " - ","GRATUITY")</f>
        <v xml:space="preserve">          6010 - GRATUITY</v>
      </c>
      <c r="C162" s="15"/>
      <c r="D162" s="21"/>
      <c r="E162" s="21"/>
      <c r="F162" s="21"/>
      <c r="G162" s="21"/>
      <c r="H162" s="21">
        <v>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36"/>
      <c r="Q162" s="2">
        <f>SUM(OSRRefD21_1_9x)+IFERROR(SUM(OSRRefE21_1_9x),0)</f>
        <v>0</v>
      </c>
    </row>
    <row r="163" spans="1:17" s="34" customFormat="1" collapsed="1" x14ac:dyDescent="0.25">
      <c r="A163" s="35"/>
      <c r="B163" s="15" t="str">
        <f>CONCATENATE("     ","Advertising/Promo                                 ")</f>
        <v xml:space="preserve">     Advertising/Promo                                 </v>
      </c>
      <c r="C163" s="15"/>
      <c r="D163" s="1">
        <f>SUM(OSRRefD21_2x_0)</f>
        <v>3510.94</v>
      </c>
      <c r="E163" s="1">
        <f>SUM(OSRRefD21_2x_1)</f>
        <v>10215.11</v>
      </c>
      <c r="F163" s="1">
        <f>SUM(OSRRefD21_2x_2)</f>
        <v>441</v>
      </c>
      <c r="G163" s="1">
        <f>SUM(OSRRefD21_2x_3)</f>
        <v>1331.21</v>
      </c>
      <c r="H163" s="1">
        <f>SUM(OSRRefE21_2x_0)</f>
        <v>1069</v>
      </c>
      <c r="I163" s="1">
        <f>SUM(OSRRefE21_2x_1)</f>
        <v>1419</v>
      </c>
      <c r="J163" s="1">
        <f>SUM(OSRRefE21_2x_2)</f>
        <v>1219</v>
      </c>
      <c r="K163" s="1">
        <f>SUM(OSRRefE21_2x_3)</f>
        <v>1019</v>
      </c>
      <c r="L163" s="1">
        <f>SUM(OSRRefE21_2x_4)</f>
        <v>1069</v>
      </c>
      <c r="M163" s="1">
        <f>SUM(OSRRefE21_2x_5)</f>
        <v>1019</v>
      </c>
      <c r="N163" s="1">
        <f>SUM(OSRRefE21_2x_6)</f>
        <v>1469</v>
      </c>
      <c r="O163" s="1">
        <f>SUM(OSRRefE21_2x_7)</f>
        <v>1019</v>
      </c>
      <c r="Q163" s="2">
        <f>SUM(OSRRefD20_2x)+IFERROR(SUM(OSRRefE20_2x),0)</f>
        <v>24800.260000000002</v>
      </c>
    </row>
    <row r="164" spans="1:17" s="34" customFormat="1" hidden="1" outlineLevel="1" x14ac:dyDescent="0.25">
      <c r="A164" s="35"/>
      <c r="B164" s="13" t="str">
        <f>CONCATENATE("          ","6362", " - ","ADVERTISING EXPENSE")</f>
        <v xml:space="preserve">          6362 - ADVERTISING EXPENSE</v>
      </c>
      <c r="C164" s="15"/>
      <c r="D164" s="21">
        <v>3510.94</v>
      </c>
      <c r="E164" s="21">
        <v>10215.11</v>
      </c>
      <c r="F164" s="21">
        <v>441</v>
      </c>
      <c r="G164" s="21">
        <v>1331.21</v>
      </c>
      <c r="H164" s="21">
        <v>1069</v>
      </c>
      <c r="I164" s="21">
        <v>1419</v>
      </c>
      <c r="J164" s="21">
        <v>1219</v>
      </c>
      <c r="K164" s="21">
        <v>1019</v>
      </c>
      <c r="L164" s="21">
        <v>1069</v>
      </c>
      <c r="M164" s="21">
        <v>1019</v>
      </c>
      <c r="N164" s="21">
        <v>1469</v>
      </c>
      <c r="O164" s="21">
        <v>1019</v>
      </c>
      <c r="P164" s="36"/>
      <c r="Q164" s="2">
        <f>SUM(OSRRefD21_2_0x)+IFERROR(SUM(OSRRefE21_2_0x),0)</f>
        <v>24800.260000000002</v>
      </c>
    </row>
    <row r="165" spans="1:17" s="34" customFormat="1" collapsed="1" x14ac:dyDescent="0.25">
      <c r="A165" s="35"/>
      <c r="B165" s="15" t="str">
        <f>CONCATENATE("     ","Bad Debts/Over/Short                              ")</f>
        <v xml:space="preserve">     Bad Debts/Over/Short                              </v>
      </c>
      <c r="C165" s="15"/>
      <c r="D165" s="1">
        <f>SUM(OSRRefD21_3x_0)</f>
        <v>4.9800000000000004</v>
      </c>
      <c r="E165" s="1">
        <f>SUM(OSRRefD21_3x_1)</f>
        <v>102.42</v>
      </c>
      <c r="F165" s="1">
        <f>SUM(OSRRefD21_3x_2)</f>
        <v>-155.86000000000001</v>
      </c>
      <c r="G165" s="1">
        <f>SUM(OSRRefD21_3x_3)</f>
        <v>1510.35</v>
      </c>
      <c r="H165" s="1">
        <f>SUM(OSRRefE21_3x_0)</f>
        <v>114</v>
      </c>
      <c r="I165" s="1">
        <f>SUM(OSRRefE21_3x_1)</f>
        <v>114</v>
      </c>
      <c r="J165" s="1">
        <f>SUM(OSRRefE21_3x_2)</f>
        <v>111</v>
      </c>
      <c r="K165" s="1">
        <f>SUM(OSRRefE21_3x_3)</f>
        <v>111</v>
      </c>
      <c r="L165" s="1">
        <f>SUM(OSRRefE21_3x_4)</f>
        <v>114</v>
      </c>
      <c r="M165" s="1">
        <f>SUM(OSRRefE21_3x_5)</f>
        <v>113</v>
      </c>
      <c r="N165" s="1">
        <f>SUM(OSRRefE21_3x_6)</f>
        <v>111</v>
      </c>
      <c r="O165" s="1">
        <f>SUM(OSRRefE21_3x_7)</f>
        <v>95</v>
      </c>
      <c r="Q165" s="2">
        <f>SUM(OSRRefD20_3x)+IFERROR(SUM(OSRRefE20_3x),0)</f>
        <v>2344.89</v>
      </c>
    </row>
    <row r="166" spans="1:17" s="34" customFormat="1" hidden="1" outlineLevel="1" x14ac:dyDescent="0.25">
      <c r="A166" s="35"/>
      <c r="B166" s="13" t="str">
        <f>CONCATENATE("          ","6272", " - ","CASH (OVER/SHORT)")</f>
        <v xml:space="preserve">          6272 - CASH (OVER/SHORT)</v>
      </c>
      <c r="C166" s="15"/>
      <c r="D166" s="21">
        <v>4.9800000000000004</v>
      </c>
      <c r="E166" s="21">
        <v>102.42</v>
      </c>
      <c r="F166" s="21">
        <v>-155.86000000000001</v>
      </c>
      <c r="G166" s="21">
        <v>1510.35</v>
      </c>
      <c r="H166" s="21">
        <v>84</v>
      </c>
      <c r="I166" s="21">
        <v>84</v>
      </c>
      <c r="J166" s="21">
        <v>81</v>
      </c>
      <c r="K166" s="21">
        <v>81</v>
      </c>
      <c r="L166" s="21">
        <v>84</v>
      </c>
      <c r="M166" s="21">
        <v>83</v>
      </c>
      <c r="N166" s="21">
        <v>81</v>
      </c>
      <c r="O166" s="21">
        <v>65</v>
      </c>
      <c r="P166" s="36"/>
      <c r="Q166" s="2">
        <f>SUM(OSRRefD21_3_0x)+IFERROR(SUM(OSRRefE21_3_0x),0)</f>
        <v>2104.89</v>
      </c>
    </row>
    <row r="167" spans="1:17" s="34" customFormat="1" hidden="1" outlineLevel="1" x14ac:dyDescent="0.25">
      <c r="A167" s="35"/>
      <c r="B167" s="13" t="str">
        <f>CONCATENATE("          ","6342", " - ","BAD DEBT")</f>
        <v xml:space="preserve">          6342 - BAD DEBT</v>
      </c>
      <c r="C167" s="15"/>
      <c r="D167" s="21"/>
      <c r="E167" s="21"/>
      <c r="F167" s="21"/>
      <c r="G167" s="21"/>
      <c r="H167" s="21">
        <v>30</v>
      </c>
      <c r="I167" s="21">
        <v>30</v>
      </c>
      <c r="J167" s="21">
        <v>30</v>
      </c>
      <c r="K167" s="21">
        <v>30</v>
      </c>
      <c r="L167" s="21">
        <v>30</v>
      </c>
      <c r="M167" s="21">
        <v>30</v>
      </c>
      <c r="N167" s="21">
        <v>30</v>
      </c>
      <c r="O167" s="21">
        <v>30</v>
      </c>
      <c r="P167" s="36"/>
      <c r="Q167" s="2">
        <f>SUM(OSRRefD21_3_1x)+IFERROR(SUM(OSRRefE21_3_1x),0)</f>
        <v>240</v>
      </c>
    </row>
    <row r="168" spans="1:17" s="34" customFormat="1" collapsed="1" x14ac:dyDescent="0.25">
      <c r="A168" s="35"/>
      <c r="B168" s="15" t="str">
        <f>CONCATENATE("     ","Bank/card Fees                                    ")</f>
        <v xml:space="preserve">     Bank/card Fees                                    </v>
      </c>
      <c r="C168" s="15"/>
      <c r="D168" s="1">
        <f>SUM(OSRRefD21_4x_0)</f>
        <v>3706.36</v>
      </c>
      <c r="E168" s="1">
        <f>SUM(OSRRefD21_4x_1)</f>
        <v>22597.510000000002</v>
      </c>
      <c r="F168" s="1">
        <f>SUM(OSRRefD21_4x_2)</f>
        <v>9747.83</v>
      </c>
      <c r="G168" s="1">
        <f>SUM(OSRRefD21_4x_3)</f>
        <v>5909.57</v>
      </c>
      <c r="H168" s="1">
        <f>SUM(OSRRefE21_4x_0)</f>
        <v>8658</v>
      </c>
      <c r="I168" s="1">
        <f>SUM(OSRRefE21_4x_1)</f>
        <v>29191</v>
      </c>
      <c r="J168" s="1">
        <f>SUM(OSRRefE21_4x_2)</f>
        <v>14959</v>
      </c>
      <c r="K168" s="1">
        <f>SUM(OSRRefE21_4x_3)</f>
        <v>13101</v>
      </c>
      <c r="L168" s="1">
        <f>SUM(OSRRefE21_4x_4)</f>
        <v>14404</v>
      </c>
      <c r="M168" s="1">
        <f>SUM(OSRRefE21_4x_5)</f>
        <v>15507</v>
      </c>
      <c r="N168" s="1">
        <f>SUM(OSRRefE21_4x_6)</f>
        <v>9597</v>
      </c>
      <c r="O168" s="1">
        <f>SUM(OSRRefE21_4x_7)</f>
        <v>3326</v>
      </c>
      <c r="Q168" s="2">
        <f>SUM(OSRRefD20_4x)+IFERROR(SUM(OSRRefE20_4x),0)</f>
        <v>150704.27000000002</v>
      </c>
    </row>
    <row r="169" spans="1:17" s="34" customFormat="1" hidden="1" outlineLevel="1" x14ac:dyDescent="0.25">
      <c r="A169" s="35"/>
      <c r="B169" s="13" t="str">
        <f>CONCATENATE("          ","6381", " - ","BANK/CREDIT CARD FEES")</f>
        <v xml:space="preserve">          6381 - BANK/CREDIT CARD FEES</v>
      </c>
      <c r="C169" s="15"/>
      <c r="D169" s="21">
        <v>3706.36</v>
      </c>
      <c r="E169" s="21">
        <v>22597.510000000002</v>
      </c>
      <c r="F169" s="21">
        <v>9747.83</v>
      </c>
      <c r="G169" s="21">
        <v>5909.57</v>
      </c>
      <c r="H169" s="21">
        <v>8658</v>
      </c>
      <c r="I169" s="21">
        <v>29191</v>
      </c>
      <c r="J169" s="21">
        <v>14959</v>
      </c>
      <c r="K169" s="21">
        <v>13101</v>
      </c>
      <c r="L169" s="21">
        <v>14404</v>
      </c>
      <c r="M169" s="21">
        <v>15507</v>
      </c>
      <c r="N169" s="21">
        <v>9597</v>
      </c>
      <c r="O169" s="21">
        <v>3326</v>
      </c>
      <c r="P169" s="36"/>
      <c r="Q169" s="2">
        <f>SUM(OSRRefD21_4_0x)+IFERROR(SUM(OSRRefE21_4_0x),0)</f>
        <v>150704.27000000002</v>
      </c>
    </row>
    <row r="170" spans="1:17" s="34" customFormat="1" collapsed="1" x14ac:dyDescent="0.25">
      <c r="A170" s="35"/>
      <c r="B170" s="15" t="str">
        <f>CONCATENATE("     ","Depreciation                                      ")</f>
        <v xml:space="preserve">     Depreciation                                      </v>
      </c>
      <c r="C170" s="15"/>
      <c r="D170" s="1">
        <f>SUM(OSRRefD21_5x_0)</f>
        <v>77387.06</v>
      </c>
      <c r="E170" s="1">
        <f>SUM(OSRRefD21_5x_1)</f>
        <v>79107.78</v>
      </c>
      <c r="F170" s="1">
        <f>SUM(OSRRefD21_5x_2)</f>
        <v>79051.19</v>
      </c>
      <c r="G170" s="1">
        <f>SUM(OSRRefD21_5x_3)</f>
        <v>77816.37999999999</v>
      </c>
      <c r="H170" s="1">
        <f>SUM(OSRRefE21_5x_0)</f>
        <v>77087</v>
      </c>
      <c r="I170" s="1">
        <f>SUM(OSRRefE21_5x_1)</f>
        <v>77087</v>
      </c>
      <c r="J170" s="1">
        <f>SUM(OSRRefE21_5x_2)</f>
        <v>77087</v>
      </c>
      <c r="K170" s="1">
        <f>SUM(OSRRefE21_5x_3)</f>
        <v>77087</v>
      </c>
      <c r="L170" s="1">
        <f>SUM(OSRRefE21_5x_4)</f>
        <v>77087</v>
      </c>
      <c r="M170" s="1">
        <f>SUM(OSRRefE21_5x_5)</f>
        <v>77087</v>
      </c>
      <c r="N170" s="1">
        <f>SUM(OSRRefE21_5x_6)</f>
        <v>77087</v>
      </c>
      <c r="O170" s="1">
        <f>SUM(OSRRefE21_5x_7)</f>
        <v>74530</v>
      </c>
      <c r="Q170" s="2">
        <f>SUM(OSRRefD20_5x)+IFERROR(SUM(OSRRefE20_5x),0)</f>
        <v>927501.40999999992</v>
      </c>
    </row>
    <row r="171" spans="1:17" s="34" customFormat="1" hidden="1" outlineLevel="1" x14ac:dyDescent="0.25">
      <c r="A171" s="35"/>
      <c r="B171" s="13" t="str">
        <f>CONCATENATE("          ","6321", " - ","BUILDING DEPRECIATION")</f>
        <v xml:space="preserve">          6321 - BUILDING DEPRECIATION</v>
      </c>
      <c r="C171" s="15"/>
      <c r="D171" s="21">
        <v>45321.919999999998</v>
      </c>
      <c r="E171" s="21">
        <v>45321.919999999998</v>
      </c>
      <c r="F171" s="21">
        <v>45321.91</v>
      </c>
      <c r="G171" s="21">
        <v>45060.52</v>
      </c>
      <c r="H171" s="21"/>
      <c r="I171" s="21"/>
      <c r="J171" s="21"/>
      <c r="K171" s="21"/>
      <c r="L171" s="21"/>
      <c r="M171" s="21"/>
      <c r="N171" s="21"/>
      <c r="O171" s="21"/>
      <c r="P171" s="36"/>
      <c r="Q171" s="2">
        <f>SUM(OSRRefD21_5_0x)+IFERROR(SUM(OSRRefE21_5_0x),0)</f>
        <v>181026.27</v>
      </c>
    </row>
    <row r="172" spans="1:17" s="34" customFormat="1" hidden="1" outlineLevel="1" x14ac:dyDescent="0.25">
      <c r="A172" s="35"/>
      <c r="B172" s="13" t="str">
        <f>CONCATENATE("          ","6322", " - ","EQUIPMENT DEPRECIATION EXPENSE")</f>
        <v xml:space="preserve">          6322 - EQUIPMENT DEPRECIATION EXPENSE</v>
      </c>
      <c r="C172" s="15"/>
      <c r="D172" s="21">
        <v>32065.139999999996</v>
      </c>
      <c r="E172" s="21">
        <v>33785.859999999993</v>
      </c>
      <c r="F172" s="21">
        <v>33729.279999999999</v>
      </c>
      <c r="G172" s="21">
        <v>32755.859999999997</v>
      </c>
      <c r="H172" s="21">
        <v>76537</v>
      </c>
      <c r="I172" s="21">
        <v>76537</v>
      </c>
      <c r="J172" s="21">
        <v>76537</v>
      </c>
      <c r="K172" s="21">
        <v>76537</v>
      </c>
      <c r="L172" s="21">
        <v>76537</v>
      </c>
      <c r="M172" s="21">
        <v>76537</v>
      </c>
      <c r="N172" s="21">
        <v>76537</v>
      </c>
      <c r="O172" s="21">
        <v>73980</v>
      </c>
      <c r="P172" s="36"/>
      <c r="Q172" s="2">
        <f>SUM(OSRRefD21_5_1x)+IFERROR(SUM(OSRRefE21_5_1x),0)</f>
        <v>742075.14</v>
      </c>
    </row>
    <row r="173" spans="1:17" s="34" customFormat="1" hidden="1" outlineLevel="1" x14ac:dyDescent="0.25">
      <c r="A173" s="35"/>
      <c r="B173" s="13" t="str">
        <f>CONCATENATE("          ","6326", " - ","VEHICLES DEPRECIATION EXPENSE")</f>
        <v xml:space="preserve">          6326 - VEHICLES DEPRECIATION EXPENSE</v>
      </c>
      <c r="C173" s="15"/>
      <c r="D173" s="21"/>
      <c r="E173" s="21"/>
      <c r="F173" s="21"/>
      <c r="G173" s="21"/>
      <c r="H173" s="21">
        <v>550</v>
      </c>
      <c r="I173" s="21">
        <v>550</v>
      </c>
      <c r="J173" s="21">
        <v>550</v>
      </c>
      <c r="K173" s="21">
        <v>550</v>
      </c>
      <c r="L173" s="21">
        <v>550</v>
      </c>
      <c r="M173" s="21">
        <v>550</v>
      </c>
      <c r="N173" s="21">
        <v>550</v>
      </c>
      <c r="O173" s="21">
        <v>550</v>
      </c>
      <c r="P173" s="36"/>
      <c r="Q173" s="2">
        <f>SUM(OSRRefD21_5_2x)+IFERROR(SUM(OSRRefE21_5_2x),0)</f>
        <v>4400</v>
      </c>
    </row>
    <row r="174" spans="1:17" s="34" customFormat="1" collapsed="1" x14ac:dyDescent="0.25">
      <c r="A174" s="35"/>
      <c r="B174" s="15" t="str">
        <f>CONCATENATE("     ","Discounts and Markdowns                           ")</f>
        <v xml:space="preserve">     Discounts and Markdowns                           </v>
      </c>
      <c r="C174" s="15"/>
      <c r="D174" s="1">
        <f>SUM(OSRRefD21_6x_0)</f>
        <v>0</v>
      </c>
      <c r="E174" s="1">
        <f>SUM(OSRRefD21_6x_1)</f>
        <v>0</v>
      </c>
      <c r="F174" s="1">
        <f>SUM(OSRRefD21_6x_2)</f>
        <v>830.95</v>
      </c>
      <c r="G174" s="1">
        <f>SUM(OSRRefD21_6x_3)</f>
        <v>-1249.8000000000002</v>
      </c>
      <c r="H174" s="1">
        <f>SUM(OSRRefE21_6x_0)</f>
        <v>3517</v>
      </c>
      <c r="I174" s="1">
        <f>SUM(OSRRefE21_6x_1)</f>
        <v>2339</v>
      </c>
      <c r="J174" s="1">
        <f>SUM(OSRRefE21_6x_2)</f>
        <v>6321</v>
      </c>
      <c r="K174" s="1">
        <f>SUM(OSRRefE21_6x_3)</f>
        <v>2867</v>
      </c>
      <c r="L174" s="1">
        <f>SUM(OSRRefE21_6x_4)</f>
        <v>3222</v>
      </c>
      <c r="M174" s="1">
        <f>SUM(OSRRefE21_6x_5)</f>
        <v>5133</v>
      </c>
      <c r="N174" s="1">
        <f>SUM(OSRRefE21_6x_6)</f>
        <v>2743</v>
      </c>
      <c r="O174" s="1">
        <f>SUM(OSRRefE21_6x_7)</f>
        <v>5614</v>
      </c>
      <c r="Q174" s="2">
        <f>SUM(OSRRefD20_6x)+IFERROR(SUM(OSRRefE20_6x),0)</f>
        <v>31337.15</v>
      </c>
    </row>
    <row r="175" spans="1:17" s="34" customFormat="1" hidden="1" outlineLevel="1" x14ac:dyDescent="0.25">
      <c r="A175" s="35"/>
      <c r="B175" s="13" t="str">
        <f>CONCATENATE("          ","6382", " - ","DISCOUNTS/MARK DOWNS")</f>
        <v xml:space="preserve">          6382 - DISCOUNTS/MARK DOWNS</v>
      </c>
      <c r="C175" s="15"/>
      <c r="D175" s="21"/>
      <c r="E175" s="21"/>
      <c r="F175" s="21">
        <v>830.95</v>
      </c>
      <c r="G175" s="21">
        <v>-830.95</v>
      </c>
      <c r="H175" s="21">
        <v>3517</v>
      </c>
      <c r="I175" s="21">
        <v>2339</v>
      </c>
      <c r="J175" s="21">
        <v>6321</v>
      </c>
      <c r="K175" s="21">
        <v>2867</v>
      </c>
      <c r="L175" s="21">
        <v>3222</v>
      </c>
      <c r="M175" s="21">
        <v>5133</v>
      </c>
      <c r="N175" s="21">
        <v>2743</v>
      </c>
      <c r="O175" s="21">
        <v>5614</v>
      </c>
      <c r="P175" s="36"/>
      <c r="Q175" s="2">
        <f>SUM(OSRRefD21_6_0x)+IFERROR(SUM(OSRRefE21_6_0x),0)</f>
        <v>31756</v>
      </c>
    </row>
    <row r="176" spans="1:17" s="34" customFormat="1" hidden="1" outlineLevel="1" x14ac:dyDescent="0.25">
      <c r="A176" s="35"/>
      <c r="B176" s="13" t="str">
        <f>CONCATENATE("          ","9175", " - ","EARNED DISCOUNTS")</f>
        <v xml:space="preserve">          9175 - EARNED DISCOUNTS</v>
      </c>
      <c r="C176" s="15"/>
      <c r="D176" s="21"/>
      <c r="E176" s="21"/>
      <c r="F176" s="21"/>
      <c r="G176" s="21">
        <v>-418.85</v>
      </c>
      <c r="H176" s="21"/>
      <c r="I176" s="21"/>
      <c r="J176" s="21"/>
      <c r="K176" s="21"/>
      <c r="L176" s="21"/>
      <c r="M176" s="21"/>
      <c r="N176" s="21"/>
      <c r="O176" s="21"/>
      <c r="P176" s="36"/>
      <c r="Q176" s="2">
        <f>SUM(OSRRefD21_6_1x)+IFERROR(SUM(OSRRefE21_6_1x),0)</f>
        <v>-418.85</v>
      </c>
    </row>
    <row r="177" spans="1:17" s="34" customFormat="1" collapsed="1" x14ac:dyDescent="0.25">
      <c r="A177" s="35"/>
      <c r="B177" s="15" t="str">
        <f>CONCATENATE("     ","Donations                                         ")</f>
        <v xml:space="preserve">     Donations                                         </v>
      </c>
      <c r="C177" s="15"/>
      <c r="D177" s="1">
        <f>SUM(OSRRefD21_7x_0)</f>
        <v>0</v>
      </c>
      <c r="E177" s="1">
        <f>SUM(OSRRefD21_7x_1)</f>
        <v>2222.02</v>
      </c>
      <c r="F177" s="1">
        <f>SUM(OSRRefD21_7x_2)</f>
        <v>8888.07</v>
      </c>
      <c r="G177" s="1">
        <f>SUM(OSRRefD21_7x_3)</f>
        <v>11110.09</v>
      </c>
      <c r="H177" s="1">
        <f>SUM(OSRRefE21_7x_0)</f>
        <v>12100</v>
      </c>
      <c r="I177" s="1">
        <f>SUM(OSRRefE21_7x_1)</f>
        <v>11100</v>
      </c>
      <c r="J177" s="1">
        <f>SUM(OSRRefE21_7x_2)</f>
        <v>8100</v>
      </c>
      <c r="K177" s="1">
        <f>SUM(OSRRefE21_7x_3)</f>
        <v>11100</v>
      </c>
      <c r="L177" s="1">
        <f>SUM(OSRRefE21_7x_4)</f>
        <v>11100</v>
      </c>
      <c r="M177" s="1">
        <f>SUM(OSRRefE21_7x_5)</f>
        <v>11100</v>
      </c>
      <c r="N177" s="1">
        <f>SUM(OSRRefE21_7x_6)</f>
        <v>8100</v>
      </c>
      <c r="O177" s="1">
        <f>SUM(OSRRefE21_7x_7)</f>
        <v>0</v>
      </c>
      <c r="Q177" s="2">
        <f>SUM(OSRRefD20_7x)+IFERROR(SUM(OSRRefE20_7x),0)</f>
        <v>94920.18</v>
      </c>
    </row>
    <row r="178" spans="1:17" s="34" customFormat="1" hidden="1" outlineLevel="1" x14ac:dyDescent="0.25">
      <c r="A178" s="35"/>
      <c r="B178" s="13" t="str">
        <f>CONCATENATE("          ","6399", " - ","DONATION-ON CAMPUS")</f>
        <v xml:space="preserve">          6399 - DONATION-ON CAMPUS</v>
      </c>
      <c r="C178" s="15"/>
      <c r="D178" s="21"/>
      <c r="E178" s="21">
        <v>2222.02</v>
      </c>
      <c r="F178" s="21">
        <v>8888.07</v>
      </c>
      <c r="G178" s="21">
        <v>11110.09</v>
      </c>
      <c r="H178" s="21">
        <v>12100</v>
      </c>
      <c r="I178" s="21">
        <v>11100</v>
      </c>
      <c r="J178" s="21">
        <v>8100</v>
      </c>
      <c r="K178" s="21">
        <v>11100</v>
      </c>
      <c r="L178" s="21">
        <v>11100</v>
      </c>
      <c r="M178" s="21">
        <v>11100</v>
      </c>
      <c r="N178" s="21">
        <v>8100</v>
      </c>
      <c r="O178" s="21">
        <v>0</v>
      </c>
      <c r="P178" s="36"/>
      <c r="Q178" s="2">
        <f>SUM(OSRRefD21_7_0x)+IFERROR(SUM(OSRRefE21_7_0x),0)</f>
        <v>94920.18</v>
      </c>
    </row>
    <row r="179" spans="1:17" s="34" customFormat="1" collapsed="1" x14ac:dyDescent="0.25">
      <c r="A179" s="35"/>
      <c r="B179" s="15" t="str">
        <f>CONCATENATE("     ","Employees' Appreciation                           ")</f>
        <v xml:space="preserve">     Employees' Appreciation                           </v>
      </c>
      <c r="C179" s="15"/>
      <c r="D179" s="1">
        <f>SUM(OSRRefD21_8x_0)</f>
        <v>107.7</v>
      </c>
      <c r="E179" s="1">
        <f>SUM(OSRRefD21_8x_1)</f>
        <v>0</v>
      </c>
      <c r="F179" s="1">
        <f>SUM(OSRRefD21_8x_2)</f>
        <v>0</v>
      </c>
      <c r="G179" s="1">
        <f>SUM(OSRRefD21_8x_3)</f>
        <v>0</v>
      </c>
      <c r="H179" s="1">
        <f>SUM(OSRRefE21_8x_0)</f>
        <v>440</v>
      </c>
      <c r="I179" s="1">
        <f>SUM(OSRRefE21_8x_1)</f>
        <v>490</v>
      </c>
      <c r="J179" s="1">
        <f>SUM(OSRRefE21_8x_2)</f>
        <v>465</v>
      </c>
      <c r="K179" s="1">
        <f>SUM(OSRRefE21_8x_3)</f>
        <v>465</v>
      </c>
      <c r="L179" s="1">
        <f>SUM(OSRRefE21_8x_4)</f>
        <v>440</v>
      </c>
      <c r="M179" s="1">
        <f>SUM(OSRRefE21_8x_5)</f>
        <v>540</v>
      </c>
      <c r="N179" s="1">
        <f>SUM(OSRRefE21_8x_6)</f>
        <v>440</v>
      </c>
      <c r="O179" s="1">
        <f>SUM(OSRRefE21_8x_7)</f>
        <v>290</v>
      </c>
      <c r="Q179" s="2">
        <f>SUM(OSRRefD20_8x)+IFERROR(SUM(OSRRefE20_8x),0)</f>
        <v>3677.7</v>
      </c>
    </row>
    <row r="180" spans="1:17" s="34" customFormat="1" hidden="1" outlineLevel="1" x14ac:dyDescent="0.25">
      <c r="A180" s="35"/>
      <c r="B180" s="13" t="str">
        <f>CONCATENATE("          ","6277", " - ","EMPLOYEE APPRECIATION")</f>
        <v xml:space="preserve">          6277 - EMPLOYEE APPRECIATION</v>
      </c>
      <c r="C180" s="15"/>
      <c r="D180" s="21">
        <v>107.7</v>
      </c>
      <c r="E180" s="21"/>
      <c r="F180" s="21"/>
      <c r="G180" s="21"/>
      <c r="H180" s="21">
        <v>440</v>
      </c>
      <c r="I180" s="21">
        <v>490</v>
      </c>
      <c r="J180" s="21">
        <v>465</v>
      </c>
      <c r="K180" s="21">
        <v>465</v>
      </c>
      <c r="L180" s="21">
        <v>440</v>
      </c>
      <c r="M180" s="21">
        <v>540</v>
      </c>
      <c r="N180" s="21">
        <v>440</v>
      </c>
      <c r="O180" s="21">
        <v>290</v>
      </c>
      <c r="P180" s="36"/>
      <c r="Q180" s="2">
        <f>SUM(OSRRefD21_8_0x)+IFERROR(SUM(OSRRefE21_8_0x),0)</f>
        <v>3677.7</v>
      </c>
    </row>
    <row r="181" spans="1:17" s="34" customFormat="1" collapsed="1" x14ac:dyDescent="0.25">
      <c r="A181" s="35"/>
      <c r="B181" s="15" t="str">
        <f>CONCATENATE("     ","Equipment Rental                                  ")</f>
        <v xml:space="preserve">     Equipment Rental                                  </v>
      </c>
      <c r="C181" s="15"/>
      <c r="D181" s="1">
        <f>SUM(OSRRefD21_9x_0)</f>
        <v>2638.66</v>
      </c>
      <c r="E181" s="1">
        <f>SUM(OSRRefD21_9x_1)</f>
        <v>2227.17</v>
      </c>
      <c r="F181" s="1">
        <f>SUM(OSRRefD21_9x_2)</f>
        <v>2597.83</v>
      </c>
      <c r="G181" s="1">
        <f>SUM(OSRRefD21_9x_3)</f>
        <v>4077.27</v>
      </c>
      <c r="H181" s="1">
        <f>SUM(OSRRefE21_9x_0)</f>
        <v>3943</v>
      </c>
      <c r="I181" s="1">
        <f>SUM(OSRRefE21_9x_1)</f>
        <v>3937</v>
      </c>
      <c r="J181" s="1">
        <f>SUM(OSRRefE21_9x_2)</f>
        <v>4008</v>
      </c>
      <c r="K181" s="1">
        <f>SUM(OSRRefE21_9x_3)</f>
        <v>3945</v>
      </c>
      <c r="L181" s="1">
        <f>SUM(OSRRefE21_9x_4)</f>
        <v>3962</v>
      </c>
      <c r="M181" s="1">
        <f>SUM(OSRRefE21_9x_5)</f>
        <v>3988</v>
      </c>
      <c r="N181" s="1">
        <f>SUM(OSRRefE21_9x_6)</f>
        <v>3988</v>
      </c>
      <c r="O181" s="1">
        <f>SUM(OSRRefE21_9x_7)</f>
        <v>3937</v>
      </c>
      <c r="Q181" s="2">
        <f>SUM(OSRRefD20_9x)+IFERROR(SUM(OSRRefE20_9x),0)</f>
        <v>43248.93</v>
      </c>
    </row>
    <row r="182" spans="1:17" s="34" customFormat="1" hidden="1" outlineLevel="1" x14ac:dyDescent="0.25">
      <c r="A182" s="35"/>
      <c r="B182" s="13" t="str">
        <f>CONCATENATE("          ","6351", " - ","EQUIPMENT RENTAL")</f>
        <v xml:space="preserve">          6351 - EQUIPMENT RENTAL</v>
      </c>
      <c r="C182" s="15"/>
      <c r="D182" s="21">
        <v>2638.66</v>
      </c>
      <c r="E182" s="21">
        <v>2227.17</v>
      </c>
      <c r="F182" s="21">
        <v>2597.83</v>
      </c>
      <c r="G182" s="21">
        <v>4077.27</v>
      </c>
      <c r="H182" s="21">
        <v>3943</v>
      </c>
      <c r="I182" s="21">
        <v>3937</v>
      </c>
      <c r="J182" s="21">
        <v>4008</v>
      </c>
      <c r="K182" s="21">
        <v>3945</v>
      </c>
      <c r="L182" s="21">
        <v>3962</v>
      </c>
      <c r="M182" s="21">
        <v>3988</v>
      </c>
      <c r="N182" s="21">
        <v>3988</v>
      </c>
      <c r="O182" s="21">
        <v>3937</v>
      </c>
      <c r="P182" s="36"/>
      <c r="Q182" s="2">
        <f>SUM(OSRRefD21_9_0x)+IFERROR(SUM(OSRRefE21_9_0x),0)</f>
        <v>43248.93</v>
      </c>
    </row>
    <row r="183" spans="1:17" s="34" customFormat="1" collapsed="1" x14ac:dyDescent="0.25">
      <c r="A183" s="35"/>
      <c r="B183" s="15" t="str">
        <f>CONCATENATE("     ","Freight out/Postage                               ")</f>
        <v xml:space="preserve">     Freight out/Postage                               </v>
      </c>
      <c r="C183" s="15"/>
      <c r="D183" s="1">
        <f>SUM(OSRRefD21_10x_0)</f>
        <v>8939.26</v>
      </c>
      <c r="E183" s="1">
        <f>SUM(OSRRefD21_10x_1)</f>
        <v>-83557.150000000009</v>
      </c>
      <c r="F183" s="1">
        <f>SUM(OSRRefD21_10x_2)</f>
        <v>-5850.9800000000005</v>
      </c>
      <c r="G183" s="1">
        <f>SUM(OSRRefD21_10x_3)</f>
        <v>49268.130000000005</v>
      </c>
      <c r="H183" s="1">
        <f>SUM(OSRRefE21_10x_0)</f>
        <v>5645</v>
      </c>
      <c r="I183" s="1">
        <f>SUM(OSRRefE21_10x_1)</f>
        <v>1445</v>
      </c>
      <c r="J183" s="1">
        <f>SUM(OSRRefE21_10x_2)</f>
        <v>-11655</v>
      </c>
      <c r="K183" s="1">
        <f>SUM(OSRRefE21_10x_3)</f>
        <v>2345</v>
      </c>
      <c r="L183" s="1">
        <f>SUM(OSRRefE21_10x_4)</f>
        <v>-12855</v>
      </c>
      <c r="M183" s="1">
        <f>SUM(OSRRefE21_10x_5)</f>
        <v>2853</v>
      </c>
      <c r="N183" s="1">
        <f>SUM(OSRRefE21_10x_6)</f>
        <v>-1605</v>
      </c>
      <c r="O183" s="1">
        <f>SUM(OSRRefE21_10x_7)</f>
        <v>145</v>
      </c>
      <c r="Q183" s="2">
        <f>SUM(OSRRefD20_10x)+IFERROR(SUM(OSRRefE20_10x),0)</f>
        <v>-44882.740000000005</v>
      </c>
    </row>
    <row r="184" spans="1:17" s="34" customFormat="1" hidden="1" outlineLevel="1" x14ac:dyDescent="0.25">
      <c r="A184" s="35"/>
      <c r="B184" s="13" t="str">
        <f>CONCATENATE("          ","6305", " - ","FREIGHT OUT")</f>
        <v xml:space="preserve">          6305 - FREIGHT OUT</v>
      </c>
      <c r="C184" s="15"/>
      <c r="D184" s="21">
        <v>12094.7</v>
      </c>
      <c r="E184" s="21">
        <v>8420.09</v>
      </c>
      <c r="F184" s="21">
        <v>5418.22</v>
      </c>
      <c r="G184" s="21">
        <v>60954.65</v>
      </c>
      <c r="H184" s="21">
        <v>6600</v>
      </c>
      <c r="I184" s="21">
        <v>4900</v>
      </c>
      <c r="J184" s="21">
        <v>4300</v>
      </c>
      <c r="K184" s="21">
        <v>11000</v>
      </c>
      <c r="L184" s="21">
        <v>7100</v>
      </c>
      <c r="M184" s="21">
        <v>4900</v>
      </c>
      <c r="N184" s="21">
        <v>3350</v>
      </c>
      <c r="O184" s="21">
        <v>2100</v>
      </c>
      <c r="P184" s="36"/>
      <c r="Q184" s="2">
        <f>SUM(OSRRefD21_10_0x)+IFERROR(SUM(OSRRefE21_10_0x),0)</f>
        <v>131137.66</v>
      </c>
    </row>
    <row r="185" spans="1:17" s="34" customFormat="1" hidden="1" outlineLevel="1" x14ac:dyDescent="0.25">
      <c r="A185" s="35"/>
      <c r="B185" s="13" t="str">
        <f>CONCATENATE("          ","6307", " - ","POSTAGE")</f>
        <v xml:space="preserve">          6307 - POSTAGE</v>
      </c>
      <c r="C185" s="15"/>
      <c r="D185" s="21">
        <v>-3155.44</v>
      </c>
      <c r="E185" s="21">
        <v>-91977.24</v>
      </c>
      <c r="F185" s="21">
        <v>-11269.2</v>
      </c>
      <c r="G185" s="21">
        <v>-11686.52</v>
      </c>
      <c r="H185" s="21">
        <v>-955</v>
      </c>
      <c r="I185" s="21">
        <v>-3455</v>
      </c>
      <c r="J185" s="21">
        <v>-15955</v>
      </c>
      <c r="K185" s="21">
        <v>-8655</v>
      </c>
      <c r="L185" s="21">
        <v>-19955</v>
      </c>
      <c r="M185" s="21">
        <v>-2047</v>
      </c>
      <c r="N185" s="21">
        <v>-4955</v>
      </c>
      <c r="O185" s="21">
        <v>-1955</v>
      </c>
      <c r="P185" s="36"/>
      <c r="Q185" s="2">
        <f>SUM(OSRRefD21_10_1x)+IFERROR(SUM(OSRRefE21_10_1x),0)</f>
        <v>-176020.40000000002</v>
      </c>
    </row>
    <row r="186" spans="1:17" s="34" customFormat="1" collapsed="1" x14ac:dyDescent="0.25">
      <c r="A186" s="35"/>
      <c r="B186" s="15" t="str">
        <f>CONCATENATE("     ","General                                           ")</f>
        <v xml:space="preserve">     General                                           </v>
      </c>
      <c r="C186" s="15"/>
      <c r="D186" s="1">
        <f>SUM(OSRRefD21_11x_0)</f>
        <v>8780.7099999999991</v>
      </c>
      <c r="E186" s="1">
        <f>SUM(OSRRefD21_11x_1)</f>
        <v>-913.36</v>
      </c>
      <c r="F186" s="1">
        <f>SUM(OSRRefD21_11x_2)</f>
        <v>552.16999999999996</v>
      </c>
      <c r="G186" s="1">
        <f>SUM(OSRRefD21_11x_3)</f>
        <v>-40</v>
      </c>
      <c r="H186" s="1">
        <f>SUM(OSRRefE21_11x_0)</f>
        <v>3300</v>
      </c>
      <c r="I186" s="1">
        <f>SUM(OSRRefE21_11x_1)</f>
        <v>1405</v>
      </c>
      <c r="J186" s="1">
        <f>SUM(OSRRefE21_11x_2)</f>
        <v>750</v>
      </c>
      <c r="K186" s="1">
        <f>SUM(OSRRefE21_11x_3)</f>
        <v>2675</v>
      </c>
      <c r="L186" s="1">
        <f>SUM(OSRRefE21_11x_4)</f>
        <v>800</v>
      </c>
      <c r="M186" s="1">
        <f>SUM(OSRRefE21_11x_5)</f>
        <v>1000</v>
      </c>
      <c r="N186" s="1">
        <f>SUM(OSRRefE21_11x_6)</f>
        <v>2000</v>
      </c>
      <c r="O186" s="1">
        <f>SUM(OSRRefE21_11x_7)</f>
        <v>750</v>
      </c>
      <c r="Q186" s="2">
        <f>SUM(OSRRefD20_11x)+IFERROR(SUM(OSRRefE20_11x),0)</f>
        <v>21059.519999999997</v>
      </c>
    </row>
    <row r="187" spans="1:17" s="34" customFormat="1" hidden="1" outlineLevel="1" x14ac:dyDescent="0.25">
      <c r="A187" s="35"/>
      <c r="B187" s="13" t="str">
        <f>CONCATENATE("          ","6269", " - ","ENTERTAINMENT")</f>
        <v xml:space="preserve">          6269 - ENTERTAINMENT</v>
      </c>
      <c r="C187" s="15"/>
      <c r="D187" s="21"/>
      <c r="E187" s="21"/>
      <c r="F187" s="21"/>
      <c r="G187" s="21"/>
      <c r="H187" s="21">
        <v>1250</v>
      </c>
      <c r="I187" s="21">
        <v>0</v>
      </c>
      <c r="J187" s="21"/>
      <c r="K187" s="21">
        <v>125</v>
      </c>
      <c r="L187" s="21">
        <v>0</v>
      </c>
      <c r="M187" s="21"/>
      <c r="N187" s="21">
        <v>1250</v>
      </c>
      <c r="O187" s="21">
        <v>0</v>
      </c>
      <c r="P187" s="36"/>
      <c r="Q187" s="2">
        <f>SUM(OSRRefD21_11_0x)+IFERROR(SUM(OSRRefE21_11_0x),0)</f>
        <v>2625</v>
      </c>
    </row>
    <row r="188" spans="1:17" s="34" customFormat="1" hidden="1" outlineLevel="1" x14ac:dyDescent="0.25">
      <c r="A188" s="35"/>
      <c r="B188" s="13" t="str">
        <f>CONCATENATE("          ","6279", " - ","GENERAL EXPENSE")</f>
        <v xml:space="preserve">          6279 - GENERAL EXPENSE</v>
      </c>
      <c r="C188" s="15"/>
      <c r="D188" s="21">
        <v>8780.7099999999991</v>
      </c>
      <c r="E188" s="21">
        <v>-913.36</v>
      </c>
      <c r="F188" s="21">
        <v>552.16999999999996</v>
      </c>
      <c r="G188" s="21">
        <v>-40</v>
      </c>
      <c r="H188" s="21">
        <v>2050</v>
      </c>
      <c r="I188" s="21">
        <v>1405</v>
      </c>
      <c r="J188" s="21">
        <v>750</v>
      </c>
      <c r="K188" s="21">
        <v>2550</v>
      </c>
      <c r="L188" s="21">
        <v>800</v>
      </c>
      <c r="M188" s="21">
        <v>1000</v>
      </c>
      <c r="N188" s="21">
        <v>750</v>
      </c>
      <c r="O188" s="21">
        <v>750</v>
      </c>
      <c r="P188" s="36"/>
      <c r="Q188" s="2">
        <f>SUM(OSRRefD21_11_1x)+IFERROR(SUM(OSRRefE21_11_1x),0)</f>
        <v>18434.519999999997</v>
      </c>
    </row>
    <row r="189" spans="1:17" s="34" customFormat="1" collapsed="1" x14ac:dyDescent="0.25">
      <c r="A189" s="35"/>
      <c r="B189" s="15" t="str">
        <f>CONCATENATE("     ","Insurance                                         ")</f>
        <v xml:space="preserve">     Insurance                                         </v>
      </c>
      <c r="C189" s="15"/>
      <c r="D189" s="1">
        <f>SUM(OSRRefD21_12x_0)</f>
        <v>8563.32</v>
      </c>
      <c r="E189" s="1">
        <f>SUM(OSRRefD21_12x_1)</f>
        <v>8563.32</v>
      </c>
      <c r="F189" s="1">
        <f>SUM(OSRRefD21_12x_2)</f>
        <v>8563.32</v>
      </c>
      <c r="G189" s="1">
        <f>SUM(OSRRefD21_12x_3)</f>
        <v>14675.32</v>
      </c>
      <c r="H189" s="1">
        <f>SUM(OSRRefE21_12x_0)</f>
        <v>9321</v>
      </c>
      <c r="I189" s="1">
        <f>SUM(OSRRefE21_12x_1)</f>
        <v>9321</v>
      </c>
      <c r="J189" s="1">
        <f>SUM(OSRRefE21_12x_2)</f>
        <v>9321</v>
      </c>
      <c r="K189" s="1">
        <f>SUM(OSRRefE21_12x_3)</f>
        <v>9321</v>
      </c>
      <c r="L189" s="1">
        <f>SUM(OSRRefE21_12x_4)</f>
        <v>9321</v>
      </c>
      <c r="M189" s="1">
        <f>SUM(OSRRefE21_12x_5)</f>
        <v>9321</v>
      </c>
      <c r="N189" s="1">
        <f>SUM(OSRRefE21_12x_6)</f>
        <v>9321</v>
      </c>
      <c r="O189" s="1">
        <f>SUM(OSRRefE21_12x_7)</f>
        <v>9321</v>
      </c>
      <c r="Q189" s="2">
        <f>SUM(OSRRefD20_12x)+IFERROR(SUM(OSRRefE20_12x),0)</f>
        <v>114933.28</v>
      </c>
    </row>
    <row r="190" spans="1:17" s="34" customFormat="1" hidden="1" outlineLevel="1" x14ac:dyDescent="0.25">
      <c r="A190" s="35"/>
      <c r="B190" s="13" t="str">
        <f>CONCATENATE("          ","6314", " - ","LIABILITY INSURANCE")</f>
        <v xml:space="preserve">          6314 - LIABILITY INSURANCE</v>
      </c>
      <c r="C190" s="15"/>
      <c r="D190" s="21">
        <v>8563.32</v>
      </c>
      <c r="E190" s="21">
        <v>8563.32</v>
      </c>
      <c r="F190" s="21">
        <v>8563.32</v>
      </c>
      <c r="G190" s="21">
        <v>14675.32</v>
      </c>
      <c r="H190" s="21">
        <v>9321</v>
      </c>
      <c r="I190" s="21">
        <v>9321</v>
      </c>
      <c r="J190" s="21">
        <v>9321</v>
      </c>
      <c r="K190" s="21">
        <v>9321</v>
      </c>
      <c r="L190" s="21">
        <v>9321</v>
      </c>
      <c r="M190" s="21">
        <v>9321</v>
      </c>
      <c r="N190" s="21">
        <v>9321</v>
      </c>
      <c r="O190" s="21">
        <v>9321</v>
      </c>
      <c r="P190" s="36"/>
      <c r="Q190" s="2">
        <f>SUM(OSRRefD21_12_0x)+IFERROR(SUM(OSRRefE21_12_0x),0)</f>
        <v>114933.28</v>
      </c>
    </row>
    <row r="191" spans="1:17" s="34" customFormat="1" collapsed="1" x14ac:dyDescent="0.25">
      <c r="A191" s="35"/>
      <c r="B191" s="15" t="str">
        <f>CONCATENATE("     ","Interest                                          ")</f>
        <v xml:space="preserve">     Interest                                          </v>
      </c>
      <c r="C191" s="15"/>
      <c r="D191" s="1">
        <f>SUM(OSRRefD21_13x_0)</f>
        <v>11554</v>
      </c>
      <c r="E191" s="1">
        <f>SUM(OSRRefD21_13x_1)</f>
        <v>11554</v>
      </c>
      <c r="F191" s="1">
        <f>SUM(OSRRefD21_13x_2)</f>
        <v>11554</v>
      </c>
      <c r="G191" s="1">
        <f>SUM(OSRRefD21_13x_3)</f>
        <v>10805</v>
      </c>
      <c r="H191" s="1">
        <f>SUM(OSRRefE21_13x_0)</f>
        <v>11554</v>
      </c>
      <c r="I191" s="1">
        <f>SUM(OSRRefE21_13x_1)</f>
        <v>11554</v>
      </c>
      <c r="J191" s="1">
        <f>SUM(OSRRefE21_13x_2)</f>
        <v>11554</v>
      </c>
      <c r="K191" s="1">
        <f>SUM(OSRRefE21_13x_3)</f>
        <v>11554</v>
      </c>
      <c r="L191" s="1">
        <f>SUM(OSRRefE21_13x_4)</f>
        <v>11554</v>
      </c>
      <c r="M191" s="1">
        <f>SUM(OSRRefE21_13x_5)</f>
        <v>11554</v>
      </c>
      <c r="N191" s="1">
        <f>SUM(OSRRefE21_13x_6)</f>
        <v>11158</v>
      </c>
      <c r="O191" s="1">
        <f>SUM(OSRRefE21_13x_7)</f>
        <v>11158</v>
      </c>
      <c r="Q191" s="2">
        <f>SUM(OSRRefD20_13x)+IFERROR(SUM(OSRRefE20_13x),0)</f>
        <v>137107</v>
      </c>
    </row>
    <row r="192" spans="1:17" s="34" customFormat="1" hidden="1" outlineLevel="1" x14ac:dyDescent="0.25">
      <c r="A192" s="35"/>
      <c r="B192" s="13" t="str">
        <f>CONCATENATE("          ","6401", " - ","INTEREST EXPENSE")</f>
        <v xml:space="preserve">          6401 - INTEREST EXPENSE</v>
      </c>
      <c r="C192" s="15"/>
      <c r="D192" s="21">
        <v>11554</v>
      </c>
      <c r="E192" s="21">
        <v>11554</v>
      </c>
      <c r="F192" s="21">
        <v>11554</v>
      </c>
      <c r="G192" s="21">
        <v>10805</v>
      </c>
      <c r="H192" s="21">
        <v>11554</v>
      </c>
      <c r="I192" s="21">
        <v>11554</v>
      </c>
      <c r="J192" s="21">
        <v>11554</v>
      </c>
      <c r="K192" s="21">
        <v>11554</v>
      </c>
      <c r="L192" s="21">
        <v>11554</v>
      </c>
      <c r="M192" s="21">
        <v>11554</v>
      </c>
      <c r="N192" s="21">
        <v>11158</v>
      </c>
      <c r="O192" s="21">
        <v>11158</v>
      </c>
      <c r="P192" s="36"/>
      <c r="Q192" s="2">
        <f>SUM(OSRRefD21_13_0x)+IFERROR(SUM(OSRRefE21_13_0x),0)</f>
        <v>137107</v>
      </c>
    </row>
    <row r="193" spans="1:17" s="34" customFormat="1" collapsed="1" x14ac:dyDescent="0.25">
      <c r="A193" s="35"/>
      <c r="B193" s="15" t="str">
        <f>CONCATENATE("     ","Inventory Adjustment                              ")</f>
        <v xml:space="preserve">     Inventory Adjustment                              </v>
      </c>
      <c r="C193" s="15"/>
      <c r="D193" s="1">
        <f>SUM(OSRRefD21_14x_0)</f>
        <v>3350</v>
      </c>
      <c r="E193" s="1">
        <f>SUM(OSRRefD21_14x_1)</f>
        <v>3350</v>
      </c>
      <c r="F193" s="1">
        <f>SUM(OSRRefD21_14x_2)</f>
        <v>3350</v>
      </c>
      <c r="G193" s="1">
        <f>SUM(OSRRefD21_14x_3)</f>
        <v>3350</v>
      </c>
      <c r="H193" s="1">
        <f>SUM(OSRRefE21_14x_0)</f>
        <v>4350</v>
      </c>
      <c r="I193" s="1">
        <f>SUM(OSRRefE21_14x_1)</f>
        <v>9350</v>
      </c>
      <c r="J193" s="1">
        <f>SUM(OSRRefE21_14x_2)</f>
        <v>4350</v>
      </c>
      <c r="K193" s="1">
        <f>SUM(OSRRefE21_14x_3)</f>
        <v>4350</v>
      </c>
      <c r="L193" s="1">
        <f>SUM(OSRRefE21_14x_4)</f>
        <v>4350</v>
      </c>
      <c r="M193" s="1">
        <f>SUM(OSRRefE21_14x_5)</f>
        <v>4350</v>
      </c>
      <c r="N193" s="1">
        <f>SUM(OSRRefE21_14x_6)</f>
        <v>4350</v>
      </c>
      <c r="O193" s="1">
        <f>SUM(OSRRefE21_14x_7)</f>
        <v>47350</v>
      </c>
      <c r="Q193" s="2">
        <f>SUM(OSRRefD20_14x)+IFERROR(SUM(OSRRefE20_14x),0)</f>
        <v>96200</v>
      </c>
    </row>
    <row r="194" spans="1:17" s="34" customFormat="1" hidden="1" outlineLevel="1" x14ac:dyDescent="0.25">
      <c r="A194" s="35"/>
      <c r="B194" s="13" t="str">
        <f>CONCATENATE("          ","6408", " - ","INVENTORY ADJUSTMENT")</f>
        <v xml:space="preserve">          6408 - INVENTORY ADJUSTMENT</v>
      </c>
      <c r="C194" s="15"/>
      <c r="D194" s="21">
        <v>3350</v>
      </c>
      <c r="E194" s="21">
        <v>3350</v>
      </c>
      <c r="F194" s="21">
        <v>3350</v>
      </c>
      <c r="G194" s="21">
        <v>3350</v>
      </c>
      <c r="H194" s="21">
        <v>4350</v>
      </c>
      <c r="I194" s="21">
        <v>9350</v>
      </c>
      <c r="J194" s="21">
        <v>4350</v>
      </c>
      <c r="K194" s="21">
        <v>4350</v>
      </c>
      <c r="L194" s="21">
        <v>4350</v>
      </c>
      <c r="M194" s="21">
        <v>4350</v>
      </c>
      <c r="N194" s="21">
        <v>4350</v>
      </c>
      <c r="O194" s="21">
        <v>47350</v>
      </c>
      <c r="P194" s="36"/>
      <c r="Q194" s="2">
        <f>SUM(OSRRefD21_14_0x)+IFERROR(SUM(OSRRefE21_14_0x),0)</f>
        <v>96200</v>
      </c>
    </row>
    <row r="195" spans="1:17" s="34" customFormat="1" collapsed="1" x14ac:dyDescent="0.25">
      <c r="A195" s="35"/>
      <c r="B195" s="15" t="str">
        <f>CONCATENATE("     ","Professional Services                             ")</f>
        <v xml:space="preserve">     Professional Services                             </v>
      </c>
      <c r="C195" s="15"/>
      <c r="D195" s="1">
        <f>SUM(OSRRefD21_15x_0)</f>
        <v>0</v>
      </c>
      <c r="E195" s="1">
        <f>SUM(OSRRefD21_15x_1)</f>
        <v>0</v>
      </c>
      <c r="F195" s="1">
        <f>SUM(OSRRefD21_15x_2)</f>
        <v>0</v>
      </c>
      <c r="G195" s="1">
        <f>SUM(OSRRefD21_15x_3)</f>
        <v>0</v>
      </c>
      <c r="H195" s="1">
        <f>SUM(OSRRefE21_15x_0)</f>
        <v>0</v>
      </c>
      <c r="I195" s="1">
        <f>SUM(OSRRefE21_15x_1)</f>
        <v>0</v>
      </c>
      <c r="J195" s="1">
        <f>SUM(OSRRefE21_15x_2)</f>
        <v>0</v>
      </c>
      <c r="K195" s="1">
        <f>SUM(OSRRefE21_15x_3)</f>
        <v>0</v>
      </c>
      <c r="L195" s="1">
        <f>SUM(OSRRefE21_15x_4)</f>
        <v>0</v>
      </c>
      <c r="M195" s="1">
        <f>SUM(OSRRefE21_15x_5)</f>
        <v>0</v>
      </c>
      <c r="N195" s="1">
        <f>SUM(OSRRefE21_15x_6)</f>
        <v>0</v>
      </c>
      <c r="O195" s="1">
        <f>SUM(OSRRefE21_15x_7)</f>
        <v>0</v>
      </c>
      <c r="Q195" s="2">
        <f>SUM(OSRRefD20_15x)+IFERROR(SUM(OSRRefE20_15x),0)</f>
        <v>0</v>
      </c>
    </row>
    <row r="196" spans="1:17" s="34" customFormat="1" hidden="1" outlineLevel="1" x14ac:dyDescent="0.25">
      <c r="A196" s="35"/>
      <c r="B196" s="13" t="str">
        <f>CONCATENATE("          ","6336", " - ","PROFESSIONAL SERVICES")</f>
        <v xml:space="preserve">          6336 - PROFESSIONAL SERVICES</v>
      </c>
      <c r="C196" s="15"/>
      <c r="D196" s="21"/>
      <c r="E196" s="21"/>
      <c r="F196" s="21"/>
      <c r="G196" s="21"/>
      <c r="H196" s="21">
        <v>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36"/>
      <c r="Q196" s="2">
        <f>SUM(OSRRefD21_15_0x)+IFERROR(SUM(OSRRefE21_15_0x),0)</f>
        <v>0</v>
      </c>
    </row>
    <row r="197" spans="1:17" s="34" customFormat="1" collapsed="1" x14ac:dyDescent="0.25">
      <c r="A197" s="35"/>
      <c r="B197" s="15" t="str">
        <f>CONCATENATE("     ","R/H Commissions                                   ")</f>
        <v xml:space="preserve">     R/H Commissions                                   </v>
      </c>
      <c r="C197" s="15"/>
      <c r="D197" s="1">
        <f>SUM(OSRRefD21_16x_0)</f>
        <v>1151.68</v>
      </c>
      <c r="E197" s="1">
        <f>SUM(OSRRefD21_16x_1)</f>
        <v>3533.81</v>
      </c>
      <c r="F197" s="1">
        <f>SUM(OSRRefD21_16x_2)</f>
        <v>11792.03</v>
      </c>
      <c r="G197" s="1">
        <f>SUM(OSRRefD21_16x_3)</f>
        <v>12242.68</v>
      </c>
      <c r="H197" s="1">
        <f>SUM(OSRRefE21_16x_0)</f>
        <v>10412</v>
      </c>
      <c r="I197" s="1">
        <f>SUM(OSRRefE21_16x_1)</f>
        <v>8746</v>
      </c>
      <c r="J197" s="1">
        <f>SUM(OSRRefE21_16x_2)</f>
        <v>5689</v>
      </c>
      <c r="K197" s="1">
        <f>SUM(OSRRefE21_16x_3)</f>
        <v>12297</v>
      </c>
      <c r="L197" s="1">
        <f>SUM(OSRRefE21_16x_4)</f>
        <v>11857</v>
      </c>
      <c r="M197" s="1">
        <f>SUM(OSRRefE21_16x_5)</f>
        <v>11857</v>
      </c>
      <c r="N197" s="1">
        <f>SUM(OSRRefE21_16x_6)</f>
        <v>6587</v>
      </c>
      <c r="O197" s="1">
        <f>SUM(OSRRefE21_16x_7)</f>
        <v>2000</v>
      </c>
      <c r="Q197" s="2">
        <f>SUM(OSRRefD20_16x)+IFERROR(SUM(OSRRefE20_16x),0)</f>
        <v>98165.2</v>
      </c>
    </row>
    <row r="198" spans="1:17" s="34" customFormat="1" hidden="1" outlineLevel="1" x14ac:dyDescent="0.25">
      <c r="A198" s="35"/>
      <c r="B198" s="13" t="str">
        <f>CONCATENATE("          ","6387", " - ","COMMISSION DUE HOUSING")</f>
        <v xml:space="preserve">          6387 - COMMISSION DUE HOUSING</v>
      </c>
      <c r="C198" s="15"/>
      <c r="D198" s="21">
        <v>1151.68</v>
      </c>
      <c r="E198" s="21">
        <v>3533.81</v>
      </c>
      <c r="F198" s="21">
        <v>11792.03</v>
      </c>
      <c r="G198" s="21">
        <v>12242.68</v>
      </c>
      <c r="H198" s="21">
        <v>10412</v>
      </c>
      <c r="I198" s="21">
        <v>8746</v>
      </c>
      <c r="J198" s="21">
        <v>5689</v>
      </c>
      <c r="K198" s="21">
        <v>12297</v>
      </c>
      <c r="L198" s="21">
        <v>11857</v>
      </c>
      <c r="M198" s="21">
        <v>11857</v>
      </c>
      <c r="N198" s="21">
        <v>6587</v>
      </c>
      <c r="O198" s="21">
        <v>2000</v>
      </c>
      <c r="P198" s="36"/>
      <c r="Q198" s="2">
        <f>SUM(OSRRefD21_16_0x)+IFERROR(SUM(OSRRefE21_16_0x),0)</f>
        <v>98165.2</v>
      </c>
    </row>
    <row r="199" spans="1:17" s="34" customFormat="1" collapsed="1" x14ac:dyDescent="0.25">
      <c r="A199" s="35"/>
      <c r="B199" s="15" t="str">
        <f>CONCATENATE("     ","Rent                                              ")</f>
        <v xml:space="preserve">     Rent                                              </v>
      </c>
      <c r="C199" s="15"/>
      <c r="D199" s="1">
        <f>SUM(OSRRefD21_17x_0)</f>
        <v>6900</v>
      </c>
      <c r="E199" s="1">
        <f>SUM(OSRRefD21_17x_1)</f>
        <v>6900</v>
      </c>
      <c r="F199" s="1">
        <f>SUM(OSRRefD21_17x_2)</f>
        <v>12450</v>
      </c>
      <c r="G199" s="1">
        <f>SUM(OSRRefD21_17x_3)</f>
        <v>6900</v>
      </c>
      <c r="H199" s="1">
        <f>SUM(OSRRefE21_17x_0)</f>
        <v>8843</v>
      </c>
      <c r="I199" s="1">
        <f>SUM(OSRRefE21_17x_1)</f>
        <v>8843</v>
      </c>
      <c r="J199" s="1">
        <f>SUM(OSRRefE21_17x_2)</f>
        <v>8843</v>
      </c>
      <c r="K199" s="1">
        <f>SUM(OSRRefE21_17x_3)</f>
        <v>8843</v>
      </c>
      <c r="L199" s="1">
        <f>SUM(OSRRefE21_17x_4)</f>
        <v>8843</v>
      </c>
      <c r="M199" s="1">
        <f>SUM(OSRRefE21_17x_5)</f>
        <v>8843</v>
      </c>
      <c r="N199" s="1">
        <f>SUM(OSRRefE21_17x_6)</f>
        <v>8843</v>
      </c>
      <c r="O199" s="1">
        <f>SUM(OSRRefE21_17x_7)</f>
        <v>8843</v>
      </c>
      <c r="Q199" s="2">
        <f>SUM(OSRRefD20_17x)+IFERROR(SUM(OSRRefE20_17x),0)</f>
        <v>103894</v>
      </c>
    </row>
    <row r="200" spans="1:17" s="34" customFormat="1" hidden="1" outlineLevel="1" x14ac:dyDescent="0.25">
      <c r="A200" s="35"/>
      <c r="B200" s="13" t="str">
        <f>CONCATENATE("          ","6273", " - ","RENT")</f>
        <v xml:space="preserve">          6273 - RENT</v>
      </c>
      <c r="C200" s="15"/>
      <c r="D200" s="21">
        <v>6900</v>
      </c>
      <c r="E200" s="21">
        <v>6900</v>
      </c>
      <c r="F200" s="21">
        <v>12450</v>
      </c>
      <c r="G200" s="21">
        <v>6900</v>
      </c>
      <c r="H200" s="21">
        <v>8843</v>
      </c>
      <c r="I200" s="21">
        <v>8843</v>
      </c>
      <c r="J200" s="21">
        <v>8843</v>
      </c>
      <c r="K200" s="21">
        <v>8843</v>
      </c>
      <c r="L200" s="21">
        <v>8843</v>
      </c>
      <c r="M200" s="21">
        <v>8843</v>
      </c>
      <c r="N200" s="21">
        <v>8843</v>
      </c>
      <c r="O200" s="21">
        <v>8843</v>
      </c>
      <c r="P200" s="36"/>
      <c r="Q200" s="2">
        <f>SUM(OSRRefD21_17_0x)+IFERROR(SUM(OSRRefE21_17_0x),0)</f>
        <v>103894</v>
      </c>
    </row>
    <row r="201" spans="1:17" s="34" customFormat="1" collapsed="1" x14ac:dyDescent="0.25">
      <c r="A201" s="35"/>
      <c r="B201" s="15" t="str">
        <f>CONCATENATE("     ","Repair and Maintenance                            ")</f>
        <v xml:space="preserve">     Repair and Maintenance                            </v>
      </c>
      <c r="C201" s="15"/>
      <c r="D201" s="1">
        <f>SUM(OSRRefD21_18x_0)</f>
        <v>70573.83</v>
      </c>
      <c r="E201" s="1">
        <f>SUM(OSRRefD21_18x_1)</f>
        <v>13911.13</v>
      </c>
      <c r="F201" s="1">
        <f>SUM(OSRRefD21_18x_2)</f>
        <v>23477.25</v>
      </c>
      <c r="G201" s="1">
        <f>SUM(OSRRefD21_18x_3)</f>
        <v>133253.84</v>
      </c>
      <c r="H201" s="1">
        <f>SUM(OSRRefE21_18x_0)</f>
        <v>27898</v>
      </c>
      <c r="I201" s="1">
        <f>SUM(OSRRefE21_18x_1)</f>
        <v>17498</v>
      </c>
      <c r="J201" s="1">
        <f>SUM(OSRRefE21_18x_2)</f>
        <v>28098</v>
      </c>
      <c r="K201" s="1">
        <f>SUM(OSRRefE21_18x_3)</f>
        <v>61243</v>
      </c>
      <c r="L201" s="1">
        <f>SUM(OSRRefE21_18x_4)</f>
        <v>17098</v>
      </c>
      <c r="M201" s="1">
        <f>SUM(OSRRefE21_18x_5)</f>
        <v>16998</v>
      </c>
      <c r="N201" s="1">
        <f>SUM(OSRRefE21_18x_6)</f>
        <v>30898</v>
      </c>
      <c r="O201" s="1">
        <f>SUM(OSRRefE21_18x_7)</f>
        <v>17998</v>
      </c>
      <c r="Q201" s="2">
        <f>SUM(OSRRefD20_18x)+IFERROR(SUM(OSRRefE20_18x),0)</f>
        <v>458945.05</v>
      </c>
    </row>
    <row r="202" spans="1:17" s="34" customFormat="1" hidden="1" outlineLevel="1" x14ac:dyDescent="0.25">
      <c r="A202" s="35"/>
      <c r="B202" s="13" t="str">
        <f>CONCATENATE("          ","6371", " - ","COMPUTER SOFTWARE MAINTENANCE")</f>
        <v xml:space="preserve">          6371 - COMPUTER SOFTWARE MAINTENANCE</v>
      </c>
      <c r="C202" s="15"/>
      <c r="D202" s="21">
        <v>58428.780000000006</v>
      </c>
      <c r="E202" s="21"/>
      <c r="F202" s="21"/>
      <c r="G202" s="21">
        <v>7.69</v>
      </c>
      <c r="H202" s="21">
        <v>8500</v>
      </c>
      <c r="I202" s="21"/>
      <c r="J202" s="21">
        <v>8000</v>
      </c>
      <c r="K202" s="21">
        <v>40245</v>
      </c>
      <c r="L202" s="21"/>
      <c r="M202" s="21"/>
      <c r="N202" s="21">
        <v>12000</v>
      </c>
      <c r="O202" s="21"/>
      <c r="P202" s="36"/>
      <c r="Q202" s="2">
        <f>SUM(OSRRefD21_18_0x)+IFERROR(SUM(OSRRefE21_18_0x),0)</f>
        <v>127181.47</v>
      </c>
    </row>
    <row r="203" spans="1:17" s="34" customFormat="1" hidden="1" outlineLevel="1" x14ac:dyDescent="0.25">
      <c r="A203" s="35"/>
      <c r="B203" s="13" t="str">
        <f>CONCATENATE("          ","6372", " - ","COMPUTER HARDWARE MAINTENANCE")</f>
        <v xml:space="preserve">          6372 - COMPUTER HARDWARE MAINTENANCE</v>
      </c>
      <c r="C203" s="15"/>
      <c r="D203" s="21"/>
      <c r="E203" s="21">
        <v>0.98</v>
      </c>
      <c r="F203" s="21">
        <v>-9.09</v>
      </c>
      <c r="G203" s="21">
        <v>8.11</v>
      </c>
      <c r="H203" s="21">
        <v>1500</v>
      </c>
      <c r="I203" s="21">
        <v>1500</v>
      </c>
      <c r="J203" s="21">
        <v>1500</v>
      </c>
      <c r="K203" s="21">
        <v>1500</v>
      </c>
      <c r="L203" s="21">
        <v>1500</v>
      </c>
      <c r="M203" s="21">
        <v>1500</v>
      </c>
      <c r="N203" s="21">
        <v>1500</v>
      </c>
      <c r="O203" s="21">
        <v>1500</v>
      </c>
      <c r="P203" s="36"/>
      <c r="Q203" s="2">
        <f>SUM(OSRRefD21_18_1x)+IFERROR(SUM(OSRRefE21_18_1x),0)</f>
        <v>12000</v>
      </c>
    </row>
    <row r="204" spans="1:17" s="34" customFormat="1" hidden="1" outlineLevel="1" x14ac:dyDescent="0.25">
      <c r="A204" s="35"/>
      <c r="B204" s="13" t="str">
        <f>CONCATENATE("          ","6373", " - ","MAINTENANCE CONTRACTS")</f>
        <v xml:space="preserve">          6373 - MAINTENANCE CONTRACTS</v>
      </c>
      <c r="C204" s="15"/>
      <c r="D204" s="21">
        <v>8771.25</v>
      </c>
      <c r="E204" s="21">
        <v>10884.93</v>
      </c>
      <c r="F204" s="21">
        <v>14594.21</v>
      </c>
      <c r="G204" s="21">
        <v>125859.86</v>
      </c>
      <c r="H204" s="21">
        <v>8378</v>
      </c>
      <c r="I204" s="21">
        <v>6578</v>
      </c>
      <c r="J204" s="21">
        <v>9078</v>
      </c>
      <c r="K204" s="21">
        <v>10078</v>
      </c>
      <c r="L204" s="21">
        <v>6078</v>
      </c>
      <c r="M204" s="21">
        <v>6078</v>
      </c>
      <c r="N204" s="21">
        <v>7878</v>
      </c>
      <c r="O204" s="21">
        <v>8078</v>
      </c>
      <c r="P204" s="36"/>
      <c r="Q204" s="2">
        <f>SUM(OSRRefD21_18_2x)+IFERROR(SUM(OSRRefE21_18_2x),0)</f>
        <v>222334.25</v>
      </c>
    </row>
    <row r="205" spans="1:17" s="34" customFormat="1" hidden="1" outlineLevel="1" x14ac:dyDescent="0.25">
      <c r="A205" s="35"/>
      <c r="B205" s="13" t="str">
        <f>CONCATENATE("          ","6375", " - ","OUTSIDE REPAIRS &amp; MAINTENANCE")</f>
        <v xml:space="preserve">          6375 - OUTSIDE REPAIRS &amp; MAINTENANCE</v>
      </c>
      <c r="C205" s="15"/>
      <c r="D205" s="21">
        <v>3373.8</v>
      </c>
      <c r="E205" s="21">
        <v>3025.22</v>
      </c>
      <c r="F205" s="21">
        <v>8892.1299999999992</v>
      </c>
      <c r="G205" s="21">
        <v>7378.18</v>
      </c>
      <c r="H205" s="21">
        <v>9520</v>
      </c>
      <c r="I205" s="21">
        <v>9420</v>
      </c>
      <c r="J205" s="21">
        <v>9520</v>
      </c>
      <c r="K205" s="21">
        <v>9420</v>
      </c>
      <c r="L205" s="21">
        <v>9520</v>
      </c>
      <c r="M205" s="21">
        <v>9420</v>
      </c>
      <c r="N205" s="21">
        <v>9520</v>
      </c>
      <c r="O205" s="21">
        <v>8420</v>
      </c>
      <c r="P205" s="36"/>
      <c r="Q205" s="2">
        <f>SUM(OSRRefD21_18_3x)+IFERROR(SUM(OSRRefE21_18_3x),0)</f>
        <v>97429.33</v>
      </c>
    </row>
    <row r="206" spans="1:17" s="34" customFormat="1" collapsed="1" x14ac:dyDescent="0.25">
      <c r="A206" s="35"/>
      <c r="B206" s="15" t="str">
        <f>CONCATENATE("     ","Royalty &amp; Commissions                             ")</f>
        <v xml:space="preserve">     Royalty &amp; Commissions                             </v>
      </c>
      <c r="C206" s="15"/>
      <c r="D206" s="1">
        <f>SUM(OSRRefD21_19x_0)</f>
        <v>10989.75</v>
      </c>
      <c r="E206" s="1">
        <f>SUM(OSRRefD21_19x_1)</f>
        <v>2254.65</v>
      </c>
      <c r="F206" s="1">
        <f>SUM(OSRRefD21_19x_2)</f>
        <v>62.6</v>
      </c>
      <c r="G206" s="1">
        <f>SUM(OSRRefD21_19x_3)</f>
        <v>10995.7</v>
      </c>
      <c r="H206" s="1">
        <f>SUM(OSRRefE21_19x_0)</f>
        <v>6321</v>
      </c>
      <c r="I206" s="1">
        <f>SUM(OSRRefE21_19x_1)</f>
        <v>6321</v>
      </c>
      <c r="J206" s="1">
        <f>SUM(OSRRefE21_19x_2)</f>
        <v>6321</v>
      </c>
      <c r="K206" s="1">
        <f>SUM(OSRRefE21_19x_3)</f>
        <v>6321</v>
      </c>
      <c r="L206" s="1">
        <f>SUM(OSRRefE21_19x_4)</f>
        <v>11271</v>
      </c>
      <c r="M206" s="1">
        <f>SUM(OSRRefE21_19x_5)</f>
        <v>6371</v>
      </c>
      <c r="N206" s="1">
        <f>SUM(OSRRefE21_19x_6)</f>
        <v>6371</v>
      </c>
      <c r="O206" s="1">
        <f>SUM(OSRRefE21_19x_7)</f>
        <v>6371</v>
      </c>
      <c r="Q206" s="2">
        <f>SUM(OSRRefD20_19x)+IFERROR(SUM(OSRRefE20_19x),0)</f>
        <v>79970.7</v>
      </c>
    </row>
    <row r="207" spans="1:17" s="34" customFormat="1" hidden="1" outlineLevel="1" x14ac:dyDescent="0.25">
      <c r="A207" s="35"/>
      <c r="B207" s="13" t="str">
        <f>CONCATENATE("          ","6252", " - ","ROYALTY DUE CSTV")</f>
        <v xml:space="preserve">          6252 - ROYALTY DUE CSTV</v>
      </c>
      <c r="C207" s="15"/>
      <c r="D207" s="21"/>
      <c r="E207" s="21"/>
      <c r="F207" s="21"/>
      <c r="G207" s="21"/>
      <c r="H207" s="21">
        <v>1085</v>
      </c>
      <c r="I207" s="21">
        <v>1085</v>
      </c>
      <c r="J207" s="21">
        <v>1085</v>
      </c>
      <c r="K207" s="21">
        <v>1085</v>
      </c>
      <c r="L207" s="21">
        <v>1085</v>
      </c>
      <c r="M207" s="21">
        <v>1085</v>
      </c>
      <c r="N207" s="21">
        <v>1085</v>
      </c>
      <c r="O207" s="21">
        <v>1085</v>
      </c>
      <c r="P207" s="36"/>
      <c r="Q207" s="2">
        <f>SUM(OSRRefD21_19_0x)+IFERROR(SUM(OSRRefE21_19_0x),0)</f>
        <v>8680</v>
      </c>
    </row>
    <row r="208" spans="1:17" s="34" customFormat="1" hidden="1" outlineLevel="1" x14ac:dyDescent="0.25">
      <c r="A208" s="35"/>
      <c r="B208" s="13" t="str">
        <f>CONCATENATE("          ","6253", " - ","ROYALTY DUE ATHLETICS-LRG")</f>
        <v xml:space="preserve">          6253 - ROYALTY DUE ATHLETICS-LRG</v>
      </c>
      <c r="C208" s="15"/>
      <c r="D208" s="21">
        <v>5672.2</v>
      </c>
      <c r="E208" s="21">
        <v>2250</v>
      </c>
      <c r="F208" s="21"/>
      <c r="G208" s="21">
        <v>10489.6</v>
      </c>
      <c r="H208" s="21">
        <v>4037</v>
      </c>
      <c r="I208" s="21">
        <v>4037</v>
      </c>
      <c r="J208" s="21">
        <v>4037</v>
      </c>
      <c r="K208" s="21">
        <v>4037</v>
      </c>
      <c r="L208" s="21">
        <v>4037</v>
      </c>
      <c r="M208" s="21">
        <v>4037</v>
      </c>
      <c r="N208" s="21">
        <v>4037</v>
      </c>
      <c r="O208" s="21">
        <v>4037</v>
      </c>
      <c r="P208" s="36"/>
      <c r="Q208" s="2">
        <f>SUM(OSRRefD21_19_1x)+IFERROR(SUM(OSRRefE21_19_1x),0)</f>
        <v>50707.8</v>
      </c>
    </row>
    <row r="209" spans="1:17" s="34" customFormat="1" hidden="1" outlineLevel="1" x14ac:dyDescent="0.25">
      <c r="A209" s="35"/>
      <c r="B209" s="13" t="str">
        <f>CONCATENATE("          ","6254", " - ","ROYALTY &amp; COMMISSIONS")</f>
        <v xml:space="preserve">          6254 - ROYALTY &amp; COMMISSIONS</v>
      </c>
      <c r="C209" s="15"/>
      <c r="D209" s="21"/>
      <c r="E209" s="21"/>
      <c r="F209" s="21"/>
      <c r="G209" s="21">
        <v>185.7</v>
      </c>
      <c r="H209" s="21">
        <v>1149</v>
      </c>
      <c r="I209" s="21">
        <v>1149</v>
      </c>
      <c r="J209" s="21">
        <v>1149</v>
      </c>
      <c r="K209" s="21">
        <v>1149</v>
      </c>
      <c r="L209" s="21">
        <v>1149</v>
      </c>
      <c r="M209" s="21">
        <v>1149</v>
      </c>
      <c r="N209" s="21">
        <v>1149</v>
      </c>
      <c r="O209" s="21">
        <v>1149</v>
      </c>
      <c r="P209" s="36"/>
      <c r="Q209" s="2">
        <f>SUM(OSRRefD21_19_2x)+IFERROR(SUM(OSRRefE21_19_2x),0)</f>
        <v>9377.7000000000007</v>
      </c>
    </row>
    <row r="210" spans="1:17" s="34" customFormat="1" hidden="1" outlineLevel="1" x14ac:dyDescent="0.25">
      <c r="A210" s="35"/>
      <c r="B210" s="13" t="str">
        <f>CONCATENATE("          ","6259", " - ","ROYALTY &amp; COMMISSIONS")</f>
        <v xml:space="preserve">          6259 - ROYALTY &amp; COMMISSIONS</v>
      </c>
      <c r="C210" s="15"/>
      <c r="D210" s="21">
        <v>5317.55</v>
      </c>
      <c r="E210" s="21">
        <v>4.6500000000000004</v>
      </c>
      <c r="F210" s="21">
        <v>62.6</v>
      </c>
      <c r="G210" s="21">
        <v>320.39999999999998</v>
      </c>
      <c r="H210" s="21">
        <v>50</v>
      </c>
      <c r="I210" s="21">
        <v>50</v>
      </c>
      <c r="J210" s="21">
        <v>50</v>
      </c>
      <c r="K210" s="21">
        <v>50</v>
      </c>
      <c r="L210" s="21">
        <v>5000</v>
      </c>
      <c r="M210" s="21">
        <v>100</v>
      </c>
      <c r="N210" s="21">
        <v>100</v>
      </c>
      <c r="O210" s="21">
        <v>100</v>
      </c>
      <c r="P210" s="36"/>
      <c r="Q210" s="2">
        <f>SUM(OSRRefD21_19_3x)+IFERROR(SUM(OSRRefE21_19_3x),0)</f>
        <v>11205.2</v>
      </c>
    </row>
    <row r="211" spans="1:17" s="34" customFormat="1" collapsed="1" x14ac:dyDescent="0.25">
      <c r="A211" s="35"/>
      <c r="B211" s="15" t="str">
        <f>CONCATENATE("     ","Services                                          ")</f>
        <v xml:space="preserve">     Services                                          </v>
      </c>
      <c r="C211" s="15"/>
      <c r="D211" s="1">
        <f>SUM(OSRRefD21_20x_0)</f>
        <v>15839.01</v>
      </c>
      <c r="E211" s="1">
        <f>SUM(OSRRefD21_20x_1)</f>
        <v>11874.029999999999</v>
      </c>
      <c r="F211" s="1">
        <f>SUM(OSRRefD21_20x_2)</f>
        <v>21871.279999999999</v>
      </c>
      <c r="G211" s="1">
        <f>SUM(OSRRefD21_20x_3)</f>
        <v>22877.25</v>
      </c>
      <c r="H211" s="1">
        <f>SUM(OSRRefE21_20x_0)</f>
        <v>25252</v>
      </c>
      <c r="I211" s="1">
        <f>SUM(OSRRefE21_20x_1)</f>
        <v>26082</v>
      </c>
      <c r="J211" s="1">
        <f>SUM(OSRRefE21_20x_2)</f>
        <v>27157</v>
      </c>
      <c r="K211" s="1">
        <f>SUM(OSRRefE21_20x_3)</f>
        <v>26187</v>
      </c>
      <c r="L211" s="1">
        <f>SUM(OSRRefE21_20x_4)</f>
        <v>25879</v>
      </c>
      <c r="M211" s="1">
        <f>SUM(OSRRefE21_20x_5)</f>
        <v>26072</v>
      </c>
      <c r="N211" s="1">
        <f>SUM(OSRRefE21_20x_6)</f>
        <v>25824</v>
      </c>
      <c r="O211" s="1">
        <f>SUM(OSRRefE21_20x_7)</f>
        <v>26654</v>
      </c>
      <c r="Q211" s="2">
        <f>SUM(OSRRefD20_20x)+IFERROR(SUM(OSRRefE20_20x),0)</f>
        <v>281568.57</v>
      </c>
    </row>
    <row r="212" spans="1:17" s="34" customFormat="1" hidden="1" outlineLevel="1" x14ac:dyDescent="0.25">
      <c r="A212" s="35"/>
      <c r="B212" s="13" t="str">
        <f>CONCATENATE("          ","6282", " - ","JANITORIAL/EXTERMINATOR EXPENS")</f>
        <v xml:space="preserve">          6282 - JANITORIAL/EXTERMINATOR EXPENS</v>
      </c>
      <c r="C212" s="15"/>
      <c r="D212" s="21">
        <v>1644.8</v>
      </c>
      <c r="E212" s="21">
        <v>967.1</v>
      </c>
      <c r="F212" s="21">
        <v>315.86</v>
      </c>
      <c r="G212" s="21">
        <v>7486.36</v>
      </c>
      <c r="H212" s="21">
        <v>6705</v>
      </c>
      <c r="I212" s="21">
        <v>7332</v>
      </c>
      <c r="J212" s="21">
        <v>6705</v>
      </c>
      <c r="K212" s="21">
        <v>6705</v>
      </c>
      <c r="L212" s="21">
        <v>6705</v>
      </c>
      <c r="M212" s="21">
        <v>6705</v>
      </c>
      <c r="N212" s="21">
        <v>6705</v>
      </c>
      <c r="O212" s="21">
        <v>7332</v>
      </c>
      <c r="P212" s="36"/>
      <c r="Q212" s="2">
        <f>SUM(OSRRefD21_20_0x)+IFERROR(SUM(OSRRefE21_20_0x),0)</f>
        <v>65308.119999999995</v>
      </c>
    </row>
    <row r="213" spans="1:17" s="34" customFormat="1" hidden="1" outlineLevel="1" x14ac:dyDescent="0.25">
      <c r="A213" s="35"/>
      <c r="B213" s="13" t="str">
        <f>CONCATENATE("          ","6283", " - ","PLANT SERVICE")</f>
        <v xml:space="preserve">          6283 - PLANT SERVICE</v>
      </c>
      <c r="C213" s="15"/>
      <c r="D213" s="21">
        <v>130</v>
      </c>
      <c r="E213" s="21"/>
      <c r="F213" s="21"/>
      <c r="G213" s="21"/>
      <c r="H213" s="21">
        <v>0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36"/>
      <c r="Q213" s="2">
        <f>SUM(OSRRefD21_20_1x)+IFERROR(SUM(OSRRefE21_20_1x),0)</f>
        <v>130</v>
      </c>
    </row>
    <row r="214" spans="1:17" s="34" customFormat="1" hidden="1" outlineLevel="1" x14ac:dyDescent="0.25">
      <c r="A214" s="35"/>
      <c r="B214" s="13" t="str">
        <f>CONCATENATE("          ","6284", " - ","TRASH REMOVAL EXPENSE")</f>
        <v xml:space="preserve">          6284 - TRASH REMOVAL EXPENSE</v>
      </c>
      <c r="C214" s="15"/>
      <c r="D214" s="21">
        <v>1142.57</v>
      </c>
      <c r="E214" s="21">
        <v>1142.57</v>
      </c>
      <c r="F214" s="21">
        <v>903.57</v>
      </c>
      <c r="G214" s="21">
        <v>5526.59</v>
      </c>
      <c r="H214" s="21">
        <v>3678</v>
      </c>
      <c r="I214" s="21">
        <v>3733</v>
      </c>
      <c r="J214" s="21">
        <v>3678</v>
      </c>
      <c r="K214" s="21">
        <v>3678</v>
      </c>
      <c r="L214" s="21">
        <v>3733</v>
      </c>
      <c r="M214" s="21">
        <v>3678</v>
      </c>
      <c r="N214" s="21">
        <v>3678</v>
      </c>
      <c r="O214" s="21">
        <v>3733</v>
      </c>
      <c r="P214" s="36"/>
      <c r="Q214" s="2">
        <f>SUM(OSRRefD21_20_2x)+IFERROR(SUM(OSRRefE21_20_2x),0)</f>
        <v>38304.300000000003</v>
      </c>
    </row>
    <row r="215" spans="1:17" s="34" customFormat="1" hidden="1" outlineLevel="1" x14ac:dyDescent="0.25">
      <c r="A215" s="35"/>
      <c r="B215" s="13" t="str">
        <f>CONCATENATE("          ","6285", " - ","JANITORIAL SERVICES")</f>
        <v xml:space="preserve">          6285 - JANITORIAL SERVICES</v>
      </c>
      <c r="C215" s="15"/>
      <c r="D215" s="21">
        <v>10984.17</v>
      </c>
      <c r="E215" s="21">
        <v>7251.9</v>
      </c>
      <c r="F215" s="21">
        <v>19141.91</v>
      </c>
      <c r="G215" s="21">
        <v>7831.3</v>
      </c>
      <c r="H215" s="21">
        <v>11869</v>
      </c>
      <c r="I215" s="21">
        <v>11869</v>
      </c>
      <c r="J215" s="21">
        <v>13774</v>
      </c>
      <c r="K215" s="21">
        <v>12656</v>
      </c>
      <c r="L215" s="21">
        <v>12441</v>
      </c>
      <c r="M215" s="21">
        <v>12541</v>
      </c>
      <c r="N215" s="21">
        <v>12441</v>
      </c>
      <c r="O215" s="21">
        <v>12441</v>
      </c>
      <c r="P215" s="36"/>
      <c r="Q215" s="2">
        <f>SUM(OSRRefD21_20_3x)+IFERROR(SUM(OSRRefE21_20_3x),0)</f>
        <v>145241.28</v>
      </c>
    </row>
    <row r="216" spans="1:17" s="34" customFormat="1" hidden="1" outlineLevel="1" x14ac:dyDescent="0.25">
      <c r="A216" s="35"/>
      <c r="B216" s="13" t="str">
        <f>CONCATENATE("          ","6286", " - ","LAUNDRY EXPENSE")</f>
        <v xml:space="preserve">          6286 - LAUNDRY EXPENSE</v>
      </c>
      <c r="C216" s="15"/>
      <c r="D216" s="21">
        <v>1937.47</v>
      </c>
      <c r="E216" s="21">
        <v>2512.46</v>
      </c>
      <c r="F216" s="21">
        <v>1509.94</v>
      </c>
      <c r="G216" s="21">
        <v>2033</v>
      </c>
      <c r="H216" s="21">
        <v>3000</v>
      </c>
      <c r="I216" s="21">
        <v>3148</v>
      </c>
      <c r="J216" s="21">
        <v>3000</v>
      </c>
      <c r="K216" s="21">
        <v>3148</v>
      </c>
      <c r="L216" s="21">
        <v>3000</v>
      </c>
      <c r="M216" s="21">
        <v>3148</v>
      </c>
      <c r="N216" s="21">
        <v>3000</v>
      </c>
      <c r="O216" s="21">
        <v>3148</v>
      </c>
      <c r="P216" s="36"/>
      <c r="Q216" s="2">
        <f>SUM(OSRRefD21_20_4x)+IFERROR(SUM(OSRRefE21_20_4x),0)</f>
        <v>32584.870000000003</v>
      </c>
    </row>
    <row r="217" spans="1:17" s="34" customFormat="1" collapsed="1" x14ac:dyDescent="0.25">
      <c r="A217" s="35"/>
      <c r="B217" s="15" t="str">
        <f>CONCATENATE("     ","Subscriptions &amp; Dues                              ")</f>
        <v xml:space="preserve">     Subscriptions &amp; Dues                              </v>
      </c>
      <c r="C217" s="15"/>
      <c r="D217" s="1">
        <f>SUM(OSRRefD21_21x_0)</f>
        <v>374.32</v>
      </c>
      <c r="E217" s="1">
        <f>SUM(OSRRefD21_21x_1)</f>
        <v>270</v>
      </c>
      <c r="F217" s="1">
        <f>SUM(OSRRefD21_21x_2)</f>
        <v>280.11</v>
      </c>
      <c r="G217" s="1">
        <f>SUM(OSRRefD21_21x_3)</f>
        <v>995.99</v>
      </c>
      <c r="H217" s="1">
        <f>SUM(OSRRefE21_21x_0)</f>
        <v>1297</v>
      </c>
      <c r="I217" s="1">
        <f>SUM(OSRRefE21_21x_1)</f>
        <v>2197</v>
      </c>
      <c r="J217" s="1">
        <f>SUM(OSRRefE21_21x_2)</f>
        <v>1297</v>
      </c>
      <c r="K217" s="1">
        <f>SUM(OSRRefE21_21x_3)</f>
        <v>1302</v>
      </c>
      <c r="L217" s="1">
        <f>SUM(OSRRefE21_21x_4)</f>
        <v>1300</v>
      </c>
      <c r="M217" s="1">
        <f>SUM(OSRRefE21_21x_5)</f>
        <v>3950</v>
      </c>
      <c r="N217" s="1">
        <f>SUM(OSRRefE21_21x_6)</f>
        <v>1300</v>
      </c>
      <c r="O217" s="1">
        <f>SUM(OSRRefE21_21x_7)</f>
        <v>1500</v>
      </c>
      <c r="Q217" s="2">
        <f>SUM(OSRRefD20_21x)+IFERROR(SUM(OSRRefE20_21x),0)</f>
        <v>16063.42</v>
      </c>
    </row>
    <row r="218" spans="1:17" s="34" customFormat="1" hidden="1" outlineLevel="1" x14ac:dyDescent="0.25">
      <c r="A218" s="35"/>
      <c r="B218" s="13" t="str">
        <f>CONCATENATE("          ","6258", " - ","MEMBERSHIP DUES")</f>
        <v xml:space="preserve">          6258 - MEMBERSHIP DUES</v>
      </c>
      <c r="C218" s="15"/>
      <c r="D218" s="21">
        <v>290</v>
      </c>
      <c r="E218" s="21">
        <v>270</v>
      </c>
      <c r="F218" s="21">
        <v>73.040000000000006</v>
      </c>
      <c r="G218" s="21">
        <v>790.32</v>
      </c>
      <c r="H218" s="21">
        <v>1100</v>
      </c>
      <c r="I218" s="21">
        <v>2000</v>
      </c>
      <c r="J218" s="21">
        <v>1100</v>
      </c>
      <c r="K218" s="21">
        <v>1100</v>
      </c>
      <c r="L218" s="21">
        <v>1100</v>
      </c>
      <c r="M218" s="21">
        <v>1950</v>
      </c>
      <c r="N218" s="21">
        <v>1100</v>
      </c>
      <c r="O218" s="21">
        <v>1300</v>
      </c>
      <c r="P218" s="36"/>
      <c r="Q218" s="2">
        <f>SUM(OSRRefD21_21_0x)+IFERROR(SUM(OSRRefE21_21_0x),0)</f>
        <v>12173.36</v>
      </c>
    </row>
    <row r="219" spans="1:17" s="34" customFormat="1" hidden="1" outlineLevel="1" x14ac:dyDescent="0.25">
      <c r="A219" s="35"/>
      <c r="B219" s="13" t="str">
        <f>CONCATENATE("          ","6275", " - ","SUBSCRIPTIONS")</f>
        <v xml:space="preserve">          6275 - SUBSCRIPTIONS</v>
      </c>
      <c r="C219" s="15"/>
      <c r="D219" s="21">
        <v>84.32</v>
      </c>
      <c r="E219" s="21"/>
      <c r="F219" s="21">
        <v>207.07</v>
      </c>
      <c r="G219" s="21">
        <v>205.67</v>
      </c>
      <c r="H219" s="21">
        <v>197</v>
      </c>
      <c r="I219" s="21">
        <v>197</v>
      </c>
      <c r="J219" s="21">
        <v>197</v>
      </c>
      <c r="K219" s="21">
        <v>202</v>
      </c>
      <c r="L219" s="21">
        <v>200</v>
      </c>
      <c r="M219" s="21">
        <v>2000</v>
      </c>
      <c r="N219" s="21">
        <v>200</v>
      </c>
      <c r="O219" s="21">
        <v>200</v>
      </c>
      <c r="P219" s="36"/>
      <c r="Q219" s="2">
        <f>SUM(OSRRefD21_21_1x)+IFERROR(SUM(OSRRefE21_21_1x),0)</f>
        <v>3890.06</v>
      </c>
    </row>
    <row r="220" spans="1:17" s="34" customFormat="1" collapsed="1" x14ac:dyDescent="0.25">
      <c r="A220" s="35"/>
      <c r="B220" s="15" t="str">
        <f>CONCATENATE("     ","Supplies                                          ")</f>
        <v xml:space="preserve">     Supplies                                          </v>
      </c>
      <c r="C220" s="15"/>
      <c r="D220" s="1">
        <f>SUM(OSRRefD21_22x_0)</f>
        <v>19842.560000000001</v>
      </c>
      <c r="E220" s="1">
        <f>SUM(OSRRefD21_22x_1)</f>
        <v>34496.480000000003</v>
      </c>
      <c r="F220" s="1">
        <f>SUM(OSRRefD21_22x_2)</f>
        <v>23781.030000000002</v>
      </c>
      <c r="G220" s="1">
        <f>SUM(OSRRefD21_22x_3)</f>
        <v>55339.390000000007</v>
      </c>
      <c r="H220" s="1">
        <f>SUM(OSRRefE21_22x_0)</f>
        <v>20303</v>
      </c>
      <c r="I220" s="1">
        <f>SUM(OSRRefE21_22x_1)</f>
        <v>22953</v>
      </c>
      <c r="J220" s="1">
        <f>SUM(OSRRefE21_22x_2)</f>
        <v>23518</v>
      </c>
      <c r="K220" s="1">
        <f>SUM(OSRRefE21_22x_3)</f>
        <v>21453</v>
      </c>
      <c r="L220" s="1">
        <f>SUM(OSRRefE21_22x_4)</f>
        <v>20813</v>
      </c>
      <c r="M220" s="1">
        <f>SUM(OSRRefE21_22x_5)</f>
        <v>20568</v>
      </c>
      <c r="N220" s="1">
        <f>SUM(OSRRefE21_22x_6)</f>
        <v>22813</v>
      </c>
      <c r="O220" s="1">
        <f>SUM(OSRRefE21_22x_7)</f>
        <v>14345</v>
      </c>
      <c r="Q220" s="2">
        <f>SUM(OSRRefD20_22x)+IFERROR(SUM(OSRRefE20_22x),0)</f>
        <v>300225.46000000002</v>
      </c>
    </row>
    <row r="221" spans="1:17" s="34" customFormat="1" hidden="1" outlineLevel="1" x14ac:dyDescent="0.25">
      <c r="A221" s="35"/>
      <c r="B221" s="13" t="str">
        <f>CONCATENATE("          ","6234", " - ","EXPENDABLE SUPPLIES &amp; EQUIPMEN")</f>
        <v xml:space="preserve">          6234 - EXPENDABLE SUPPLIES &amp; EQUIPMEN</v>
      </c>
      <c r="C221" s="15"/>
      <c r="D221" s="21"/>
      <c r="E221" s="21">
        <v>255.78</v>
      </c>
      <c r="F221" s="21">
        <v>316.67</v>
      </c>
      <c r="G221" s="21">
        <v>156.47</v>
      </c>
      <c r="H221" s="21">
        <v>7700</v>
      </c>
      <c r="I221" s="21">
        <v>7700</v>
      </c>
      <c r="J221" s="21">
        <v>7700</v>
      </c>
      <c r="K221" s="21">
        <v>7700</v>
      </c>
      <c r="L221" s="21">
        <v>7700</v>
      </c>
      <c r="M221" s="21">
        <v>7700</v>
      </c>
      <c r="N221" s="21">
        <v>7700</v>
      </c>
      <c r="O221" s="21">
        <v>7700</v>
      </c>
      <c r="P221" s="36"/>
      <c r="Q221" s="2">
        <f>SUM(OSRRefD21_22_0x)+IFERROR(SUM(OSRRefE21_22_0x),0)</f>
        <v>62328.92</v>
      </c>
    </row>
    <row r="222" spans="1:17" s="34" customFormat="1" hidden="1" outlineLevel="1" x14ac:dyDescent="0.25">
      <c r="A222" s="35"/>
      <c r="B222" s="13" t="str">
        <f>CONCATENATE("          ","6235", " - ","COVID-19 EXPENSES")</f>
        <v xml:space="preserve">          6235 - COVID-19 EXPENSES</v>
      </c>
      <c r="C222" s="15"/>
      <c r="D222" s="21">
        <v>12389.44</v>
      </c>
      <c r="E222" s="21">
        <v>9615.5400000000009</v>
      </c>
      <c r="F222" s="21">
        <v>6506.04</v>
      </c>
      <c r="G222" s="21">
        <v>36232.67</v>
      </c>
      <c r="H222" s="21">
        <v>4500</v>
      </c>
      <c r="I222" s="21">
        <v>4500</v>
      </c>
      <c r="J222" s="21">
        <v>4500</v>
      </c>
      <c r="K222" s="21">
        <v>4500</v>
      </c>
      <c r="L222" s="21">
        <v>4500</v>
      </c>
      <c r="M222" s="21">
        <v>4500</v>
      </c>
      <c r="N222" s="21">
        <v>4500</v>
      </c>
      <c r="O222" s="21">
        <v>2500</v>
      </c>
      <c r="P222" s="36"/>
      <c r="Q222" s="2">
        <f>SUM(OSRRefD21_22_1x)+IFERROR(SUM(OSRRefE21_22_1x),0)</f>
        <v>98743.69</v>
      </c>
    </row>
    <row r="223" spans="1:17" s="34" customFormat="1" hidden="1" outlineLevel="1" x14ac:dyDescent="0.25">
      <c r="A223" s="35"/>
      <c r="B223" s="13" t="str">
        <f>CONCATENATE("          ","6237", " - ","JANITORIAL SUPPLIES")</f>
        <v xml:space="preserve">          6237 - JANITORIAL SUPPLIES</v>
      </c>
      <c r="C223" s="15"/>
      <c r="D223" s="21">
        <v>1327.35</v>
      </c>
      <c r="E223" s="21">
        <v>1416.91</v>
      </c>
      <c r="F223" s="21">
        <v>3806.33</v>
      </c>
      <c r="G223" s="21">
        <v>3175.55</v>
      </c>
      <c r="H223" s="21">
        <v>3410</v>
      </c>
      <c r="I223" s="21">
        <v>3410</v>
      </c>
      <c r="J223" s="21">
        <v>3420</v>
      </c>
      <c r="K223" s="21">
        <v>3410</v>
      </c>
      <c r="L223" s="21">
        <v>3420</v>
      </c>
      <c r="M223" s="21">
        <v>3420</v>
      </c>
      <c r="N223" s="21">
        <v>3420</v>
      </c>
      <c r="O223" s="21">
        <v>420</v>
      </c>
      <c r="P223" s="36"/>
      <c r="Q223" s="2">
        <f>SUM(OSRRefD21_22_2x)+IFERROR(SUM(OSRRefE21_22_2x),0)</f>
        <v>34056.14</v>
      </c>
    </row>
    <row r="224" spans="1:17" s="34" customFormat="1" hidden="1" outlineLevel="1" x14ac:dyDescent="0.25">
      <c r="A224" s="35"/>
      <c r="B224" s="13" t="str">
        <f>CONCATENATE("          ","6239", " - ","KITCHEN SUPPLIES")</f>
        <v xml:space="preserve">          6239 - KITCHEN SUPPLIES</v>
      </c>
      <c r="C224" s="15"/>
      <c r="D224" s="21">
        <v>50</v>
      </c>
      <c r="E224" s="21">
        <v>2324.31</v>
      </c>
      <c r="F224" s="21">
        <v>553.01</v>
      </c>
      <c r="G224" s="21">
        <v>1264.19</v>
      </c>
      <c r="H224" s="21">
        <v>500</v>
      </c>
      <c r="I224" s="21">
        <v>500</v>
      </c>
      <c r="J224" s="21">
        <v>500</v>
      </c>
      <c r="K224" s="21">
        <v>500</v>
      </c>
      <c r="L224" s="21">
        <v>500</v>
      </c>
      <c r="M224" s="21">
        <v>500</v>
      </c>
      <c r="N224" s="21">
        <v>500</v>
      </c>
      <c r="O224" s="21">
        <v>0</v>
      </c>
      <c r="P224" s="36"/>
      <c r="Q224" s="2">
        <f>SUM(OSRRefD21_22_3x)+IFERROR(SUM(OSRRefE21_22_3x),0)</f>
        <v>7691.51</v>
      </c>
    </row>
    <row r="225" spans="1:17" s="34" customFormat="1" hidden="1" outlineLevel="1" x14ac:dyDescent="0.25">
      <c r="A225" s="35"/>
      <c r="B225" s="13" t="str">
        <f>CONCATENATE("          ","6241", " - ","OFFICE EXPENSE")</f>
        <v xml:space="preserve">          6241 - OFFICE EXPENSE</v>
      </c>
      <c r="C225" s="15"/>
      <c r="D225" s="21">
        <v>489.8</v>
      </c>
      <c r="E225" s="21">
        <v>9177.66</v>
      </c>
      <c r="F225" s="21">
        <v>5659.43</v>
      </c>
      <c r="G225" s="21">
        <v>6973.77</v>
      </c>
      <c r="H225" s="21">
        <v>800</v>
      </c>
      <c r="I225" s="21">
        <v>1275</v>
      </c>
      <c r="J225" s="21">
        <v>1000</v>
      </c>
      <c r="K225" s="21">
        <v>975</v>
      </c>
      <c r="L225" s="21">
        <v>800</v>
      </c>
      <c r="M225" s="21">
        <v>775</v>
      </c>
      <c r="N225" s="21">
        <v>800</v>
      </c>
      <c r="O225" s="21">
        <v>525</v>
      </c>
      <c r="P225" s="36"/>
      <c r="Q225" s="2">
        <f>SUM(OSRRefD21_22_4x)+IFERROR(SUM(OSRRefE21_22_4x),0)</f>
        <v>29250.66</v>
      </c>
    </row>
    <row r="226" spans="1:17" s="34" customFormat="1" hidden="1" outlineLevel="1" x14ac:dyDescent="0.25">
      <c r="A226" s="35"/>
      <c r="B226" s="13" t="str">
        <f>CONCATENATE("          ","6243", " - ","PAPER SUPPLIES")</f>
        <v xml:space="preserve">          6243 - PAPER SUPPLIES</v>
      </c>
      <c r="C226" s="15"/>
      <c r="D226" s="21">
        <v>1727.88</v>
      </c>
      <c r="E226" s="21">
        <v>5056.9799999999996</v>
      </c>
      <c r="F226" s="21"/>
      <c r="G226" s="21">
        <v>3081.65</v>
      </c>
      <c r="H226" s="21">
        <v>350</v>
      </c>
      <c r="I226" s="21">
        <v>2250</v>
      </c>
      <c r="J226" s="21">
        <v>2250</v>
      </c>
      <c r="K226" s="21">
        <v>350</v>
      </c>
      <c r="L226" s="21">
        <v>350</v>
      </c>
      <c r="M226" s="21">
        <v>350</v>
      </c>
      <c r="N226" s="21">
        <v>2250</v>
      </c>
      <c r="O226" s="21">
        <v>350</v>
      </c>
      <c r="P226" s="36"/>
      <c r="Q226" s="2">
        <f>SUM(OSRRefD21_22_5x)+IFERROR(SUM(OSRRefE21_22_5x),0)</f>
        <v>18366.510000000002</v>
      </c>
    </row>
    <row r="227" spans="1:17" s="34" customFormat="1" hidden="1" outlineLevel="1" x14ac:dyDescent="0.25">
      <c r="A227" s="35"/>
      <c r="B227" s="13" t="str">
        <f>CONCATENATE("          ","6244", " - ","SAFETY SUPPLY EXPENSE")</f>
        <v xml:space="preserve">          6244 - SAFETY SUPPLY EXPENSE</v>
      </c>
      <c r="C227" s="15"/>
      <c r="D227" s="21"/>
      <c r="E227" s="21"/>
      <c r="F227" s="21"/>
      <c r="G227" s="21"/>
      <c r="H227" s="21">
        <v>0</v>
      </c>
      <c r="I227" s="21">
        <v>0</v>
      </c>
      <c r="J227" s="21">
        <v>105</v>
      </c>
      <c r="K227" s="21">
        <v>0</v>
      </c>
      <c r="L227" s="21">
        <v>0</v>
      </c>
      <c r="M227" s="21">
        <v>105</v>
      </c>
      <c r="N227" s="21">
        <v>0</v>
      </c>
      <c r="O227" s="21">
        <v>0</v>
      </c>
      <c r="P227" s="36"/>
      <c r="Q227" s="2">
        <f>SUM(OSRRefD21_22_6x)+IFERROR(SUM(OSRRefE21_22_6x),0)</f>
        <v>210</v>
      </c>
    </row>
    <row r="228" spans="1:17" s="34" customFormat="1" hidden="1" outlineLevel="1" x14ac:dyDescent="0.25">
      <c r="A228" s="35"/>
      <c r="B228" s="13" t="str">
        <f>CONCATENATE("          ","6245", " - ","PRINTING")</f>
        <v xml:space="preserve">          6245 - PRINTING</v>
      </c>
      <c r="C228" s="15"/>
      <c r="D228" s="21">
        <v>-1543.5</v>
      </c>
      <c r="E228" s="21">
        <v>1248</v>
      </c>
      <c r="F228" s="21">
        <v>356.96</v>
      </c>
      <c r="G228" s="21">
        <v>353.09</v>
      </c>
      <c r="H228" s="21">
        <v>125</v>
      </c>
      <c r="I228" s="21">
        <v>425</v>
      </c>
      <c r="J228" s="21">
        <v>525</v>
      </c>
      <c r="K228" s="21">
        <v>125</v>
      </c>
      <c r="L228" s="21">
        <v>125</v>
      </c>
      <c r="M228" s="21">
        <v>125</v>
      </c>
      <c r="N228" s="21">
        <v>525</v>
      </c>
      <c r="O228" s="21">
        <v>125</v>
      </c>
      <c r="P228" s="36"/>
      <c r="Q228" s="2">
        <f>SUM(OSRRefD21_22_7x)+IFERROR(SUM(OSRRefE21_22_7x),0)</f>
        <v>2514.5500000000002</v>
      </c>
    </row>
    <row r="229" spans="1:17" s="34" customFormat="1" hidden="1" outlineLevel="1" x14ac:dyDescent="0.25">
      <c r="A229" s="35"/>
      <c r="B229" s="13" t="str">
        <f>CONCATENATE("          ","6246", " - ","REPLACEMENTS")</f>
        <v xml:space="preserve">          6246 - REPLACEMENTS</v>
      </c>
      <c r="C229" s="15"/>
      <c r="D229" s="21"/>
      <c r="E229" s="21"/>
      <c r="F229" s="21"/>
      <c r="G229" s="21"/>
      <c r="H229" s="21">
        <v>0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36"/>
      <c r="Q229" s="2">
        <f>SUM(OSRRefD21_22_8x)+IFERROR(SUM(OSRRefE21_22_8x),0)</f>
        <v>0</v>
      </c>
    </row>
    <row r="230" spans="1:17" s="34" customFormat="1" hidden="1" outlineLevel="1" x14ac:dyDescent="0.25">
      <c r="A230" s="35"/>
      <c r="B230" s="13" t="str">
        <f>CONCATENATE("          ","6247", " - ","STORE SUPPLIES")</f>
        <v xml:space="preserve">          6247 - STORE SUPPLIES</v>
      </c>
      <c r="C230" s="15"/>
      <c r="D230" s="21">
        <v>5401.59</v>
      </c>
      <c r="E230" s="21">
        <v>1890.32</v>
      </c>
      <c r="F230" s="21">
        <v>6278.89</v>
      </c>
      <c r="G230" s="21">
        <v>4102</v>
      </c>
      <c r="H230" s="21">
        <v>1568</v>
      </c>
      <c r="I230" s="21">
        <v>1543</v>
      </c>
      <c r="J230" s="21">
        <v>2168</v>
      </c>
      <c r="K230" s="21">
        <v>2543</v>
      </c>
      <c r="L230" s="21">
        <v>2068</v>
      </c>
      <c r="M230" s="21">
        <v>1743</v>
      </c>
      <c r="N230" s="21">
        <v>1768</v>
      </c>
      <c r="O230" s="21">
        <v>1725</v>
      </c>
      <c r="P230" s="36"/>
      <c r="Q230" s="2">
        <f>SUM(OSRRefD21_22_9x)+IFERROR(SUM(OSRRefE21_22_9x),0)</f>
        <v>32798.800000000003</v>
      </c>
    </row>
    <row r="231" spans="1:17" s="34" customFormat="1" hidden="1" outlineLevel="1" x14ac:dyDescent="0.25">
      <c r="A231" s="35"/>
      <c r="B231" s="13" t="str">
        <f>CONCATENATE("          ","6248", " - ","UNIFORMS")</f>
        <v xml:space="preserve">          6248 - UNIFORMS</v>
      </c>
      <c r="C231" s="15"/>
      <c r="D231" s="21"/>
      <c r="E231" s="21">
        <v>3510.98</v>
      </c>
      <c r="F231" s="21">
        <v>303.7</v>
      </c>
      <c r="G231" s="21"/>
      <c r="H231" s="21">
        <v>1350</v>
      </c>
      <c r="I231" s="21">
        <v>1350</v>
      </c>
      <c r="J231" s="21">
        <v>1350</v>
      </c>
      <c r="K231" s="21">
        <v>1350</v>
      </c>
      <c r="L231" s="21">
        <v>1350</v>
      </c>
      <c r="M231" s="21">
        <v>1350</v>
      </c>
      <c r="N231" s="21">
        <v>1350</v>
      </c>
      <c r="O231" s="21">
        <v>1000</v>
      </c>
      <c r="P231" s="36"/>
      <c r="Q231" s="2">
        <f>SUM(OSRRefD21_22_10x)+IFERROR(SUM(OSRRefE21_22_10x),0)</f>
        <v>14264.68</v>
      </c>
    </row>
    <row r="232" spans="1:17" s="34" customFormat="1" collapsed="1" x14ac:dyDescent="0.25">
      <c r="A232" s="35"/>
      <c r="B232" s="15" t="str">
        <f>CONCATENATE("     ","Telephone/Data Lines                              ")</f>
        <v xml:space="preserve">     Telephone/Data Lines                              </v>
      </c>
      <c r="C232" s="15"/>
      <c r="D232" s="1">
        <f>SUM(OSRRefD21_23x_0)</f>
        <v>5058.1099999999997</v>
      </c>
      <c r="E232" s="1">
        <f>SUM(OSRRefD21_23x_1)</f>
        <v>4790.92</v>
      </c>
      <c r="F232" s="1">
        <f>SUM(OSRRefD21_23x_2)</f>
        <v>8053.04</v>
      </c>
      <c r="G232" s="1">
        <f>SUM(OSRRefD21_23x_3)</f>
        <v>3403.26</v>
      </c>
      <c r="H232" s="1">
        <f>SUM(OSRRefE21_23x_0)</f>
        <v>4283</v>
      </c>
      <c r="I232" s="1">
        <f>SUM(OSRRefE21_23x_1)</f>
        <v>4729</v>
      </c>
      <c r="J232" s="1">
        <f>SUM(OSRRefE21_23x_2)</f>
        <v>5080</v>
      </c>
      <c r="K232" s="1">
        <f>SUM(OSRRefE21_23x_3)</f>
        <v>4280</v>
      </c>
      <c r="L232" s="1">
        <f>SUM(OSRRefE21_23x_4)</f>
        <v>4430</v>
      </c>
      <c r="M232" s="1">
        <f>SUM(OSRRefE21_23x_5)</f>
        <v>4580</v>
      </c>
      <c r="N232" s="1">
        <f>SUM(OSRRefE21_23x_6)</f>
        <v>4280</v>
      </c>
      <c r="O232" s="1">
        <f>SUM(OSRRefE21_23x_7)</f>
        <v>4430</v>
      </c>
      <c r="Q232" s="2">
        <f>SUM(OSRRefD20_23x)+IFERROR(SUM(OSRRefE20_23x),0)</f>
        <v>57397.33</v>
      </c>
    </row>
    <row r="233" spans="1:17" s="34" customFormat="1" hidden="1" outlineLevel="1" x14ac:dyDescent="0.25">
      <c r="A233" s="35"/>
      <c r="B233" s="13" t="str">
        <f>CONCATENATE("          ","6303", " - ","DATA PHONE LINES")</f>
        <v xml:space="preserve">          6303 - DATA PHONE LINES</v>
      </c>
      <c r="C233" s="15"/>
      <c r="D233" s="21">
        <v>295</v>
      </c>
      <c r="E233" s="21"/>
      <c r="F233" s="21">
        <v>885</v>
      </c>
      <c r="G233" s="21"/>
      <c r="H233" s="21">
        <v>1283</v>
      </c>
      <c r="I233" s="21">
        <v>1279</v>
      </c>
      <c r="J233" s="21">
        <v>1280</v>
      </c>
      <c r="K233" s="21">
        <v>1280</v>
      </c>
      <c r="L233" s="21">
        <v>1280</v>
      </c>
      <c r="M233" s="21">
        <v>1280</v>
      </c>
      <c r="N233" s="21">
        <v>1280</v>
      </c>
      <c r="O233" s="21">
        <v>1280</v>
      </c>
      <c r="P233" s="36"/>
      <c r="Q233" s="2">
        <f>SUM(OSRRefD21_23_0x)+IFERROR(SUM(OSRRefE21_23_0x),0)</f>
        <v>11422</v>
      </c>
    </row>
    <row r="234" spans="1:17" s="34" customFormat="1" hidden="1" outlineLevel="1" x14ac:dyDescent="0.25">
      <c r="A234" s="35"/>
      <c r="B234" s="13" t="str">
        <f>CONCATENATE("          ","6309", " - ","TELEPHONE")</f>
        <v xml:space="preserve">          6309 - TELEPHONE</v>
      </c>
      <c r="C234" s="15"/>
      <c r="D234" s="21">
        <v>4763.1099999999997</v>
      </c>
      <c r="E234" s="21">
        <v>4790.92</v>
      </c>
      <c r="F234" s="21">
        <v>7168.04</v>
      </c>
      <c r="G234" s="21">
        <v>3403.26</v>
      </c>
      <c r="H234" s="21">
        <v>3000</v>
      </c>
      <c r="I234" s="21">
        <v>3450</v>
      </c>
      <c r="J234" s="21">
        <v>3800</v>
      </c>
      <c r="K234" s="21">
        <v>3000</v>
      </c>
      <c r="L234" s="21">
        <v>3150</v>
      </c>
      <c r="M234" s="21">
        <v>3300</v>
      </c>
      <c r="N234" s="21">
        <v>3000</v>
      </c>
      <c r="O234" s="21">
        <v>3150</v>
      </c>
      <c r="P234" s="36"/>
      <c r="Q234" s="2">
        <f>SUM(OSRRefD21_23_1x)+IFERROR(SUM(OSRRefE21_23_1x),0)</f>
        <v>45975.33</v>
      </c>
    </row>
    <row r="235" spans="1:17" s="34" customFormat="1" collapsed="1" x14ac:dyDescent="0.25">
      <c r="A235" s="35"/>
      <c r="B235" s="15" t="str">
        <f>CONCATENATE("     ","Training                                          ")</f>
        <v xml:space="preserve">     Training                                          </v>
      </c>
      <c r="C235" s="15"/>
      <c r="D235" s="1">
        <f>SUM(OSRRefD21_24x_0)</f>
        <v>131.63</v>
      </c>
      <c r="E235" s="1">
        <f>SUM(OSRRefD21_24x_1)</f>
        <v>350</v>
      </c>
      <c r="F235" s="1">
        <f>SUM(OSRRefD21_24x_2)</f>
        <v>0</v>
      </c>
      <c r="G235" s="1">
        <f>SUM(OSRRefD21_24x_3)</f>
        <v>499</v>
      </c>
      <c r="H235" s="1">
        <f>SUM(OSRRefE21_24x_0)</f>
        <v>1300</v>
      </c>
      <c r="I235" s="1">
        <f>SUM(OSRRefE21_24x_1)</f>
        <v>550</v>
      </c>
      <c r="J235" s="1">
        <f>SUM(OSRRefE21_24x_2)</f>
        <v>2170</v>
      </c>
      <c r="K235" s="1">
        <f>SUM(OSRRefE21_24x_3)</f>
        <v>6550</v>
      </c>
      <c r="L235" s="1">
        <f>SUM(OSRRefE21_24x_4)</f>
        <v>3550</v>
      </c>
      <c r="M235" s="1">
        <f>SUM(OSRRefE21_24x_5)</f>
        <v>2050</v>
      </c>
      <c r="N235" s="1">
        <f>SUM(OSRRefE21_24x_6)</f>
        <v>550</v>
      </c>
      <c r="O235" s="1">
        <f>SUM(OSRRefE21_24x_7)</f>
        <v>550</v>
      </c>
      <c r="Q235" s="2">
        <f>SUM(OSRRefD20_24x)+IFERROR(SUM(OSRRefE20_24x),0)</f>
        <v>18250.63</v>
      </c>
    </row>
    <row r="236" spans="1:17" s="34" customFormat="1" hidden="1" outlineLevel="1" x14ac:dyDescent="0.25">
      <c r="A236" s="35"/>
      <c r="B236" s="13" t="str">
        <f>CONCATENATE("          ","6376", " - ","TRAINING")</f>
        <v xml:space="preserve">          6376 - TRAINING</v>
      </c>
      <c r="C236" s="15"/>
      <c r="D236" s="21">
        <v>131.63</v>
      </c>
      <c r="E236" s="21">
        <v>350</v>
      </c>
      <c r="F236" s="21"/>
      <c r="G236" s="21">
        <v>499</v>
      </c>
      <c r="H236" s="21">
        <v>1300</v>
      </c>
      <c r="I236" s="21">
        <v>550</v>
      </c>
      <c r="J236" s="21">
        <v>2170</v>
      </c>
      <c r="K236" s="21">
        <v>6550</v>
      </c>
      <c r="L236" s="21">
        <v>3550</v>
      </c>
      <c r="M236" s="21">
        <v>2050</v>
      </c>
      <c r="N236" s="21">
        <v>550</v>
      </c>
      <c r="O236" s="21">
        <v>550</v>
      </c>
      <c r="P236" s="36"/>
      <c r="Q236" s="2">
        <f>SUM(OSRRefD21_24_0x)+IFERROR(SUM(OSRRefE21_24_0x),0)</f>
        <v>18250.63</v>
      </c>
    </row>
    <row r="237" spans="1:17" s="34" customFormat="1" collapsed="1" x14ac:dyDescent="0.25">
      <c r="A237" s="35"/>
      <c r="B237" s="15" t="str">
        <f>CONCATENATE("     ","Travel                                            ")</f>
        <v xml:space="preserve">     Travel                                            </v>
      </c>
      <c r="C237" s="15"/>
      <c r="D237" s="1">
        <f>SUM(OSRRefD21_25x_0)</f>
        <v>454.9</v>
      </c>
      <c r="E237" s="1">
        <f>SUM(OSRRefD21_25x_1)</f>
        <v>25.76</v>
      </c>
      <c r="F237" s="1">
        <f>SUM(OSRRefD21_25x_2)</f>
        <v>152.52000000000001</v>
      </c>
      <c r="G237" s="1">
        <f>SUM(OSRRefD21_25x_3)</f>
        <v>80.959999999999994</v>
      </c>
      <c r="H237" s="1">
        <f>SUM(OSRRefE21_25x_0)</f>
        <v>325</v>
      </c>
      <c r="I237" s="1">
        <f>SUM(OSRRefE21_25x_1)</f>
        <v>325</v>
      </c>
      <c r="J237" s="1">
        <f>SUM(OSRRefE21_25x_2)</f>
        <v>325</v>
      </c>
      <c r="K237" s="1">
        <f>SUM(OSRRefE21_25x_3)</f>
        <v>325</v>
      </c>
      <c r="L237" s="1">
        <f>SUM(OSRRefE21_25x_4)</f>
        <v>325</v>
      </c>
      <c r="M237" s="1">
        <f>SUM(OSRRefE21_25x_5)</f>
        <v>325</v>
      </c>
      <c r="N237" s="1">
        <f>SUM(OSRRefE21_25x_6)</f>
        <v>325</v>
      </c>
      <c r="O237" s="1">
        <f>SUM(OSRRefE21_25x_7)</f>
        <v>325</v>
      </c>
      <c r="Q237" s="2">
        <f>SUM(OSRRefD20_25x)+IFERROR(SUM(OSRRefE20_25x),0)</f>
        <v>3314.14</v>
      </c>
    </row>
    <row r="238" spans="1:17" s="34" customFormat="1" hidden="1" outlineLevel="1" x14ac:dyDescent="0.25">
      <c r="A238" s="35"/>
      <c r="B238" s="13" t="str">
        <f>CONCATENATE("          ","6292", " - ","TRAVEL/CONFERENCE")</f>
        <v xml:space="preserve">          6292 - TRAVEL/CONFERENCE</v>
      </c>
      <c r="C238" s="15"/>
      <c r="D238" s="21">
        <v>0.16</v>
      </c>
      <c r="E238" s="21"/>
      <c r="F238" s="21"/>
      <c r="G238" s="21"/>
      <c r="H238" s="21">
        <v>300</v>
      </c>
      <c r="I238" s="21">
        <v>300</v>
      </c>
      <c r="J238" s="21">
        <v>300</v>
      </c>
      <c r="K238" s="21">
        <v>300</v>
      </c>
      <c r="L238" s="21">
        <v>300</v>
      </c>
      <c r="M238" s="21">
        <v>300</v>
      </c>
      <c r="N238" s="21">
        <v>300</v>
      </c>
      <c r="O238" s="21">
        <v>300</v>
      </c>
      <c r="P238" s="36"/>
      <c r="Q238" s="2">
        <f>SUM(OSRRefD21_25_0x)+IFERROR(SUM(OSRRefE21_25_0x),0)</f>
        <v>2400.16</v>
      </c>
    </row>
    <row r="239" spans="1:17" s="34" customFormat="1" hidden="1" outlineLevel="1" x14ac:dyDescent="0.25">
      <c r="A239" s="35"/>
      <c r="B239" s="13" t="str">
        <f>CONCATENATE("          ","6294", " - ","TRAVEL OPERATIONAL")</f>
        <v xml:space="preserve">          6294 - TRAVEL OPERATIONAL</v>
      </c>
      <c r="C239" s="15"/>
      <c r="D239" s="21">
        <v>215.16</v>
      </c>
      <c r="E239" s="21">
        <v>25.76</v>
      </c>
      <c r="F239" s="21"/>
      <c r="G239" s="21">
        <v>80.959999999999994</v>
      </c>
      <c r="H239" s="21">
        <v>0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36"/>
      <c r="Q239" s="2">
        <f>SUM(OSRRefD21_25_1x)+IFERROR(SUM(OSRRefE21_25_1x),0)</f>
        <v>321.88</v>
      </c>
    </row>
    <row r="240" spans="1:17" s="34" customFormat="1" hidden="1" outlineLevel="1" x14ac:dyDescent="0.25">
      <c r="A240" s="35"/>
      <c r="B240" s="13" t="str">
        <f>CONCATENATE("          ","6298", " - ","VEHICLE MILEAGE")</f>
        <v xml:space="preserve">          6298 - VEHICLE MILEAGE</v>
      </c>
      <c r="C240" s="15"/>
      <c r="D240" s="21">
        <v>239.58</v>
      </c>
      <c r="E240" s="21"/>
      <c r="F240" s="21">
        <v>152.52000000000001</v>
      </c>
      <c r="G240" s="21"/>
      <c r="H240" s="21">
        <v>25</v>
      </c>
      <c r="I240" s="21">
        <v>25</v>
      </c>
      <c r="J240" s="21">
        <v>25</v>
      </c>
      <c r="K240" s="21">
        <v>25</v>
      </c>
      <c r="L240" s="21">
        <v>25</v>
      </c>
      <c r="M240" s="21">
        <v>25</v>
      </c>
      <c r="N240" s="21">
        <v>25</v>
      </c>
      <c r="O240" s="21">
        <v>25</v>
      </c>
      <c r="P240" s="36"/>
      <c r="Q240" s="2">
        <f>SUM(OSRRefD21_25_2x)+IFERROR(SUM(OSRRefE21_25_2x),0)</f>
        <v>592.1</v>
      </c>
    </row>
    <row r="241" spans="1:17" s="34" customFormat="1" collapsed="1" x14ac:dyDescent="0.25">
      <c r="A241" s="35"/>
      <c r="B241" s="15" t="str">
        <f>CONCATENATE("     ","Utilities                                         ")</f>
        <v xml:space="preserve">     Utilities                                         </v>
      </c>
      <c r="C241" s="15"/>
      <c r="D241" s="1">
        <f>SUM(OSRRefD21_26x_0)</f>
        <v>8511.4599999999991</v>
      </c>
      <c r="E241" s="1">
        <f>SUM(OSRRefD21_26x_1)</f>
        <v>8509.91</v>
      </c>
      <c r="F241" s="1">
        <f>SUM(OSRRefD21_26x_2)</f>
        <v>8511.01</v>
      </c>
      <c r="G241" s="1">
        <f>SUM(OSRRefD21_26x_3)</f>
        <v>-6138.95</v>
      </c>
      <c r="H241" s="1">
        <f>SUM(OSRRefE21_26x_0)</f>
        <v>10226</v>
      </c>
      <c r="I241" s="1">
        <f>SUM(OSRRefE21_26x_1)</f>
        <v>11507</v>
      </c>
      <c r="J241" s="1">
        <f>SUM(OSRRefE21_26x_2)</f>
        <v>10453</v>
      </c>
      <c r="K241" s="1">
        <f>SUM(OSRRefE21_26x_3)</f>
        <v>12950</v>
      </c>
      <c r="L241" s="1">
        <f>SUM(OSRRefE21_26x_4)</f>
        <v>10300</v>
      </c>
      <c r="M241" s="1">
        <f>SUM(OSRRefE21_26x_5)</f>
        <v>10255</v>
      </c>
      <c r="N241" s="1">
        <f>SUM(OSRRefE21_26x_6)</f>
        <v>10255</v>
      </c>
      <c r="O241" s="1">
        <f>SUM(OSRRefE21_26x_7)</f>
        <v>10255</v>
      </c>
      <c r="Q241" s="2">
        <f>SUM(OSRRefD20_26x)+IFERROR(SUM(OSRRefE20_26x),0)</f>
        <v>105594.43</v>
      </c>
    </row>
    <row r="242" spans="1:17" s="34" customFormat="1" hidden="1" outlineLevel="1" x14ac:dyDescent="0.25">
      <c r="A242" s="35"/>
      <c r="B242" s="13" t="str">
        <f>CONCATENATE("          ","6274", " - ","UTILITIES")</f>
        <v xml:space="preserve">          6274 - UTILITIES</v>
      </c>
      <c r="C242" s="15"/>
      <c r="D242" s="21">
        <v>8511.4599999999991</v>
      </c>
      <c r="E242" s="21">
        <v>8509.91</v>
      </c>
      <c r="F242" s="21">
        <v>8511.01</v>
      </c>
      <c r="G242" s="21">
        <v>-6138.95</v>
      </c>
      <c r="H242" s="21">
        <v>10226</v>
      </c>
      <c r="I242" s="21">
        <v>11507</v>
      </c>
      <c r="J242" s="21">
        <v>10453</v>
      </c>
      <c r="K242" s="21">
        <v>12950</v>
      </c>
      <c r="L242" s="21">
        <v>10300</v>
      </c>
      <c r="M242" s="21">
        <v>10255</v>
      </c>
      <c r="N242" s="21">
        <v>10255</v>
      </c>
      <c r="O242" s="21">
        <v>10255</v>
      </c>
      <c r="P242" s="36"/>
      <c r="Q242" s="2">
        <f>SUM(OSRRefD21_26_0x)+IFERROR(SUM(OSRRefE21_26_0x),0)</f>
        <v>105594.43</v>
      </c>
    </row>
    <row r="243" spans="1:17" s="28" customFormat="1" x14ac:dyDescent="0.25">
      <c r="A243" s="20"/>
      <c r="B243" s="20"/>
      <c r="C243" s="20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Q243" s="1"/>
    </row>
    <row r="244" spans="1:17" s="9" customFormat="1" x14ac:dyDescent="0.25">
      <c r="A244" s="22"/>
      <c r="B244" s="16" t="s">
        <v>0</v>
      </c>
      <c r="C244" s="23"/>
      <c r="D244" s="3">
        <f>--199738.73</f>
        <v>199738.73</v>
      </c>
      <c r="E244" s="3">
        <f>--57792.15</f>
        <v>57792.15</v>
      </c>
      <c r="F244" s="3">
        <f>--168011.96</f>
        <v>168011.96</v>
      </c>
      <c r="G244" s="3">
        <f>--32628.18</f>
        <v>32628.18</v>
      </c>
      <c r="H244" s="3">
        <v>35209</v>
      </c>
      <c r="I244" s="3">
        <v>210940</v>
      </c>
      <c r="J244" s="3">
        <v>44111</v>
      </c>
      <c r="K244" s="3">
        <v>129414.00000000001</v>
      </c>
      <c r="L244" s="3">
        <v>211781</v>
      </c>
      <c r="M244" s="3">
        <v>39266</v>
      </c>
      <c r="N244" s="3">
        <v>40271</v>
      </c>
      <c r="O244" s="3">
        <v>267027</v>
      </c>
      <c r="P244" s="24"/>
      <c r="Q244" s="2">
        <f>SUM(OSRRefD23_0x)+IFERROR(SUM(OSRRefE23_0x),0)</f>
        <v>1436190.02</v>
      </c>
    </row>
    <row r="245" spans="1:17" x14ac:dyDescent="0.25">
      <c r="A245" s="5"/>
      <c r="B245" s="8"/>
      <c r="C245" s="8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Q245" s="3"/>
    </row>
    <row r="246" spans="1:17" s="14" customFormat="1" x14ac:dyDescent="0.25">
      <c r="A246" s="8"/>
      <c r="B246" s="17" t="s">
        <v>3</v>
      </c>
      <c r="C246" s="17"/>
      <c r="D246" s="6">
        <f t="shared" ref="D246:O246" si="19">IFERROR(+D137-D140+D244, 0)</f>
        <v>-360053.69000000006</v>
      </c>
      <c r="E246" s="6">
        <f t="shared" si="19"/>
        <v>51590.330000000053</v>
      </c>
      <c r="F246" s="6">
        <f t="shared" si="19"/>
        <v>-164659.3299999997</v>
      </c>
      <c r="G246" s="6">
        <f t="shared" si="19"/>
        <v>-535067.68999999959</v>
      </c>
      <c r="H246" s="6">
        <f t="shared" si="19"/>
        <v>-427253.29648233391</v>
      </c>
      <c r="I246" s="6">
        <f t="shared" si="19"/>
        <v>-85073.589377853787</v>
      </c>
      <c r="J246" s="6">
        <f t="shared" si="19"/>
        <v>-395574.35537003155</v>
      </c>
      <c r="K246" s="6">
        <f t="shared" si="19"/>
        <v>-369676.70357392321</v>
      </c>
      <c r="L246" s="6">
        <f t="shared" si="19"/>
        <v>-242841.59370503842</v>
      </c>
      <c r="M246" s="6">
        <f t="shared" si="19"/>
        <v>-521294.73237321619</v>
      </c>
      <c r="N246" s="6">
        <f t="shared" si="19"/>
        <v>-416896.84168303851</v>
      </c>
      <c r="O246" s="6">
        <f t="shared" si="19"/>
        <v>-221609.93167718279</v>
      </c>
      <c r="Q246" s="6">
        <f>IFERROR(+Q137-Q140+Q244, 0)</f>
        <v>-3688411.4242426152</v>
      </c>
    </row>
    <row r="247" spans="1:17" s="8" customFormat="1" x14ac:dyDescent="0.25">
      <c r="B247" s="16"/>
      <c r="C247" s="16"/>
      <c r="D247" s="4">
        <f t="shared" ref="D247:O247" si="20">IFERROR(D246/D10, 0)</f>
        <v>-0.75497491498100844</v>
      </c>
      <c r="E247" s="4">
        <f t="shared" si="20"/>
        <v>2.3333564375904097E-2</v>
      </c>
      <c r="F247" s="4">
        <f t="shared" si="20"/>
        <v>-0.18381331938879697</v>
      </c>
      <c r="G247" s="4">
        <f t="shared" si="20"/>
        <v>-0.78665538142776847</v>
      </c>
      <c r="H247" s="4">
        <f t="shared" si="20"/>
        <v>-0.70642658293282234</v>
      </c>
      <c r="I247" s="4">
        <f t="shared" si="20"/>
        <v>-0.15976050902214203</v>
      </c>
      <c r="J247" s="4">
        <f t="shared" si="20"/>
        <v>-0.27714144908557115</v>
      </c>
      <c r="K247" s="4">
        <f t="shared" si="20"/>
        <v>-0.53685517745572009</v>
      </c>
      <c r="L247" s="4">
        <f t="shared" si="20"/>
        <v>-0.42850948127478161</v>
      </c>
      <c r="M247" s="4">
        <f t="shared" si="20"/>
        <v>-0.73145740238121915</v>
      </c>
      <c r="N247" s="4">
        <f t="shared" si="20"/>
        <v>-0.69819710322716966</v>
      </c>
      <c r="O247" s="4">
        <f t="shared" si="20"/>
        <v>-0.35171049124291676</v>
      </c>
      <c r="P247" s="18"/>
      <c r="Q247" s="4">
        <f>IFERROR(Q246/Q10, 0)</f>
        <v>-0.36796845702455983</v>
      </c>
    </row>
    <row r="248" spans="1:17" x14ac:dyDescent="0.25">
      <c r="A248" s="5"/>
      <c r="B248" s="8"/>
      <c r="C248" s="5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Q248" s="3"/>
    </row>
    <row r="249" spans="1:17" s="14" customFormat="1" x14ac:dyDescent="0.25">
      <c r="A249" s="25"/>
      <c r="B249" s="8" t="s">
        <v>8</v>
      </c>
      <c r="C249" s="8"/>
      <c r="D249" s="3">
        <v>234703.24</v>
      </c>
      <c r="E249" s="3">
        <v>219113.02</v>
      </c>
      <c r="F249" s="3">
        <v>210081.47999999998</v>
      </c>
      <c r="G249" s="3">
        <v>259749.94999999998</v>
      </c>
      <c r="H249" s="3">
        <v>272716</v>
      </c>
      <c r="I249" s="3">
        <v>246984</v>
      </c>
      <c r="J249" s="3">
        <v>294902</v>
      </c>
      <c r="K249" s="3">
        <v>245422</v>
      </c>
      <c r="L249" s="3">
        <v>271223</v>
      </c>
      <c r="M249" s="3">
        <v>309803</v>
      </c>
      <c r="N249" s="3">
        <v>249098.99999999997</v>
      </c>
      <c r="O249" s="3">
        <v>-130463</v>
      </c>
      <c r="P249" s="24"/>
      <c r="Q249" s="2">
        <f>SUM(OSRRefD28_0x)+IFERROR(SUM(OSRRefE28_0x),0)</f>
        <v>2683333.69</v>
      </c>
    </row>
    <row r="250" spans="1:17" x14ac:dyDescent="0.25">
      <c r="A250" s="5"/>
      <c r="B250" s="8"/>
      <c r="C250" s="8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Q250" s="3"/>
    </row>
    <row r="251" spans="1:17" s="14" customFormat="1" ht="15.75" thickBot="1" x14ac:dyDescent="0.3">
      <c r="A251" s="8"/>
      <c r="B251" s="17" t="s">
        <v>4</v>
      </c>
      <c r="C251" s="17"/>
      <c r="D251" s="7">
        <f t="shared" ref="D251:O251" si="21">IFERROR(+D246-D249, 0)</f>
        <v>-594756.93000000005</v>
      </c>
      <c r="E251" s="7">
        <f t="shared" si="21"/>
        <v>-167522.68999999994</v>
      </c>
      <c r="F251" s="7">
        <f t="shared" si="21"/>
        <v>-374740.80999999971</v>
      </c>
      <c r="G251" s="7">
        <f t="shared" si="21"/>
        <v>-794817.63999999955</v>
      </c>
      <c r="H251" s="7">
        <f t="shared" si="21"/>
        <v>-699969.29648233391</v>
      </c>
      <c r="I251" s="7">
        <f t="shared" si="21"/>
        <v>-332057.58937785379</v>
      </c>
      <c r="J251" s="7">
        <f t="shared" si="21"/>
        <v>-690476.35537003155</v>
      </c>
      <c r="K251" s="7">
        <f t="shared" si="21"/>
        <v>-615098.70357392321</v>
      </c>
      <c r="L251" s="7">
        <f t="shared" si="21"/>
        <v>-514064.59370503842</v>
      </c>
      <c r="M251" s="7">
        <f t="shared" si="21"/>
        <v>-831097.73237321619</v>
      </c>
      <c r="N251" s="7">
        <f t="shared" si="21"/>
        <v>-665995.84168303851</v>
      </c>
      <c r="O251" s="7">
        <f t="shared" si="21"/>
        <v>-91146.931677182787</v>
      </c>
      <c r="Q251" s="7">
        <f>IFERROR(+Q246-Q249, 0)</f>
        <v>-6371745.1142426152</v>
      </c>
    </row>
    <row r="252" spans="1:17" s="8" customFormat="1" ht="15.75" thickTop="1" x14ac:dyDescent="0.25">
      <c r="B252" s="16"/>
      <c r="C252" s="16"/>
      <c r="D252" s="4">
        <f t="shared" ref="D252:O252" si="22">IFERROR(D251/D10, 0)</f>
        <v>-1.2471100147900598</v>
      </c>
      <c r="E252" s="4">
        <f t="shared" si="22"/>
        <v>-7.5768103664768577E-2</v>
      </c>
      <c r="F252" s="4">
        <f t="shared" si="22"/>
        <v>-0.41833251839750929</v>
      </c>
      <c r="G252" s="4">
        <f t="shared" si="22"/>
        <v>-1.1685392062445761</v>
      </c>
      <c r="H252" s="4">
        <f t="shared" si="22"/>
        <v>-1.1573390359841318</v>
      </c>
      <c r="I252" s="4">
        <f t="shared" si="22"/>
        <v>-0.6235741302515343</v>
      </c>
      <c r="J252" s="4">
        <f t="shared" si="22"/>
        <v>-0.48375132282670619</v>
      </c>
      <c r="K252" s="4">
        <f t="shared" si="22"/>
        <v>-0.89326408850626682</v>
      </c>
      <c r="L252" s="4">
        <f t="shared" si="22"/>
        <v>-0.9070997642102322</v>
      </c>
      <c r="M252" s="4">
        <f t="shared" si="22"/>
        <v>-1.1661590856272166</v>
      </c>
      <c r="N252" s="4">
        <f t="shared" si="22"/>
        <v>-1.1153751262475842</v>
      </c>
      <c r="O252" s="4">
        <f t="shared" si="22"/>
        <v>-0.14465656783904504</v>
      </c>
      <c r="P252" s="18"/>
      <c r="Q252" s="4">
        <f>IFERROR(Q251/Q10, 0)</f>
        <v>-0.63566694399420942</v>
      </c>
    </row>
    <row r="253" spans="1:17" x14ac:dyDescent="0.25">
      <c r="A253" s="5"/>
      <c r="B253" s="5"/>
      <c r="C253" s="5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Q253" s="3"/>
    </row>
    <row r="254" spans="1:17" s="14" customFormat="1" x14ac:dyDescent="0.25">
      <c r="A254" s="25"/>
      <c r="B254" s="8" t="s">
        <v>2</v>
      </c>
      <c r="C254" s="8"/>
      <c r="D254" s="3">
        <f>--463883.16</f>
        <v>463883.16</v>
      </c>
      <c r="E254" s="3">
        <f>--487459.55</f>
        <v>487459.55</v>
      </c>
      <c r="F254" s="3">
        <f>-231583.65</f>
        <v>-231583.65</v>
      </c>
      <c r="G254" s="3">
        <f>-139066.28</f>
        <v>-139066.28</v>
      </c>
      <c r="H254" s="3">
        <f t="shared" ref="H254:O255" si="23">--15000</f>
        <v>15000</v>
      </c>
      <c r="I254" s="3">
        <f t="shared" si="23"/>
        <v>15000</v>
      </c>
      <c r="J254" s="3">
        <f t="shared" si="23"/>
        <v>15000</v>
      </c>
      <c r="K254" s="3">
        <f t="shared" si="23"/>
        <v>15000</v>
      </c>
      <c r="L254" s="3">
        <f t="shared" si="23"/>
        <v>15000</v>
      </c>
      <c r="M254" s="3">
        <f t="shared" si="23"/>
        <v>15000</v>
      </c>
      <c r="N254" s="3">
        <f t="shared" si="23"/>
        <v>15000</v>
      </c>
      <c r="O254" s="3">
        <f t="shared" si="23"/>
        <v>15000</v>
      </c>
      <c r="P254" s="24"/>
      <c r="Q254" s="2">
        <f>SUM(OSRRefD33_0x)+IFERROR(SUM(OSRRefE33_0x),0)</f>
        <v>700692.77999999991</v>
      </c>
    </row>
    <row r="255" spans="1:17" s="14" customFormat="1" x14ac:dyDescent="0.25">
      <c r="A255" s="25"/>
      <c r="B255" s="8" t="s">
        <v>1</v>
      </c>
      <c r="C255" s="8"/>
      <c r="D255" s="3">
        <f>-81628.27</f>
        <v>-81628.27</v>
      </c>
      <c r="E255" s="3">
        <f>--25064.99</f>
        <v>25064.99</v>
      </c>
      <c r="F255" s="3">
        <f>--23302.32</f>
        <v>23302.32</v>
      </c>
      <c r="G255" s="3">
        <f>--10141.14</f>
        <v>10141.14</v>
      </c>
      <c r="H255" s="3">
        <f t="shared" si="23"/>
        <v>15000</v>
      </c>
      <c r="I255" s="3">
        <f t="shared" si="23"/>
        <v>15000</v>
      </c>
      <c r="J255" s="3">
        <f t="shared" si="23"/>
        <v>15000</v>
      </c>
      <c r="K255" s="3">
        <f t="shared" si="23"/>
        <v>15000</v>
      </c>
      <c r="L255" s="3">
        <f t="shared" si="23"/>
        <v>15000</v>
      </c>
      <c r="M255" s="3">
        <f t="shared" si="23"/>
        <v>15000</v>
      </c>
      <c r="N255" s="3">
        <f t="shared" si="23"/>
        <v>15000</v>
      </c>
      <c r="O255" s="3">
        <f t="shared" si="23"/>
        <v>15000</v>
      </c>
      <c r="P255" s="24"/>
      <c r="Q255" s="2">
        <f>SUM(OSRRefD34_0x)+IFERROR(SUM(OSRRefE34_0x),0)</f>
        <v>96880.18</v>
      </c>
    </row>
    <row r="256" spans="1:17" x14ac:dyDescent="0.25">
      <c r="A256" s="5"/>
      <c r="B256" s="5"/>
      <c r="C256" s="5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Q256" s="3"/>
    </row>
    <row r="257" spans="1:17" s="14" customFormat="1" ht="15.75" thickBot="1" x14ac:dyDescent="0.3">
      <c r="A257" s="8"/>
      <c r="B257" s="17" t="s">
        <v>5</v>
      </c>
      <c r="C257" s="17"/>
      <c r="D257" s="7">
        <f t="shared" ref="D257:O257" si="24">IFERROR(SUM(D251:D256), 0)</f>
        <v>-212503.28711001488</v>
      </c>
      <c r="E257" s="7">
        <f t="shared" si="24"/>
        <v>345001.77423189639</v>
      </c>
      <c r="F257" s="7">
        <f t="shared" si="24"/>
        <v>-583022.55833251809</v>
      </c>
      <c r="G257" s="7">
        <f t="shared" si="24"/>
        <v>-923743.94853920583</v>
      </c>
      <c r="H257" s="7">
        <f t="shared" si="24"/>
        <v>-669970.45382136991</v>
      </c>
      <c r="I257" s="7">
        <f t="shared" si="24"/>
        <v>-302058.21295198402</v>
      </c>
      <c r="J257" s="7">
        <f t="shared" si="24"/>
        <v>-660476.83912135439</v>
      </c>
      <c r="K257" s="7">
        <f t="shared" si="24"/>
        <v>-585099.59683801176</v>
      </c>
      <c r="L257" s="7">
        <f t="shared" si="24"/>
        <v>-484065.50080480264</v>
      </c>
      <c r="M257" s="7">
        <f t="shared" si="24"/>
        <v>-801098.89853230177</v>
      </c>
      <c r="N257" s="7">
        <f t="shared" si="24"/>
        <v>-635996.95705816476</v>
      </c>
      <c r="O257" s="7">
        <f t="shared" si="24"/>
        <v>-61147.076333750621</v>
      </c>
      <c r="Q257" s="7">
        <f>IFERROR(SUM(Q251:Q256), 0)</f>
        <v>-5574172.7899095593</v>
      </c>
    </row>
    <row r="258" spans="1:17" ht="15.75" thickTop="1" x14ac:dyDescent="0.25">
      <c r="A258" s="5"/>
      <c r="C258" s="5"/>
      <c r="D258" s="4">
        <f t="shared" ref="D258:O258" si="25">IFERROR(D257/D10, 0)</f>
        <v>-0.44558535455939446</v>
      </c>
      <c r="E258" s="4">
        <f t="shared" si="25"/>
        <v>0.15603934126494398</v>
      </c>
      <c r="F258" s="4">
        <f t="shared" si="25"/>
        <v>-0.65084263203092618</v>
      </c>
      <c r="G258" s="4">
        <f t="shared" si="25"/>
        <v>-1.3580863912371581</v>
      </c>
      <c r="H258" s="4">
        <f t="shared" si="25"/>
        <v>-1.1077385294756925</v>
      </c>
      <c r="I258" s="4">
        <f t="shared" si="25"/>
        <v>-0.56723801368241922</v>
      </c>
      <c r="J258" s="4">
        <f t="shared" si="25"/>
        <v>-0.46273350584196443</v>
      </c>
      <c r="K258" s="4">
        <f t="shared" si="25"/>
        <v>-0.849698519958071</v>
      </c>
      <c r="L258" s="4">
        <f t="shared" si="25"/>
        <v>-0.85416445135353969</v>
      </c>
      <c r="M258" s="4">
        <f t="shared" si="25"/>
        <v>-1.1240660666246165</v>
      </c>
      <c r="N258" s="4">
        <f t="shared" si="25"/>
        <v>-1.0651345577161073</v>
      </c>
      <c r="O258" s="4">
        <f t="shared" si="25"/>
        <v>-9.7044695121061897E-2</v>
      </c>
      <c r="P258" s="18"/>
      <c r="Q258" s="4">
        <f>IFERROR(Q257/Q10, 0)</f>
        <v>-0.55609841874201626</v>
      </c>
    </row>
    <row r="259" spans="1:17" x14ac:dyDescent="0.25">
      <c r="A259" s="5"/>
      <c r="B259" s="26">
        <v>44151.564504016205</v>
      </c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Q259" s="12"/>
    </row>
    <row r="260" spans="1:17" x14ac:dyDescent="0.25">
      <c r="A260" s="5"/>
      <c r="B260" s="30" t="s">
        <v>311</v>
      </c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Q260" s="12"/>
    </row>
    <row r="261" spans="1:17" x14ac:dyDescent="0.25">
      <c r="A261" s="5"/>
      <c r="B261" s="31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Q261" s="12"/>
    </row>
    <row r="262" spans="1:17" x14ac:dyDescent="0.25"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Q262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304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305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305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306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306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307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307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308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308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","100", " - ", "Corporate")</f>
        <v>Department 100 - Corporate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0">
        <f t="shared" ref="D17:O17" si="4">SUM(0)</f>
        <v>0</v>
      </c>
      <c r="E17" s="10">
        <f t="shared" si="4"/>
        <v>0</v>
      </c>
      <c r="F17" s="10">
        <f t="shared" si="4"/>
        <v>0</v>
      </c>
      <c r="G17" s="10">
        <f t="shared" si="4"/>
        <v>0</v>
      </c>
      <c r="H17" s="10">
        <f t="shared" si="4"/>
        <v>0</v>
      </c>
      <c r="I17" s="10">
        <f t="shared" si="4"/>
        <v>0</v>
      </c>
      <c r="J17" s="10">
        <f t="shared" si="4"/>
        <v>0</v>
      </c>
      <c r="K17" s="10">
        <f t="shared" si="4"/>
        <v>0</v>
      </c>
      <c r="L17" s="10">
        <f t="shared" si="4"/>
        <v>0</v>
      </c>
      <c r="M17" s="10">
        <f t="shared" si="4"/>
        <v>0</v>
      </c>
      <c r="N17" s="10">
        <f t="shared" si="4"/>
        <v>0</v>
      </c>
      <c r="O17" s="10">
        <f t="shared" si="4"/>
        <v>0</v>
      </c>
      <c r="Q17" s="10">
        <f>SUM(0)</f>
        <v>0</v>
      </c>
    </row>
    <row r="18" spans="1:17" s="28" customFormat="1" x14ac:dyDescent="0.25">
      <c r="A18" s="20"/>
      <c r="B18" s="20"/>
      <c r="C18" s="2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25">
      <c r="A19" s="22"/>
      <c r="B19" s="16" t="s">
        <v>0</v>
      </c>
      <c r="C19" s="23"/>
      <c r="D19" s="3">
        <f t="shared" ref="D19:G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/>
      <c r="I19" s="3"/>
      <c r="J19" s="3"/>
      <c r="K19" s="3"/>
      <c r="L19" s="3"/>
      <c r="M19" s="3"/>
      <c r="N19" s="3"/>
      <c r="O19" s="3"/>
      <c r="Q19" s="2">
        <f>SUM(OSRRefD23_0x)+IFERROR(SUM(OSRRefE23_0x),0)</f>
        <v>0</v>
      </c>
    </row>
    <row r="20" spans="1:17" x14ac:dyDescent="0.2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25">
      <c r="A21" s="8"/>
      <c r="B21" s="17" t="s">
        <v>3</v>
      </c>
      <c r="C21" s="17"/>
      <c r="D21" s="6">
        <f t="shared" ref="D21:O21" si="6">IFERROR(+D14-D17+D19, 0)</f>
        <v>0</v>
      </c>
      <c r="E21" s="6">
        <f t="shared" si="6"/>
        <v>0</v>
      </c>
      <c r="F21" s="6">
        <f t="shared" si="6"/>
        <v>0</v>
      </c>
      <c r="G21" s="6">
        <f t="shared" si="6"/>
        <v>0</v>
      </c>
      <c r="H21" s="6">
        <f t="shared" si="6"/>
        <v>0</v>
      </c>
      <c r="I21" s="6">
        <f t="shared" si="6"/>
        <v>0</v>
      </c>
      <c r="J21" s="6">
        <f t="shared" si="6"/>
        <v>0</v>
      </c>
      <c r="K21" s="6">
        <f t="shared" si="6"/>
        <v>0</v>
      </c>
      <c r="L21" s="6">
        <f t="shared" si="6"/>
        <v>0</v>
      </c>
      <c r="M21" s="6">
        <f t="shared" si="6"/>
        <v>0</v>
      </c>
      <c r="N21" s="6">
        <f t="shared" si="6"/>
        <v>0</v>
      </c>
      <c r="O21" s="6">
        <f t="shared" si="6"/>
        <v>0</v>
      </c>
      <c r="Q21" s="6">
        <f>IFERROR(+Q14-Q17+Q19, 0)</f>
        <v>0</v>
      </c>
    </row>
    <row r="22" spans="1:17" s="8" customFormat="1" x14ac:dyDescent="0.25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25">
      <c r="A23" s="5"/>
      <c r="B23" s="8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4" customFormat="1" x14ac:dyDescent="0.25">
      <c r="A24" s="25"/>
      <c r="B24" s="8" t="s">
        <v>8</v>
      </c>
      <c r="C24" s="8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25">
      <c r="A25" s="5"/>
      <c r="B25" s="8"/>
      <c r="C25" s="8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4" customFormat="1" ht="15.75" thickBot="1" x14ac:dyDescent="0.3">
      <c r="A26" s="8"/>
      <c r="B26" s="17" t="s">
        <v>4</v>
      </c>
      <c r="C26" s="17"/>
      <c r="D26" s="7">
        <f t="shared" ref="D26:O26" si="8">IFERROR(+D21-D24, 0)</f>
        <v>0</v>
      </c>
      <c r="E26" s="7">
        <f t="shared" si="8"/>
        <v>0</v>
      </c>
      <c r="F26" s="7">
        <f t="shared" si="8"/>
        <v>0</v>
      </c>
      <c r="G26" s="7">
        <f t="shared" si="8"/>
        <v>0</v>
      </c>
      <c r="H26" s="7">
        <f t="shared" si="8"/>
        <v>0</v>
      </c>
      <c r="I26" s="7">
        <f t="shared" si="8"/>
        <v>0</v>
      </c>
      <c r="J26" s="7">
        <f t="shared" si="8"/>
        <v>0</v>
      </c>
      <c r="K26" s="7">
        <f t="shared" si="8"/>
        <v>0</v>
      </c>
      <c r="L26" s="7">
        <f t="shared" si="8"/>
        <v>0</v>
      </c>
      <c r="M26" s="7">
        <f t="shared" si="8"/>
        <v>0</v>
      </c>
      <c r="N26" s="7">
        <f t="shared" si="8"/>
        <v>0</v>
      </c>
      <c r="O26" s="7">
        <f t="shared" si="8"/>
        <v>0</v>
      </c>
      <c r="Q26" s="7">
        <f>IFERROR(+Q21-Q24, 0)</f>
        <v>0</v>
      </c>
    </row>
    <row r="27" spans="1:17" ht="15.75" thickTop="1" x14ac:dyDescent="0.25">
      <c r="A27" s="5"/>
      <c r="B27" s="5"/>
      <c r="C27" s="5"/>
      <c r="D27" s="4">
        <f t="shared" ref="D27:O27" si="9">IFERROR(D26/D10, 0)</f>
        <v>0</v>
      </c>
      <c r="E27" s="4">
        <f t="shared" si="9"/>
        <v>0</v>
      </c>
      <c r="F27" s="4">
        <f t="shared" si="9"/>
        <v>0</v>
      </c>
      <c r="G27" s="4">
        <f t="shared" si="9"/>
        <v>0</v>
      </c>
      <c r="H27" s="4">
        <f t="shared" si="9"/>
        <v>0</v>
      </c>
      <c r="I27" s="4">
        <f t="shared" si="9"/>
        <v>0</v>
      </c>
      <c r="J27" s="4">
        <f t="shared" si="9"/>
        <v>0</v>
      </c>
      <c r="K27" s="4">
        <f t="shared" si="9"/>
        <v>0</v>
      </c>
      <c r="L27" s="4">
        <f t="shared" si="9"/>
        <v>0</v>
      </c>
      <c r="M27" s="4">
        <f t="shared" si="9"/>
        <v>0</v>
      </c>
      <c r="N27" s="4">
        <f t="shared" si="9"/>
        <v>0</v>
      </c>
      <c r="O27" s="4">
        <f t="shared" si="9"/>
        <v>0</v>
      </c>
      <c r="P27" s="18"/>
      <c r="Q27" s="4">
        <f>IFERROR(Q26/Q10, 0)</f>
        <v>0</v>
      </c>
    </row>
    <row r="28" spans="1:17" x14ac:dyDescent="0.2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4" customFormat="1" x14ac:dyDescent="0.25">
      <c r="A29" s="25"/>
      <c r="B29" s="8" t="s">
        <v>2</v>
      </c>
      <c r="C29" s="8"/>
      <c r="D29" s="3">
        <f>--463883.16</f>
        <v>463883.16</v>
      </c>
      <c r="E29" s="3">
        <f>--487459.55</f>
        <v>487459.55</v>
      </c>
      <c r="F29" s="3">
        <f>-231583.65</f>
        <v>-231583.65</v>
      </c>
      <c r="G29" s="3">
        <f>-139066.28</f>
        <v>-139066.28</v>
      </c>
      <c r="H29" s="3">
        <f t="shared" ref="H29:O30" si="10">--15000</f>
        <v>15000</v>
      </c>
      <c r="I29" s="3">
        <f t="shared" si="10"/>
        <v>15000</v>
      </c>
      <c r="J29" s="3">
        <f t="shared" si="10"/>
        <v>15000</v>
      </c>
      <c r="K29" s="3">
        <f t="shared" si="10"/>
        <v>15000</v>
      </c>
      <c r="L29" s="3">
        <f t="shared" si="10"/>
        <v>15000</v>
      </c>
      <c r="M29" s="3">
        <f t="shared" si="10"/>
        <v>15000</v>
      </c>
      <c r="N29" s="3">
        <f t="shared" si="10"/>
        <v>15000</v>
      </c>
      <c r="O29" s="3">
        <f t="shared" si="10"/>
        <v>15000</v>
      </c>
      <c r="Q29" s="2">
        <f>SUM(OSRRefD33_0x)+IFERROR(SUM(OSRRefE33_0x),0)</f>
        <v>700692.77999999991</v>
      </c>
    </row>
    <row r="30" spans="1:17" s="14" customFormat="1" x14ac:dyDescent="0.25">
      <c r="A30" s="25"/>
      <c r="B30" s="8" t="s">
        <v>1</v>
      </c>
      <c r="C30" s="8"/>
      <c r="D30" s="3">
        <f>-81628.27</f>
        <v>-81628.27</v>
      </c>
      <c r="E30" s="3">
        <f>--25064.99</f>
        <v>25064.99</v>
      </c>
      <c r="F30" s="3">
        <f>--23302.32</f>
        <v>23302.32</v>
      </c>
      <c r="G30" s="3">
        <f>--10141.14</f>
        <v>10141.14</v>
      </c>
      <c r="H30" s="3">
        <f t="shared" si="10"/>
        <v>15000</v>
      </c>
      <c r="I30" s="3">
        <f t="shared" si="10"/>
        <v>15000</v>
      </c>
      <c r="J30" s="3">
        <f t="shared" si="10"/>
        <v>15000</v>
      </c>
      <c r="K30" s="3">
        <f t="shared" si="10"/>
        <v>15000</v>
      </c>
      <c r="L30" s="3">
        <f t="shared" si="10"/>
        <v>15000</v>
      </c>
      <c r="M30" s="3">
        <f t="shared" si="10"/>
        <v>15000</v>
      </c>
      <c r="N30" s="3">
        <f t="shared" si="10"/>
        <v>15000</v>
      </c>
      <c r="O30" s="3">
        <f t="shared" si="10"/>
        <v>15000</v>
      </c>
      <c r="Q30" s="2">
        <f>SUM(OSRRefD34_0x)+IFERROR(SUM(OSRRefE34_0x),0)</f>
        <v>96880.18</v>
      </c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4" customFormat="1" ht="15.75" thickBot="1" x14ac:dyDescent="0.3">
      <c r="A32" s="8"/>
      <c r="B32" s="17" t="s">
        <v>5</v>
      </c>
      <c r="C32" s="17"/>
      <c r="D32" s="7">
        <f t="shared" ref="D32:O32" si="11">IFERROR(SUM(D26:D31), 0)</f>
        <v>382254.88999999996</v>
      </c>
      <c r="E32" s="7">
        <f t="shared" si="11"/>
        <v>512524.54</v>
      </c>
      <c r="F32" s="7">
        <f t="shared" si="11"/>
        <v>-208281.33</v>
      </c>
      <c r="G32" s="7">
        <f t="shared" si="11"/>
        <v>-128925.14</v>
      </c>
      <c r="H32" s="7">
        <f t="shared" si="11"/>
        <v>30000</v>
      </c>
      <c r="I32" s="7">
        <f t="shared" si="11"/>
        <v>30000</v>
      </c>
      <c r="J32" s="7">
        <f t="shared" si="11"/>
        <v>30000</v>
      </c>
      <c r="K32" s="7">
        <f t="shared" si="11"/>
        <v>30000</v>
      </c>
      <c r="L32" s="7">
        <f t="shared" si="11"/>
        <v>30000</v>
      </c>
      <c r="M32" s="7">
        <f t="shared" si="11"/>
        <v>30000</v>
      </c>
      <c r="N32" s="7">
        <f t="shared" si="11"/>
        <v>30000</v>
      </c>
      <c r="O32" s="7">
        <f t="shared" si="11"/>
        <v>30000</v>
      </c>
      <c r="Q32" s="7">
        <f>IFERROR(SUM(Q26:Q31), 0)</f>
        <v>797572.96</v>
      </c>
    </row>
    <row r="33" spans="1:17" ht="15.75" thickTop="1" x14ac:dyDescent="0.25">
      <c r="A33" s="5"/>
      <c r="C33" s="5"/>
      <c r="D33" s="4">
        <f t="shared" ref="D33:O33" si="12">IFERROR(D32/D10, 0)</f>
        <v>0</v>
      </c>
      <c r="E33" s="4">
        <f t="shared" si="12"/>
        <v>0</v>
      </c>
      <c r="F33" s="4">
        <f t="shared" si="12"/>
        <v>0</v>
      </c>
      <c r="G33" s="4">
        <f t="shared" si="12"/>
        <v>0</v>
      </c>
      <c r="H33" s="4">
        <f t="shared" si="12"/>
        <v>0</v>
      </c>
      <c r="I33" s="4">
        <f t="shared" si="12"/>
        <v>0</v>
      </c>
      <c r="J33" s="4">
        <f t="shared" si="12"/>
        <v>0</v>
      </c>
      <c r="K33" s="4">
        <f t="shared" si="12"/>
        <v>0</v>
      </c>
      <c r="L33" s="4">
        <f t="shared" si="12"/>
        <v>0</v>
      </c>
      <c r="M33" s="4">
        <f t="shared" si="12"/>
        <v>0</v>
      </c>
      <c r="N33" s="4">
        <f t="shared" si="12"/>
        <v>0</v>
      </c>
      <c r="O33" s="4">
        <f t="shared" si="12"/>
        <v>0</v>
      </c>
      <c r="P33" s="18"/>
      <c r="Q33" s="4">
        <f>IFERROR(Q32/Q10, 0)</f>
        <v>0</v>
      </c>
    </row>
    <row r="34" spans="1:17" x14ac:dyDescent="0.25">
      <c r="A34" s="5"/>
      <c r="B34" s="26">
        <v>44151.564700844909</v>
      </c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Q34" s="12"/>
    </row>
    <row r="35" spans="1:17" x14ac:dyDescent="0.25">
      <c r="A35" s="5"/>
      <c r="B35" s="30" t="s">
        <v>311</v>
      </c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Q35" s="12"/>
    </row>
    <row r="36" spans="1:17" x14ac:dyDescent="0.25">
      <c r="A36" s="5"/>
      <c r="B36" s="3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Q36" s="12"/>
    </row>
    <row r="37" spans="1:17" x14ac:dyDescent="0.25"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Q3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287</v>
      </c>
    </row>
    <row r="4" spans="1:8" x14ac:dyDescent="0.25">
      <c r="B4" s="29" t="s">
        <v>309</v>
      </c>
    </row>
    <row r="5" spans="1:8" ht="15" customHeight="1" x14ac:dyDescent="0.25">
      <c r="A5" s="14"/>
      <c r="B5" s="14" t="s">
        <v>292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F12" s="24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1" t="e">
        <f ca="1">_xll.OneStop.ReportPlayer.OSRFunctions.OSRGet("GL_F_Trans","Value1")</f>
        <v>#NAME?</v>
      </c>
      <c r="E21" s="21" t="e">
        <f ca="1">_xll.OneStop.ReportPlayer.OSRFunctions.OSRGet("GL_F_Trans","Value1")</f>
        <v>#NAME?</v>
      </c>
      <c r="F21" s="36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F23" s="24"/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F28" s="24"/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s="8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F33" s="24"/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F34" s="24"/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10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">
        <v>293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0">
        <f>SUM(OSRRefD20x_0)</f>
        <v>234703.24000000008</v>
      </c>
      <c r="E17" s="10">
        <f>SUM(OSRRefD20x_1)</f>
        <v>219113.02</v>
      </c>
      <c r="F17" s="10">
        <f>SUM(OSRRefD20x_2)</f>
        <v>210081.4800000001</v>
      </c>
      <c r="G17" s="10">
        <f>SUM(OSRRefD20x_3)</f>
        <v>259749.95</v>
      </c>
      <c r="H17" s="10">
        <f>SUM(OSRRefE20x_0)</f>
        <v>272187.3419</v>
      </c>
      <c r="I17" s="10">
        <f>SUM(OSRRefE20x_1)</f>
        <v>216608.79070769236</v>
      </c>
      <c r="J17" s="10">
        <f>SUM(OSRRefE20x_2)</f>
        <v>285670.81640538468</v>
      </c>
      <c r="K17" s="10">
        <f>SUM(OSRRefE20x_3)</f>
        <v>238666.62163230771</v>
      </c>
      <c r="L17" s="10">
        <f>SUM(OSRRefE20x_4)</f>
        <v>264466.62163230771</v>
      </c>
      <c r="M17" s="10">
        <f>SUM(OSRRefE20x_5)</f>
        <v>301074.81640538468</v>
      </c>
      <c r="N17" s="10">
        <f>SUM(OSRRefE20x_6)</f>
        <v>242273.10499076926</v>
      </c>
      <c r="O17" s="10">
        <f>SUM(OSRRefE20x_7)</f>
        <v>-137346.12336923071</v>
      </c>
      <c r="Q17" s="10">
        <f>SUM(OSRRefG20x)</f>
        <v>2607249.6803046158</v>
      </c>
    </row>
    <row r="18" spans="1:17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84138.92</v>
      </c>
      <c r="E18" s="1">
        <f>SUM(OSRRefD21_0x_1)</f>
        <v>80654.989999999991</v>
      </c>
      <c r="F18" s="1">
        <f>SUM(OSRRefD21_0x_2)</f>
        <v>81783.600000000006</v>
      </c>
      <c r="G18" s="1">
        <f>SUM(OSRRefD21_0x_3)</f>
        <v>93001.400000000009</v>
      </c>
      <c r="H18" s="1">
        <f>SUM(OSRRefE21_0x_0)</f>
        <v>78209.32651538463</v>
      </c>
      <c r="I18" s="1">
        <f>SUM(OSRRefE21_0x_1)</f>
        <v>58719.544553846164</v>
      </c>
      <c r="J18" s="1">
        <f>SUM(OSRRefE21_0x_2)</f>
        <v>82423.447174615401</v>
      </c>
      <c r="K18" s="1">
        <f>SUM(OSRRefE21_0x_3)</f>
        <v>75827.006247692334</v>
      </c>
      <c r="L18" s="1">
        <f>SUM(OSRRefE21_0x_4)</f>
        <v>75827.006247692334</v>
      </c>
      <c r="M18" s="1">
        <f>SUM(OSRRefE21_0x_5)</f>
        <v>82248.447174615401</v>
      </c>
      <c r="N18" s="1">
        <f>SUM(OSRRefE21_0x_6)</f>
        <v>80568.228067692311</v>
      </c>
      <c r="O18" s="1">
        <f>SUM(OSRRefE21_0x_7)</f>
        <v>-303432.60029230767</v>
      </c>
      <c r="Q18" s="2">
        <f>SUM(OSRRefD20_0x)+IFERROR(SUM(OSRRefE20_0x),0)</f>
        <v>569969.3156892308</v>
      </c>
    </row>
    <row r="19" spans="1:17" s="34" customFormat="1" hidden="1" outlineLevel="1" x14ac:dyDescent="0.25">
      <c r="A19" s="35"/>
      <c r="B19" s="13" t="str">
        <f>CONCATENATE("          ","6111", " - ","F.I.C.A.")</f>
        <v xml:space="preserve">          6111 - F.I.C.A.</v>
      </c>
      <c r="C19" s="15"/>
      <c r="D19" s="2">
        <v>7398.29</v>
      </c>
      <c r="E19" s="2">
        <v>7377.1</v>
      </c>
      <c r="F19" s="2">
        <v>7199.68</v>
      </c>
      <c r="G19" s="2">
        <v>13501.48</v>
      </c>
      <c r="H19" s="2">
        <v>6929.2616769230799</v>
      </c>
      <c r="I19" s="2">
        <v>3832.7401384615405</v>
      </c>
      <c r="J19" s="2">
        <v>8278.9270961538496</v>
      </c>
      <c r="K19" s="2">
        <v>6623.14167692308</v>
      </c>
      <c r="L19" s="2">
        <v>6623.14167692308</v>
      </c>
      <c r="M19" s="2">
        <v>8278.9270961538496</v>
      </c>
      <c r="N19" s="2">
        <v>7774.6238307692302</v>
      </c>
      <c r="O19" s="2">
        <v>7774.6238307692302</v>
      </c>
      <c r="P19" s="9"/>
      <c r="Q19" s="2">
        <f>SUM(OSRRefD21_0_0x)+IFERROR(SUM(OSRRefE21_0_0x),0)</f>
        <v>91591.937023076956</v>
      </c>
    </row>
    <row r="20" spans="1:17" s="34" customFormat="1" hidden="1" outlineLevel="1" x14ac:dyDescent="0.2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597.22</v>
      </c>
      <c r="E20" s="2">
        <v>595.07000000000005</v>
      </c>
      <c r="F20" s="2">
        <v>596.41</v>
      </c>
      <c r="G20" s="2">
        <v>593.14</v>
      </c>
      <c r="H20" s="2">
        <v>606.24325384615406</v>
      </c>
      <c r="I20" s="2">
        <v>472.50567692307703</v>
      </c>
      <c r="J20" s="2">
        <v>741.19467230769203</v>
      </c>
      <c r="K20" s="2">
        <v>593.09473384615399</v>
      </c>
      <c r="L20" s="2">
        <v>593.09473384615399</v>
      </c>
      <c r="M20" s="2">
        <v>741.19467230769203</v>
      </c>
      <c r="N20" s="2">
        <v>638.55538153846135</v>
      </c>
      <c r="O20" s="2">
        <v>638.09206153846139</v>
      </c>
      <c r="P20" s="9"/>
      <c r="Q20" s="2">
        <f>SUM(OSRRefD21_0_1x)+IFERROR(SUM(OSRRefE21_0_1x),0)</f>
        <v>7405.8151861538445</v>
      </c>
    </row>
    <row r="21" spans="1:17" s="34" customFormat="1" hidden="1" outlineLevel="1" x14ac:dyDescent="0.25">
      <c r="A21" s="35"/>
      <c r="B21" s="13" t="str">
        <f>CONCATENATE("          ","6113", " - ","GROUP INSURANCE")</f>
        <v xml:space="preserve">          6113 - GROUP INSURANCE</v>
      </c>
      <c r="C21" s="15"/>
      <c r="D21" s="2">
        <v>22589.05</v>
      </c>
      <c r="E21" s="2">
        <v>22694.37</v>
      </c>
      <c r="F21" s="2">
        <v>22694.37</v>
      </c>
      <c r="G21" s="2">
        <v>23374.05</v>
      </c>
      <c r="H21" s="2">
        <v>21625.769230769238</v>
      </c>
      <c r="I21" s="2">
        <v>12278.076923076927</v>
      </c>
      <c r="J21" s="2">
        <v>21018.846153846156</v>
      </c>
      <c r="K21" s="2">
        <v>19798.076923076929</v>
      </c>
      <c r="L21" s="2">
        <v>19798.076923076929</v>
      </c>
      <c r="M21" s="2">
        <v>21018.846153846156</v>
      </c>
      <c r="N21" s="2">
        <v>21183.076923076929</v>
      </c>
      <c r="O21" s="2">
        <v>21183.076923076929</v>
      </c>
      <c r="P21" s="9"/>
      <c r="Q21" s="2">
        <f>SUM(OSRRefD21_0_2x)+IFERROR(SUM(OSRRefE21_0_2x),0)</f>
        <v>249255.68615384621</v>
      </c>
    </row>
    <row r="22" spans="1:17" s="34" customFormat="1" hidden="1" outlineLevel="1" x14ac:dyDescent="0.2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253.99</v>
      </c>
      <c r="E22" s="2">
        <v>254.15</v>
      </c>
      <c r="F22" s="2">
        <v>255.2</v>
      </c>
      <c r="G22" s="2">
        <v>252.63</v>
      </c>
      <c r="H22" s="2">
        <v>259.24619999999999</v>
      </c>
      <c r="I22" s="2">
        <v>153.87719999999999</v>
      </c>
      <c r="J22" s="2">
        <v>310.97156000000001</v>
      </c>
      <c r="K22" s="2">
        <v>248.88676000000001</v>
      </c>
      <c r="L22" s="2">
        <v>248.88676000000001</v>
      </c>
      <c r="M22" s="2">
        <v>310.97156000000001</v>
      </c>
      <c r="N22" s="2">
        <v>284.70424000000003</v>
      </c>
      <c r="O22" s="2">
        <v>284.33920000000001</v>
      </c>
      <c r="P22" s="9"/>
      <c r="Q22" s="2">
        <f>SUM(OSRRefD21_0_3x)+IFERROR(SUM(OSRRefE21_0_3x),0)</f>
        <v>3117.8534799999998</v>
      </c>
    </row>
    <row r="23" spans="1:17" s="34" customFormat="1" hidden="1" outlineLevel="1" x14ac:dyDescent="0.25">
      <c r="A23" s="35"/>
      <c r="B23" s="13" t="str">
        <f>CONCATENATE("          ","6115", " - ","P.E.R.S.")</f>
        <v xml:space="preserve">          6115 - P.E.R.S.</v>
      </c>
      <c r="C23" s="15"/>
      <c r="D23" s="2">
        <v>11165.64</v>
      </c>
      <c r="E23" s="2">
        <v>7443.75</v>
      </c>
      <c r="F23" s="2">
        <v>7443.75</v>
      </c>
      <c r="G23" s="2">
        <v>7443.75</v>
      </c>
      <c r="H23" s="2">
        <v>5815.5846153846151</v>
      </c>
      <c r="I23" s="2">
        <v>2679.8923076923047</v>
      </c>
      <c r="J23" s="2">
        <v>7269.4807692307804</v>
      </c>
      <c r="K23" s="2">
        <v>5815.5846153846151</v>
      </c>
      <c r="L23" s="2">
        <v>5815.5846153846151</v>
      </c>
      <c r="M23" s="2">
        <v>7269.4807692307804</v>
      </c>
      <c r="N23" s="2">
        <v>7006.3538461538456</v>
      </c>
      <c r="O23" s="2">
        <v>7006.3538461538456</v>
      </c>
      <c r="P23" s="9"/>
      <c r="Q23" s="2">
        <f>SUM(OSRRefD21_0_4x)+IFERROR(SUM(OSRRefE21_0_4x),0)</f>
        <v>82175.205384615401</v>
      </c>
    </row>
    <row r="24" spans="1:17" s="34" customFormat="1" hidden="1" outlineLevel="1" x14ac:dyDescent="0.25">
      <c r="A24" s="35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3" t="str">
        <f>CONCATENATE("          ","6117", " - ","RETIREMENT STAFF HOURLY")</f>
        <v xml:space="preserve">          6117 - RETIREMENT STAFF HOURLY</v>
      </c>
      <c r="C25" s="15"/>
      <c r="D25" s="2">
        <v>1080.74</v>
      </c>
      <c r="E25" s="2">
        <v>774.77</v>
      </c>
      <c r="F25" s="2">
        <v>808.78</v>
      </c>
      <c r="G25" s="2">
        <v>753.23</v>
      </c>
      <c r="H25" s="2"/>
      <c r="I25" s="2"/>
      <c r="J25" s="2"/>
      <c r="K25" s="2"/>
      <c r="L25" s="2"/>
      <c r="M25" s="2"/>
      <c r="N25" s="2"/>
      <c r="O25" s="2"/>
      <c r="P25" s="9"/>
      <c r="Q25" s="2">
        <f>SUM(OSRRefD21_0_6x)+IFERROR(SUM(OSRRefE21_0_6x),0)</f>
        <v>3417.52</v>
      </c>
    </row>
    <row r="26" spans="1:17" s="34" customFormat="1" hidden="1" outlineLevel="1" x14ac:dyDescent="0.25">
      <c r="A26" s="35"/>
      <c r="B26" s="13" t="str">
        <f>CONCATENATE("          ","6118", " - ","VACATION")</f>
        <v xml:space="preserve">          6118 - VACATION</v>
      </c>
      <c r="C26" s="15"/>
      <c r="D26" s="2">
        <v>6023.54</v>
      </c>
      <c r="E26" s="2">
        <v>6115</v>
      </c>
      <c r="F26" s="2">
        <v>6480.55</v>
      </c>
      <c r="G26" s="2">
        <v>9367.15</v>
      </c>
      <c r="H26" s="2">
        <v>4737.1538461538448</v>
      </c>
      <c r="I26" s="2">
        <v>2714.0769230769261</v>
      </c>
      <c r="J26" s="2">
        <v>5671.4423076923094</v>
      </c>
      <c r="K26" s="2">
        <v>4537.1538461538503</v>
      </c>
      <c r="L26" s="2">
        <v>4537.1538461538503</v>
      </c>
      <c r="M26" s="2">
        <v>5671.4423076923094</v>
      </c>
      <c r="N26" s="2">
        <v>5229.4615384615408</v>
      </c>
      <c r="O26" s="2">
        <v>5229.4615384615408</v>
      </c>
      <c r="P26" s="9"/>
      <c r="Q26" s="2">
        <f>SUM(OSRRefD21_0_7x)+IFERROR(SUM(OSRRefE21_0_7x),0)</f>
        <v>66313.586153846176</v>
      </c>
    </row>
    <row r="27" spans="1:17" s="34" customFormat="1" hidden="1" outlineLevel="1" x14ac:dyDescent="0.25">
      <c r="A27" s="35"/>
      <c r="B27" s="13" t="str">
        <f>CONCATENATE("          ","6119", " - ","SICK LEAVE")</f>
        <v xml:space="preserve">          6119 - SICK LEAVE</v>
      </c>
      <c r="C27" s="15"/>
      <c r="D27" s="2">
        <v>4158.5</v>
      </c>
      <c r="E27" s="2">
        <v>4158.5</v>
      </c>
      <c r="F27" s="2">
        <v>4158.5</v>
      </c>
      <c r="G27" s="2">
        <v>6237.75</v>
      </c>
      <c r="H27" s="2">
        <v>3886.0676923076912</v>
      </c>
      <c r="I27" s="2">
        <v>2238.3753846153882</v>
      </c>
      <c r="J27" s="2">
        <v>4607.5846153846132</v>
      </c>
      <c r="K27" s="2">
        <v>3686.0676923076962</v>
      </c>
      <c r="L27" s="2">
        <v>3686.0676923076962</v>
      </c>
      <c r="M27" s="2">
        <v>4607.5846153846132</v>
      </c>
      <c r="N27" s="2">
        <v>4101.4523076923124</v>
      </c>
      <c r="O27" s="2">
        <v>4101.4523076923124</v>
      </c>
      <c r="P27" s="9"/>
      <c r="Q27" s="2">
        <f>SUM(OSRRefD21_0_8x)+IFERROR(SUM(OSRRefE21_0_8x),0)</f>
        <v>49627.902307692326</v>
      </c>
    </row>
    <row r="28" spans="1:17" s="34" customFormat="1" hidden="1" outlineLevel="1" x14ac:dyDescent="0.25">
      <c r="A28" s="35"/>
      <c r="B28" s="13" t="str">
        <f>CONCATENATE("          ","6120", " - ","RETIREES HEALTH INSURANCE")</f>
        <v xml:space="preserve">          6120 - RETIREES HEALTH INSURANCE</v>
      </c>
      <c r="C28" s="15"/>
      <c r="D28" s="2">
        <v>30249.09</v>
      </c>
      <c r="E28" s="2">
        <v>30426.25</v>
      </c>
      <c r="F28" s="2">
        <v>31087.670000000002</v>
      </c>
      <c r="G28" s="2">
        <v>30642.670000000002</v>
      </c>
      <c r="H28" s="2">
        <v>32000</v>
      </c>
      <c r="I28" s="2">
        <v>32000</v>
      </c>
      <c r="J28" s="2">
        <v>32000</v>
      </c>
      <c r="K28" s="2">
        <v>32000</v>
      </c>
      <c r="L28" s="2">
        <v>32000</v>
      </c>
      <c r="M28" s="2">
        <v>32000</v>
      </c>
      <c r="N28" s="2">
        <v>32000</v>
      </c>
      <c r="O28" s="2">
        <v>-352000</v>
      </c>
      <c r="P28" s="9"/>
      <c r="Q28" s="2">
        <f>SUM(OSRRefD21_0_9x)+IFERROR(SUM(OSRRefE21_0_9x),0)</f>
        <v>-5594.320000000007</v>
      </c>
    </row>
    <row r="29" spans="1:17" s="34" customFormat="1" hidden="1" outlineLevel="1" x14ac:dyDescent="0.25">
      <c r="A29" s="35"/>
      <c r="B29" s="13" t="str">
        <f>CONCATENATE("          ","6156", " - ","EMPLOYEE MEALS")</f>
        <v xml:space="preserve">          6156 - EMPLOYEE MEALS</v>
      </c>
      <c r="C29" s="15"/>
      <c r="D29" s="2">
        <v>622.86</v>
      </c>
      <c r="E29" s="2">
        <v>816.03</v>
      </c>
      <c r="F29" s="2">
        <v>1058.69</v>
      </c>
      <c r="G29" s="2">
        <v>835.55</v>
      </c>
      <c r="H29" s="2">
        <v>2350</v>
      </c>
      <c r="I29" s="2">
        <v>2350</v>
      </c>
      <c r="J29" s="2">
        <v>2525</v>
      </c>
      <c r="K29" s="2">
        <v>2525</v>
      </c>
      <c r="L29" s="2">
        <v>2525</v>
      </c>
      <c r="M29" s="2">
        <v>2350</v>
      </c>
      <c r="N29" s="2">
        <v>2350</v>
      </c>
      <c r="O29" s="2">
        <v>2350</v>
      </c>
      <c r="P29" s="9"/>
      <c r="Q29" s="2">
        <f>SUM(OSRRefD21_0_10x)+IFERROR(SUM(OSRRefE21_0_10x),0)</f>
        <v>22658.13</v>
      </c>
    </row>
    <row r="30" spans="1:17" s="34" customFormat="1" collapsed="1" x14ac:dyDescent="0.25">
      <c r="A30" s="35"/>
      <c r="B30" s="15" t="str">
        <f>CONCATENATE("     ","*Payroll                                          ")</f>
        <v xml:space="preserve">     *Payroll                                          </v>
      </c>
      <c r="C30" s="15"/>
      <c r="D30" s="1">
        <f>SUM(OSRRefD21_1x_0)</f>
        <v>114306.91</v>
      </c>
      <c r="E30" s="1">
        <f>SUM(OSRRefD21_1x_1)</f>
        <v>89313.99</v>
      </c>
      <c r="F30" s="1">
        <f>SUM(OSRRefD21_1x_2)</f>
        <v>94176.3</v>
      </c>
      <c r="G30" s="1">
        <f>SUM(OSRRefD21_1x_3)</f>
        <v>73755.100000000006</v>
      </c>
      <c r="H30" s="1">
        <f>SUM(OSRRefE21_1x_0)</f>
        <v>91542.01538461537</v>
      </c>
      <c r="I30" s="1">
        <f>SUM(OSRRefE21_1x_1)</f>
        <v>54686.246153846201</v>
      </c>
      <c r="J30" s="1">
        <f>SUM(OSRRefE21_1x_2)</f>
        <v>109894.36923076931</v>
      </c>
      <c r="K30" s="1">
        <f>SUM(OSRRefE21_1x_3)</f>
        <v>87957.615384615376</v>
      </c>
      <c r="L30" s="1">
        <f>SUM(OSRRefE21_1x_4)</f>
        <v>87957.615384615376</v>
      </c>
      <c r="M30" s="1">
        <f>SUM(OSRRefE21_1x_5)</f>
        <v>109894.36923076931</v>
      </c>
      <c r="N30" s="1">
        <f>SUM(OSRRefE21_1x_6)</f>
        <v>100625.87692307695</v>
      </c>
      <c r="O30" s="1">
        <f>SUM(OSRRefE21_1x_7)</f>
        <v>100485.47692307696</v>
      </c>
      <c r="Q30" s="2">
        <f>SUM(OSRRefD20_1x)+IFERROR(SUM(OSRRefE20_1x),0)</f>
        <v>1114595.884615385</v>
      </c>
    </row>
    <row r="31" spans="1:17" s="34" customFormat="1" hidden="1" outlineLevel="1" x14ac:dyDescent="0.25">
      <c r="A31" s="35"/>
      <c r="B31" s="13" t="str">
        <f>CONCATENATE("          ","6001", " - ","ADMINISTRATIVE SALARIES")</f>
        <v xml:space="preserve">          6001 - ADMINISTRATIVE SALARIES</v>
      </c>
      <c r="C31" s="15"/>
      <c r="D31" s="2">
        <v>28750.289999999997</v>
      </c>
      <c r="E31" s="2">
        <v>20804.48</v>
      </c>
      <c r="F31" s="2">
        <v>22550.76</v>
      </c>
      <c r="G31" s="2">
        <v>29168.98</v>
      </c>
      <c r="H31" s="2">
        <v>27288.461538461499</v>
      </c>
      <c r="I31" s="2">
        <v>14550</v>
      </c>
      <c r="J31" s="2">
        <v>34110.576923076937</v>
      </c>
      <c r="K31" s="2">
        <v>27288.461538461499</v>
      </c>
      <c r="L31" s="2">
        <v>27288.461538461499</v>
      </c>
      <c r="M31" s="2">
        <v>34110.576923076937</v>
      </c>
      <c r="N31" s="2">
        <v>40026.9230769231</v>
      </c>
      <c r="O31" s="2">
        <v>40026.9230769231</v>
      </c>
      <c r="P31" s="9"/>
      <c r="Q31" s="2">
        <f>SUM(OSRRefD21_1_0x)+IFERROR(SUM(OSRRefE21_1_0x),0)</f>
        <v>345964.89461538458</v>
      </c>
    </row>
    <row r="32" spans="1:17" s="34" customFormat="1" hidden="1" outlineLevel="1" x14ac:dyDescent="0.25">
      <c r="A32" s="35"/>
      <c r="B32" s="13" t="str">
        <f>CONCATENATE("          ","6002", " - ","STAFF SALARIES")</f>
        <v xml:space="preserve">          6002 - STAFF SALARIES</v>
      </c>
      <c r="C32" s="15"/>
      <c r="D32" s="2">
        <v>53290.35</v>
      </c>
      <c r="E32" s="2">
        <v>44494.060000000005</v>
      </c>
      <c r="F32" s="2">
        <v>46779.08</v>
      </c>
      <c r="G32" s="2">
        <v>57855.56</v>
      </c>
      <c r="H32" s="2">
        <v>34146.153846153873</v>
      </c>
      <c r="I32" s="2">
        <v>13693.846153846202</v>
      </c>
      <c r="J32" s="2">
        <v>42682.692307692363</v>
      </c>
      <c r="K32" s="2">
        <v>34146.153846153873</v>
      </c>
      <c r="L32" s="2">
        <v>34146.153846153873</v>
      </c>
      <c r="M32" s="2">
        <v>42682.692307692363</v>
      </c>
      <c r="N32" s="2">
        <v>34146.153846153873</v>
      </c>
      <c r="O32" s="2">
        <v>34146.153846153873</v>
      </c>
      <c r="P32" s="9"/>
      <c r="Q32" s="2">
        <f>SUM(OSRRefD21_1_1x)+IFERROR(SUM(OSRRefE21_1_1x),0)</f>
        <v>472209.05000000028</v>
      </c>
    </row>
    <row r="33" spans="1:17" s="34" customFormat="1" hidden="1" outlineLevel="1" x14ac:dyDescent="0.25">
      <c r="A33" s="35"/>
      <c r="B33" s="13" t="str">
        <f>CONCATENATE("          ","6003", " - ","STAFF HOURLY-9 MONTH")</f>
        <v xml:space="preserve">          6003 - STAFF HOURLY-9 MONTH</v>
      </c>
      <c r="C33" s="15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4" customFormat="1" hidden="1" outlineLevel="1" x14ac:dyDescent="0.25">
      <c r="A34" s="35"/>
      <c r="B34" s="13" t="str">
        <f>CONCATENATE("          ","6004", " - ","STAFF HOURLY")</f>
        <v xml:space="preserve">          6004 - STAFF HOURLY</v>
      </c>
      <c r="C34" s="15"/>
      <c r="D34" s="2">
        <v>18530.3</v>
      </c>
      <c r="E34" s="2">
        <v>17348.59</v>
      </c>
      <c r="F34" s="2">
        <v>17369.990000000002</v>
      </c>
      <c r="G34" s="2">
        <v>26834.42</v>
      </c>
      <c r="H34" s="2">
        <v>20976.400000000001</v>
      </c>
      <c r="I34" s="2">
        <v>17376.400000000001</v>
      </c>
      <c r="J34" s="2">
        <v>21720.5</v>
      </c>
      <c r="K34" s="2">
        <v>17376.400000000001</v>
      </c>
      <c r="L34" s="2">
        <v>17376.400000000001</v>
      </c>
      <c r="M34" s="2">
        <v>21720.5</v>
      </c>
      <c r="N34" s="2">
        <v>17376.400000000001</v>
      </c>
      <c r="O34" s="2">
        <v>17376.400000000001</v>
      </c>
      <c r="P34" s="9"/>
      <c r="Q34" s="2">
        <f>SUM(OSRRefD21_1_3x)+IFERROR(SUM(OSRRefE21_1_3x),0)</f>
        <v>231382.7</v>
      </c>
    </row>
    <row r="35" spans="1:17" s="34" customFormat="1" hidden="1" outlineLevel="1" x14ac:dyDescent="0.25">
      <c r="A35" s="35"/>
      <c r="B35" s="13" t="str">
        <f>CONCATENATE("          ","6005", " - ","TEMPORARY WAGES-HOURLY")</f>
        <v xml:space="preserve">          6005 - TEMPORARY WAGES-HOURLY</v>
      </c>
      <c r="C35" s="15"/>
      <c r="D35" s="2">
        <v>5883.34</v>
      </c>
      <c r="E35" s="2">
        <v>5756.74</v>
      </c>
      <c r="F35" s="2">
        <v>6074.61</v>
      </c>
      <c r="G35" s="2">
        <v>8940.7999999999993</v>
      </c>
      <c r="H35" s="2">
        <v>7772</v>
      </c>
      <c r="I35" s="2">
        <v>7772</v>
      </c>
      <c r="J35" s="2">
        <v>9715</v>
      </c>
      <c r="K35" s="2">
        <v>7772</v>
      </c>
      <c r="L35" s="2">
        <v>7772</v>
      </c>
      <c r="M35" s="2">
        <v>9715</v>
      </c>
      <c r="N35" s="2">
        <v>7772</v>
      </c>
      <c r="O35" s="2">
        <v>7772</v>
      </c>
      <c r="P35" s="9"/>
      <c r="Q35" s="2">
        <f>SUM(OSRRefD21_1_4x)+IFERROR(SUM(OSRRefE21_1_4x),0)</f>
        <v>92717.489999999991</v>
      </c>
    </row>
    <row r="36" spans="1:17" s="34" customFormat="1" hidden="1" outlineLevel="1" x14ac:dyDescent="0.25">
      <c r="A36" s="35"/>
      <c r="B36" s="13" t="str">
        <f>CONCATENATE("          ","6006", " - ","TEMPORARY PART TIME")</f>
        <v xml:space="preserve">          6006 - TEMPORARY PART TIME</v>
      </c>
      <c r="C36" s="15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4" customFormat="1" hidden="1" outlineLevel="1" x14ac:dyDescent="0.25">
      <c r="A37" s="35"/>
      <c r="B37" s="13" t="str">
        <f>CONCATENATE("          ","6007", " - ","STUDENT HOURLY")</f>
        <v xml:space="preserve">          6007 - STUDENT HOURLY</v>
      </c>
      <c r="C37" s="15"/>
      <c r="D37" s="2">
        <v>6624</v>
      </c>
      <c r="E37" s="2">
        <v>-900.11</v>
      </c>
      <c r="F37" s="2">
        <v>231.39</v>
      </c>
      <c r="G37" s="2">
        <v>-50796.29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1164</v>
      </c>
      <c r="O37" s="2">
        <v>1164</v>
      </c>
      <c r="P37" s="9"/>
      <c r="Q37" s="2">
        <f>SUM(OSRRefD21_1_6x)+IFERROR(SUM(OSRRefE21_1_6x),0)</f>
        <v>-42513.01</v>
      </c>
    </row>
    <row r="38" spans="1:17" s="34" customFormat="1" hidden="1" outlineLevel="1" x14ac:dyDescent="0.25">
      <c r="A38" s="35"/>
      <c r="B38" s="13" t="str">
        <f>CONCATENATE("          ","6008", " - ","STUDENT HOURLY-FICA EXEMPT")</f>
        <v xml:space="preserve">          6008 - STUDENT HOURLY-FICA EXEMPT</v>
      </c>
      <c r="C38" s="15"/>
      <c r="D38" s="2">
        <v>1228.6300000000001</v>
      </c>
      <c r="E38" s="2">
        <v>1810.23</v>
      </c>
      <c r="F38" s="2">
        <v>1170.47</v>
      </c>
      <c r="G38" s="2">
        <v>1751.63</v>
      </c>
      <c r="H38" s="2">
        <v>1359</v>
      </c>
      <c r="I38" s="2">
        <v>1294</v>
      </c>
      <c r="J38" s="2">
        <v>1665.6</v>
      </c>
      <c r="K38" s="2">
        <v>1374.6</v>
      </c>
      <c r="L38" s="2">
        <v>1374.6</v>
      </c>
      <c r="M38" s="2">
        <v>1665.6</v>
      </c>
      <c r="N38" s="2">
        <v>140.4</v>
      </c>
      <c r="O38" s="2">
        <v>0</v>
      </c>
      <c r="P38" s="9"/>
      <c r="Q38" s="2">
        <f>SUM(OSRRefD21_1_7x)+IFERROR(SUM(OSRRefE21_1_7x),0)</f>
        <v>14834.760000000002</v>
      </c>
    </row>
    <row r="39" spans="1:17" s="34" customFormat="1" hidden="1" outlineLevel="1" x14ac:dyDescent="0.25">
      <c r="A39" s="35"/>
      <c r="B39" s="13" t="str">
        <f>CONCATENATE("          ","6009", " - ","TEMPORARY-SEASONAL")</f>
        <v xml:space="preserve">          6009 - TEMPORARY-SEASONAL</v>
      </c>
      <c r="C39" s="15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4" customFormat="1" hidden="1" outlineLevel="1" x14ac:dyDescent="0.25">
      <c r="A40" s="35"/>
      <c r="B40" s="13" t="str">
        <f>CONCATENATE("          ","6010", " - ","GRATUITY")</f>
        <v xml:space="preserve">          6010 - GRATUITY</v>
      </c>
      <c r="C40" s="15"/>
      <c r="D40" s="2"/>
      <c r="E40" s="2"/>
      <c r="F40" s="2"/>
      <c r="G40" s="2"/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4" customFormat="1" collapsed="1" x14ac:dyDescent="0.25">
      <c r="A41" s="35"/>
      <c r="B41" s="15" t="str">
        <f>CONCATENATE("     ","Advertising/Promo                                 ")</f>
        <v xml:space="preserve">     Advertising/Promo                                 </v>
      </c>
      <c r="C41" s="15"/>
      <c r="D41" s="1">
        <f>SUM(OSRRefD21_2x_0)</f>
        <v>58.38</v>
      </c>
      <c r="E41" s="1">
        <f>SUM(OSRRefD21_2x_1)</f>
        <v>176.68</v>
      </c>
      <c r="F41" s="1">
        <f>SUM(OSRRefD21_2x_2)</f>
        <v>178.16</v>
      </c>
      <c r="G41" s="1">
        <f>SUM(OSRRefD21_2x_3)</f>
        <v>173.21</v>
      </c>
      <c r="H41" s="1">
        <f>SUM(OSRRefE21_2x_0)</f>
        <v>9083</v>
      </c>
      <c r="I41" s="1">
        <f>SUM(OSRRefE21_2x_1)</f>
        <v>9083</v>
      </c>
      <c r="J41" s="1">
        <f>SUM(OSRRefE21_2x_2)</f>
        <v>9083</v>
      </c>
      <c r="K41" s="1">
        <f>SUM(OSRRefE21_2x_3)</f>
        <v>9083</v>
      </c>
      <c r="L41" s="1">
        <f>SUM(OSRRefE21_2x_4)</f>
        <v>9083</v>
      </c>
      <c r="M41" s="1">
        <f>SUM(OSRRefE21_2x_5)</f>
        <v>9083</v>
      </c>
      <c r="N41" s="1">
        <f>SUM(OSRRefE21_2x_6)</f>
        <v>9083</v>
      </c>
      <c r="O41" s="1">
        <f>SUM(OSRRefE21_2x_7)</f>
        <v>9087</v>
      </c>
      <c r="Q41" s="2">
        <f>SUM(OSRRefD20_2x)+IFERROR(SUM(OSRRefE20_2x),0)</f>
        <v>73254.429999999993</v>
      </c>
    </row>
    <row r="42" spans="1:17" s="34" customFormat="1" hidden="1" outlineLevel="1" x14ac:dyDescent="0.25">
      <c r="A42" s="35"/>
      <c r="B42" s="13" t="str">
        <f>CONCATENATE("          ","6362", " - ","ADVERTISING EXPENSE")</f>
        <v xml:space="preserve">          6362 - ADVERTISING EXPENSE</v>
      </c>
      <c r="C42" s="15"/>
      <c r="D42" s="2">
        <v>58.38</v>
      </c>
      <c r="E42" s="2">
        <v>176.68</v>
      </c>
      <c r="F42" s="2">
        <v>178.16</v>
      </c>
      <c r="G42" s="2">
        <v>173.21</v>
      </c>
      <c r="H42" s="2">
        <v>9083</v>
      </c>
      <c r="I42" s="2">
        <v>9083</v>
      </c>
      <c r="J42" s="2">
        <v>9083</v>
      </c>
      <c r="K42" s="2">
        <v>9083</v>
      </c>
      <c r="L42" s="2">
        <v>9083</v>
      </c>
      <c r="M42" s="2">
        <v>9083</v>
      </c>
      <c r="N42" s="2">
        <v>9083</v>
      </c>
      <c r="O42" s="2">
        <v>9087</v>
      </c>
      <c r="P42" s="9"/>
      <c r="Q42" s="2">
        <f>SUM(OSRRefD21_2_0x)+IFERROR(SUM(OSRRefE21_2_0x),0)</f>
        <v>73254.429999999993</v>
      </c>
    </row>
    <row r="43" spans="1:17" s="34" customFormat="1" collapsed="1" x14ac:dyDescent="0.25">
      <c r="A43" s="35"/>
      <c r="B43" s="15" t="str">
        <f>CONCATENATE("     ","Bank/card Fees                                    ")</f>
        <v xml:space="preserve">     Bank/card Fees                                    </v>
      </c>
      <c r="C43" s="15"/>
      <c r="D43" s="1">
        <f>SUM(OSRRefD21_3x_0)</f>
        <v>923.98</v>
      </c>
      <c r="E43" s="1">
        <f>SUM(OSRRefD21_3x_1)</f>
        <v>7</v>
      </c>
      <c r="F43" s="1">
        <f>SUM(OSRRefD21_3x_2)</f>
        <v>7</v>
      </c>
      <c r="G43" s="1">
        <f>SUM(OSRRefD21_3x_3)</f>
        <v>1972.94</v>
      </c>
      <c r="H43" s="1">
        <f>SUM(OSRRefE21_3x_0)</f>
        <v>1000</v>
      </c>
      <c r="I43" s="1">
        <f>SUM(OSRRefE21_3x_1)</f>
        <v>2000</v>
      </c>
      <c r="J43" s="1">
        <f>SUM(OSRRefE21_3x_2)</f>
        <v>15000</v>
      </c>
      <c r="K43" s="1">
        <f>SUM(OSRRefE21_3x_3)</f>
        <v>1000</v>
      </c>
      <c r="L43" s="1">
        <f>SUM(OSRRefE21_3x_4)</f>
        <v>2000</v>
      </c>
      <c r="M43" s="1">
        <f>SUM(OSRRefE21_3x_5)</f>
        <v>15000</v>
      </c>
      <c r="N43" s="1">
        <f>SUM(OSRRefE21_3x_6)</f>
        <v>1000</v>
      </c>
      <c r="O43" s="1">
        <f>SUM(OSRRefE21_3x_7)</f>
        <v>2000</v>
      </c>
      <c r="Q43" s="2">
        <f>SUM(OSRRefD20_3x)+IFERROR(SUM(OSRRefE20_3x),0)</f>
        <v>41910.92</v>
      </c>
    </row>
    <row r="44" spans="1:17" s="34" customFormat="1" hidden="1" outlineLevel="1" x14ac:dyDescent="0.25">
      <c r="A44" s="35"/>
      <c r="B44" s="13" t="str">
        <f>CONCATENATE("          ","6381", " - ","BANK/CREDIT CARD FEES")</f>
        <v xml:space="preserve">          6381 - BANK/CREDIT CARD FEES</v>
      </c>
      <c r="C44" s="15"/>
      <c r="D44" s="2">
        <v>923.98</v>
      </c>
      <c r="E44" s="2">
        <v>7</v>
      </c>
      <c r="F44" s="2">
        <v>7</v>
      </c>
      <c r="G44" s="2">
        <v>1972.94</v>
      </c>
      <c r="H44" s="2">
        <v>1000</v>
      </c>
      <c r="I44" s="2">
        <v>2000</v>
      </c>
      <c r="J44" s="2">
        <v>15000</v>
      </c>
      <c r="K44" s="2">
        <v>1000</v>
      </c>
      <c r="L44" s="2">
        <v>2000</v>
      </c>
      <c r="M44" s="2">
        <v>15000</v>
      </c>
      <c r="N44" s="2">
        <v>1000</v>
      </c>
      <c r="O44" s="2">
        <v>2000</v>
      </c>
      <c r="P44" s="9"/>
      <c r="Q44" s="2">
        <f>SUM(OSRRefD21_3_0x)+IFERROR(SUM(OSRRefE21_3_0x),0)</f>
        <v>41910.92</v>
      </c>
    </row>
    <row r="45" spans="1:17" s="34" customFormat="1" collapsed="1" x14ac:dyDescent="0.25">
      <c r="A45" s="35"/>
      <c r="B45" s="15" t="str">
        <f>CONCATENATE("     ","Board                                             ")</f>
        <v xml:space="preserve">     Board                                             </v>
      </c>
      <c r="C45" s="15"/>
      <c r="D45" s="1">
        <f>SUM(OSRRefD21_4x_0)</f>
        <v>783.79</v>
      </c>
      <c r="E45" s="1">
        <f>SUM(OSRRefD21_4x_1)</f>
        <v>4354.01</v>
      </c>
      <c r="F45" s="1">
        <f>SUM(OSRRefD21_4x_2)</f>
        <v>833.04</v>
      </c>
      <c r="G45" s="1">
        <f>SUM(OSRRefD21_4x_3)</f>
        <v>550.16999999999996</v>
      </c>
      <c r="H45" s="1">
        <f>SUM(OSRRefE21_4x_0)</f>
        <v>2337</v>
      </c>
      <c r="I45" s="1">
        <f>SUM(OSRRefE21_4x_1)</f>
        <v>5137</v>
      </c>
      <c r="J45" s="1">
        <f>SUM(OSRRefE21_4x_2)</f>
        <v>2437</v>
      </c>
      <c r="K45" s="1">
        <f>SUM(OSRRefE21_4x_3)</f>
        <v>2437</v>
      </c>
      <c r="L45" s="1">
        <f>SUM(OSRRefE21_4x_4)</f>
        <v>17437</v>
      </c>
      <c r="M45" s="1">
        <f>SUM(OSRRefE21_4x_5)</f>
        <v>2437</v>
      </c>
      <c r="N45" s="1">
        <f>SUM(OSRRefE21_4x_6)</f>
        <v>2337</v>
      </c>
      <c r="O45" s="1">
        <f>SUM(OSRRefE21_4x_7)</f>
        <v>2137</v>
      </c>
      <c r="Q45" s="2">
        <f>SUM(OSRRefD20_4x)+IFERROR(SUM(OSRRefE20_4x),0)</f>
        <v>43217.01</v>
      </c>
    </row>
    <row r="46" spans="1:17" s="34" customFormat="1" hidden="1" outlineLevel="1" x14ac:dyDescent="0.25">
      <c r="A46" s="35"/>
      <c r="B46" s="13" t="str">
        <f>CONCATENATE("          ","6397", " - ","BOARD EXPENSES")</f>
        <v xml:space="preserve">          6397 - BOARD EXPENSES</v>
      </c>
      <c r="C46" s="15"/>
      <c r="D46" s="2">
        <v>783.79</v>
      </c>
      <c r="E46" s="2">
        <v>4354.01</v>
      </c>
      <c r="F46" s="2">
        <v>833.04</v>
      </c>
      <c r="G46" s="2">
        <v>550.16999999999996</v>
      </c>
      <c r="H46" s="2">
        <v>2337</v>
      </c>
      <c r="I46" s="2">
        <v>5137</v>
      </c>
      <c r="J46" s="2">
        <v>2437</v>
      </c>
      <c r="K46" s="2">
        <v>2437</v>
      </c>
      <c r="L46" s="2">
        <v>17437</v>
      </c>
      <c r="M46" s="2">
        <v>2437</v>
      </c>
      <c r="N46" s="2">
        <v>2337</v>
      </c>
      <c r="O46" s="2">
        <v>2137</v>
      </c>
      <c r="P46" s="9"/>
      <c r="Q46" s="2">
        <f>SUM(OSRRefD21_4_0x)+IFERROR(SUM(OSRRefE21_4_0x),0)</f>
        <v>43217.01</v>
      </c>
    </row>
    <row r="47" spans="1:17" s="34" customFormat="1" collapsed="1" x14ac:dyDescent="0.25">
      <c r="A47" s="35"/>
      <c r="B47" s="15" t="str">
        <f>CONCATENATE("     ","Depreciation                                      ")</f>
        <v xml:space="preserve">     Depreciation                                      </v>
      </c>
      <c r="C47" s="15"/>
      <c r="D47" s="1">
        <f>SUM(OSRRefD21_5x_0)</f>
        <v>7607.16</v>
      </c>
      <c r="E47" s="1">
        <f>SUM(OSRRefD21_5x_1)</f>
        <v>7607.16</v>
      </c>
      <c r="F47" s="1">
        <f>SUM(OSRRefD21_5x_2)</f>
        <v>7607.15</v>
      </c>
      <c r="G47" s="1">
        <f>SUM(OSRRefD21_5x_3)</f>
        <v>7222.15</v>
      </c>
      <c r="H47" s="1">
        <f>SUM(OSRRefE21_5x_0)</f>
        <v>7222</v>
      </c>
      <c r="I47" s="1">
        <f>SUM(OSRRefE21_5x_1)</f>
        <v>7139</v>
      </c>
      <c r="J47" s="1">
        <f>SUM(OSRRefE21_5x_2)</f>
        <v>7139</v>
      </c>
      <c r="K47" s="1">
        <f>SUM(OSRRefE21_5x_3)</f>
        <v>6868</v>
      </c>
      <c r="L47" s="1">
        <f>SUM(OSRRefE21_5x_4)</f>
        <v>6868</v>
      </c>
      <c r="M47" s="1">
        <f>SUM(OSRRefE21_5x_5)</f>
        <v>6868</v>
      </c>
      <c r="N47" s="1">
        <f>SUM(OSRRefE21_5x_6)</f>
        <v>6765</v>
      </c>
      <c r="O47" s="1">
        <f>SUM(OSRRefE21_5x_7)</f>
        <v>6428</v>
      </c>
      <c r="Q47" s="2">
        <f>SUM(OSRRefD20_5x)+IFERROR(SUM(OSRRefE20_5x),0)</f>
        <v>85340.62</v>
      </c>
    </row>
    <row r="48" spans="1:17" s="34" customFormat="1" hidden="1" outlineLevel="1" x14ac:dyDescent="0.25">
      <c r="A48" s="35"/>
      <c r="B48" s="13" t="str">
        <f>CONCATENATE("          ","6322", " - ","EQUIPMENT DEPRECIATION EXPENSE")</f>
        <v xml:space="preserve">          6322 - EQUIPMENT DEPRECIATION EXPENSE</v>
      </c>
      <c r="C48" s="15"/>
      <c r="D48" s="2">
        <v>7607.16</v>
      </c>
      <c r="E48" s="2">
        <v>7607.16</v>
      </c>
      <c r="F48" s="2">
        <v>7607.15</v>
      </c>
      <c r="G48" s="2">
        <v>7222.15</v>
      </c>
      <c r="H48" s="2">
        <v>7222</v>
      </c>
      <c r="I48" s="2">
        <v>7139</v>
      </c>
      <c r="J48" s="2">
        <v>7139</v>
      </c>
      <c r="K48" s="2">
        <v>6868</v>
      </c>
      <c r="L48" s="2">
        <v>6868</v>
      </c>
      <c r="M48" s="2">
        <v>6868</v>
      </c>
      <c r="N48" s="2">
        <v>6765</v>
      </c>
      <c r="O48" s="2">
        <v>6428</v>
      </c>
      <c r="P48" s="9"/>
      <c r="Q48" s="2">
        <f>SUM(OSRRefD21_5_0x)+IFERROR(SUM(OSRRefE21_5_0x),0)</f>
        <v>85340.62</v>
      </c>
    </row>
    <row r="49" spans="1:17" s="34" customFormat="1" collapsed="1" x14ac:dyDescent="0.25">
      <c r="A49" s="35"/>
      <c r="B49" s="15" t="str">
        <f>CONCATENATE("     ","Donations                                         ")</f>
        <v xml:space="preserve">     Donations                                         </v>
      </c>
      <c r="C49" s="15"/>
      <c r="D49" s="1">
        <f>SUM(OSRRefD21_6x_0)</f>
        <v>0</v>
      </c>
      <c r="E49" s="1">
        <f>SUM(OSRRefD21_6x_1)</f>
        <v>0</v>
      </c>
      <c r="F49" s="1">
        <f>SUM(OSRRefD21_6x_2)</f>
        <v>0</v>
      </c>
      <c r="G49" s="1">
        <f>SUM(OSRRefD21_6x_3)</f>
        <v>25000</v>
      </c>
      <c r="H49" s="1">
        <f>SUM(OSRRefE21_6x_0)</f>
        <v>2750</v>
      </c>
      <c r="I49" s="1">
        <f>SUM(OSRRefE21_6x_1)</f>
        <v>26500</v>
      </c>
      <c r="J49" s="1">
        <f>SUM(OSRRefE21_6x_2)</f>
        <v>6000</v>
      </c>
      <c r="K49" s="1">
        <f>SUM(OSRRefE21_6x_3)</f>
        <v>2500</v>
      </c>
      <c r="L49" s="1">
        <f>SUM(OSRRefE21_6x_4)</f>
        <v>1000</v>
      </c>
      <c r="M49" s="1">
        <f>SUM(OSRRefE21_6x_5)</f>
        <v>1000</v>
      </c>
      <c r="N49" s="1">
        <f>SUM(OSRRefE21_6x_6)</f>
        <v>1000</v>
      </c>
      <c r="O49" s="1">
        <f>SUM(OSRRefE21_6x_7)</f>
        <v>1000</v>
      </c>
      <c r="Q49" s="2">
        <f>SUM(OSRRefD20_6x)+IFERROR(SUM(OSRRefE20_6x),0)</f>
        <v>66750</v>
      </c>
    </row>
    <row r="50" spans="1:17" s="34" customFormat="1" hidden="1" outlineLevel="1" x14ac:dyDescent="0.25">
      <c r="A50" s="35"/>
      <c r="B50" s="13" t="str">
        <f>CONCATENATE("          ","6395", " - ","DONATION-OFF CAMPUS")</f>
        <v xml:space="preserve">          6395 - DONATION-OFF CAMPUS</v>
      </c>
      <c r="C50" s="15"/>
      <c r="D50" s="2"/>
      <c r="E50" s="2"/>
      <c r="F50" s="2"/>
      <c r="G50" s="2"/>
      <c r="H50" s="2"/>
      <c r="I50" s="2"/>
      <c r="J50" s="2"/>
      <c r="K50" s="2">
        <v>1500</v>
      </c>
      <c r="L50" s="2"/>
      <c r="M50" s="2"/>
      <c r="N50" s="2"/>
      <c r="O50" s="2"/>
      <c r="P50" s="9"/>
      <c r="Q50" s="2">
        <f>SUM(OSRRefD21_6_0x)+IFERROR(SUM(OSRRefE21_6_0x),0)</f>
        <v>1500</v>
      </c>
    </row>
    <row r="51" spans="1:17" s="34" customFormat="1" hidden="1" outlineLevel="1" x14ac:dyDescent="0.25">
      <c r="A51" s="35"/>
      <c r="B51" s="13" t="str">
        <f>CONCATENATE("          ","6399", " - ","DONATION-ON CAMPUS")</f>
        <v xml:space="preserve">          6399 - DONATION-ON CAMPUS</v>
      </c>
      <c r="C51" s="15"/>
      <c r="D51" s="2"/>
      <c r="E51" s="2"/>
      <c r="F51" s="2"/>
      <c r="G51" s="2">
        <v>25000</v>
      </c>
      <c r="H51" s="2">
        <v>2750</v>
      </c>
      <c r="I51" s="2">
        <v>26500</v>
      </c>
      <c r="J51" s="2">
        <v>6000</v>
      </c>
      <c r="K51" s="2">
        <v>1000</v>
      </c>
      <c r="L51" s="2">
        <v>1000</v>
      </c>
      <c r="M51" s="2">
        <v>1000</v>
      </c>
      <c r="N51" s="2">
        <v>1000</v>
      </c>
      <c r="O51" s="2">
        <v>1000</v>
      </c>
      <c r="P51" s="9"/>
      <c r="Q51" s="2">
        <f>SUM(OSRRefD21_6_1x)+IFERROR(SUM(OSRRefE21_6_1x),0)</f>
        <v>65250</v>
      </c>
    </row>
    <row r="52" spans="1:17" s="34" customFormat="1" collapsed="1" x14ac:dyDescent="0.25">
      <c r="A52" s="35"/>
      <c r="B52" s="15" t="str">
        <f>CONCATENATE("     ","Employees' Appreciation                           ")</f>
        <v xml:space="preserve">     Employees' Appreciation                           </v>
      </c>
      <c r="C52" s="15"/>
      <c r="D52" s="1">
        <f>SUM(OSRRefD21_7x_0)</f>
        <v>0</v>
      </c>
      <c r="E52" s="1">
        <f>SUM(OSRRefD21_7x_1)</f>
        <v>81.56</v>
      </c>
      <c r="F52" s="1">
        <f>SUM(OSRRefD21_7x_2)</f>
        <v>0</v>
      </c>
      <c r="G52" s="1">
        <f>SUM(OSRRefD21_7x_3)</f>
        <v>0</v>
      </c>
      <c r="H52" s="1">
        <f>SUM(OSRRefE21_7x_0)</f>
        <v>0</v>
      </c>
      <c r="I52" s="1">
        <f>SUM(OSRRefE21_7x_1)</f>
        <v>2700</v>
      </c>
      <c r="J52" s="1">
        <f>SUM(OSRRefE21_7x_2)</f>
        <v>0</v>
      </c>
      <c r="K52" s="1">
        <f>SUM(OSRRefE21_7x_3)</f>
        <v>0</v>
      </c>
      <c r="L52" s="1">
        <f>SUM(OSRRefE21_7x_4)</f>
        <v>0</v>
      </c>
      <c r="M52" s="1">
        <f>SUM(OSRRefE21_7x_5)</f>
        <v>10850</v>
      </c>
      <c r="N52" s="1">
        <f>SUM(OSRRefE21_7x_6)</f>
        <v>0</v>
      </c>
      <c r="O52" s="1">
        <f>SUM(OSRRefE21_7x_7)</f>
        <v>1000</v>
      </c>
      <c r="Q52" s="2">
        <f>SUM(OSRRefD20_7x)+IFERROR(SUM(OSRRefE20_7x),0)</f>
        <v>14631.56</v>
      </c>
    </row>
    <row r="53" spans="1:17" s="34" customFormat="1" hidden="1" outlineLevel="1" x14ac:dyDescent="0.25">
      <c r="A53" s="35"/>
      <c r="B53" s="13" t="str">
        <f>CONCATENATE("          ","6277", " - ","EMPLOYEE APPRECIATION")</f>
        <v xml:space="preserve">          6277 - EMPLOYEE APPRECIATION</v>
      </c>
      <c r="C53" s="15"/>
      <c r="D53" s="2"/>
      <c r="E53" s="2">
        <v>81.56</v>
      </c>
      <c r="F53" s="2"/>
      <c r="G53" s="2"/>
      <c r="H53" s="2">
        <v>0</v>
      </c>
      <c r="I53" s="2">
        <v>2700</v>
      </c>
      <c r="J53" s="2">
        <v>0</v>
      </c>
      <c r="K53" s="2">
        <v>0</v>
      </c>
      <c r="L53" s="2">
        <v>0</v>
      </c>
      <c r="M53" s="2">
        <v>10850</v>
      </c>
      <c r="N53" s="2">
        <v>0</v>
      </c>
      <c r="O53" s="2">
        <v>1000</v>
      </c>
      <c r="P53" s="9"/>
      <c r="Q53" s="2">
        <f>SUM(OSRRefD21_7_0x)+IFERROR(SUM(OSRRefE21_7_0x),0)</f>
        <v>14631.56</v>
      </c>
    </row>
    <row r="54" spans="1:17" s="34" customFormat="1" collapsed="1" x14ac:dyDescent="0.25">
      <c r="A54" s="35"/>
      <c r="B54" s="15" t="str">
        <f>CONCATENATE("     ","Equipment Rental                                  ")</f>
        <v xml:space="preserve">     Equipment Rental                                  </v>
      </c>
      <c r="C54" s="15"/>
      <c r="D54" s="1">
        <f>SUM(OSRRefD21_8x_0)</f>
        <v>208.97</v>
      </c>
      <c r="E54" s="1">
        <f>SUM(OSRRefD21_8x_1)</f>
        <v>208.97</v>
      </c>
      <c r="F54" s="1">
        <f>SUM(OSRRefD21_8x_2)</f>
        <v>208.97</v>
      </c>
      <c r="G54" s="1">
        <f>SUM(OSRRefD21_8x_3)</f>
        <v>208.97</v>
      </c>
      <c r="H54" s="1">
        <f>SUM(OSRRefE21_8x_0)</f>
        <v>291</v>
      </c>
      <c r="I54" s="1">
        <f>SUM(OSRRefE21_8x_1)</f>
        <v>291</v>
      </c>
      <c r="J54" s="1">
        <f>SUM(OSRRefE21_8x_2)</f>
        <v>291</v>
      </c>
      <c r="K54" s="1">
        <f>SUM(OSRRefE21_8x_3)</f>
        <v>291</v>
      </c>
      <c r="L54" s="1">
        <f>SUM(OSRRefE21_8x_4)</f>
        <v>291</v>
      </c>
      <c r="M54" s="1">
        <f>SUM(OSRRefE21_8x_5)</f>
        <v>291</v>
      </c>
      <c r="N54" s="1">
        <f>SUM(OSRRefE21_8x_6)</f>
        <v>291</v>
      </c>
      <c r="O54" s="1">
        <f>SUM(OSRRefE21_8x_7)</f>
        <v>297</v>
      </c>
      <c r="Q54" s="2">
        <f>SUM(OSRRefD20_8x)+IFERROR(SUM(OSRRefE20_8x),0)</f>
        <v>3169.88</v>
      </c>
    </row>
    <row r="55" spans="1:17" s="34" customFormat="1" hidden="1" outlineLevel="1" x14ac:dyDescent="0.25">
      <c r="A55" s="35"/>
      <c r="B55" s="13" t="str">
        <f>CONCATENATE("          ","6351", " - ","EQUIPMENT RENTAL")</f>
        <v xml:space="preserve">          6351 - EQUIPMENT RENTAL</v>
      </c>
      <c r="C55" s="15"/>
      <c r="D55" s="2">
        <v>208.97</v>
      </c>
      <c r="E55" s="2">
        <v>208.97</v>
      </c>
      <c r="F55" s="2">
        <v>208.97</v>
      </c>
      <c r="G55" s="2">
        <v>208.97</v>
      </c>
      <c r="H55" s="2">
        <v>291</v>
      </c>
      <c r="I55" s="2">
        <v>291</v>
      </c>
      <c r="J55" s="2">
        <v>291</v>
      </c>
      <c r="K55" s="2">
        <v>291</v>
      </c>
      <c r="L55" s="2">
        <v>291</v>
      </c>
      <c r="M55" s="2">
        <v>291</v>
      </c>
      <c r="N55" s="2">
        <v>291</v>
      </c>
      <c r="O55" s="2">
        <v>297</v>
      </c>
      <c r="P55" s="9"/>
      <c r="Q55" s="2">
        <f>SUM(OSRRefD21_8_0x)+IFERROR(SUM(OSRRefE21_8_0x),0)</f>
        <v>3169.88</v>
      </c>
    </row>
    <row r="56" spans="1:17" s="34" customFormat="1" collapsed="1" x14ac:dyDescent="0.25">
      <c r="A56" s="35"/>
      <c r="B56" s="15" t="str">
        <f>CONCATENATE("     ","Freight out/Postage                               ")</f>
        <v xml:space="preserve">     Freight out/Postage                               </v>
      </c>
      <c r="C56" s="15"/>
      <c r="D56" s="1">
        <f>SUM(OSRRefD21_9x_0)</f>
        <v>84</v>
      </c>
      <c r="E56" s="1">
        <f>SUM(OSRRefD21_9x_1)</f>
        <v>174.01</v>
      </c>
      <c r="F56" s="1">
        <f>SUM(OSRRefD21_9x_2)</f>
        <v>140.93</v>
      </c>
      <c r="G56" s="1">
        <f>SUM(OSRRefD21_9x_3)</f>
        <v>198.03</v>
      </c>
      <c r="H56" s="1">
        <f>SUM(OSRRefE21_9x_0)</f>
        <v>198</v>
      </c>
      <c r="I56" s="1">
        <f>SUM(OSRRefE21_9x_1)</f>
        <v>198</v>
      </c>
      <c r="J56" s="1">
        <f>SUM(OSRRefE21_9x_2)</f>
        <v>198</v>
      </c>
      <c r="K56" s="1">
        <f>SUM(OSRRefE21_9x_3)</f>
        <v>198</v>
      </c>
      <c r="L56" s="1">
        <f>SUM(OSRRefE21_9x_4)</f>
        <v>198</v>
      </c>
      <c r="M56" s="1">
        <f>SUM(OSRRefE21_9x_5)</f>
        <v>198</v>
      </c>
      <c r="N56" s="1">
        <f>SUM(OSRRefE21_9x_6)</f>
        <v>198</v>
      </c>
      <c r="O56" s="1">
        <f>SUM(OSRRefE21_9x_7)</f>
        <v>202</v>
      </c>
      <c r="Q56" s="2">
        <f>SUM(OSRRefD20_9x)+IFERROR(SUM(OSRRefE20_9x),0)</f>
        <v>2184.9700000000003</v>
      </c>
    </row>
    <row r="57" spans="1:17" s="34" customFormat="1" hidden="1" outlineLevel="1" x14ac:dyDescent="0.25">
      <c r="A57" s="35"/>
      <c r="B57" s="13" t="str">
        <f>CONCATENATE("          ","6305", " - ","FREIGHT OUT")</f>
        <v xml:space="preserve">          6305 - FREIGHT OUT</v>
      </c>
      <c r="C57" s="15"/>
      <c r="D57" s="2"/>
      <c r="E57" s="2">
        <v>5.41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SUM(OSRRefD21_9_0x)+IFERROR(SUM(OSRRefE21_9_0x),0)</f>
        <v>5.41</v>
      </c>
    </row>
    <row r="58" spans="1:17" s="34" customFormat="1" hidden="1" outlineLevel="1" x14ac:dyDescent="0.25">
      <c r="A58" s="35"/>
      <c r="B58" s="13" t="str">
        <f>CONCATENATE("          ","6307", " - ","POSTAGE")</f>
        <v xml:space="preserve">          6307 - POSTAGE</v>
      </c>
      <c r="C58" s="15"/>
      <c r="D58" s="2">
        <v>84</v>
      </c>
      <c r="E58" s="2">
        <v>168.6</v>
      </c>
      <c r="F58" s="2">
        <v>140.93</v>
      </c>
      <c r="G58" s="2">
        <v>198.03</v>
      </c>
      <c r="H58" s="2">
        <v>198</v>
      </c>
      <c r="I58" s="2">
        <v>198</v>
      </c>
      <c r="J58" s="2">
        <v>198</v>
      </c>
      <c r="K58" s="2">
        <v>198</v>
      </c>
      <c r="L58" s="2">
        <v>198</v>
      </c>
      <c r="M58" s="2">
        <v>198</v>
      </c>
      <c r="N58" s="2">
        <v>198</v>
      </c>
      <c r="O58" s="2">
        <v>202</v>
      </c>
      <c r="P58" s="9"/>
      <c r="Q58" s="2">
        <f>SUM(OSRRefD21_9_1x)+IFERROR(SUM(OSRRefE21_9_1x),0)</f>
        <v>2179.56</v>
      </c>
    </row>
    <row r="59" spans="1:17" s="34" customFormat="1" collapsed="1" x14ac:dyDescent="0.25">
      <c r="A59" s="35"/>
      <c r="B59" s="15" t="str">
        <f>CONCATENATE("     ","General                                           ")</f>
        <v xml:space="preserve">     General                                           </v>
      </c>
      <c r="C59" s="15"/>
      <c r="D59" s="1">
        <f>SUM(OSRRefD21_10x_0)</f>
        <v>0</v>
      </c>
      <c r="E59" s="1">
        <f>SUM(OSRRefD21_10x_1)</f>
        <v>-684</v>
      </c>
      <c r="F59" s="1">
        <f>SUM(OSRRefD21_10x_2)</f>
        <v>850.54</v>
      </c>
      <c r="G59" s="1">
        <f>SUM(OSRRefD21_10x_3)</f>
        <v>0</v>
      </c>
      <c r="H59" s="1">
        <f>SUM(OSRRefE21_10x_0)</f>
        <v>183</v>
      </c>
      <c r="I59" s="1">
        <f>SUM(OSRRefE21_10x_1)</f>
        <v>1183</v>
      </c>
      <c r="J59" s="1">
        <f>SUM(OSRRefE21_10x_2)</f>
        <v>333</v>
      </c>
      <c r="K59" s="1">
        <f>SUM(OSRRefE21_10x_3)</f>
        <v>333</v>
      </c>
      <c r="L59" s="1">
        <f>SUM(OSRRefE21_10x_4)</f>
        <v>683</v>
      </c>
      <c r="M59" s="1">
        <f>SUM(OSRRefE21_10x_5)</f>
        <v>333</v>
      </c>
      <c r="N59" s="1">
        <f>SUM(OSRRefE21_10x_6)</f>
        <v>333</v>
      </c>
      <c r="O59" s="1">
        <f>SUM(OSRRefE21_10x_7)</f>
        <v>1337</v>
      </c>
      <c r="Q59" s="2">
        <f>SUM(OSRRefD20_10x)+IFERROR(SUM(OSRRefE20_10x),0)</f>
        <v>4884.54</v>
      </c>
    </row>
    <row r="60" spans="1:17" s="34" customFormat="1" hidden="1" outlineLevel="1" x14ac:dyDescent="0.25">
      <c r="A60" s="35"/>
      <c r="B60" s="13" t="str">
        <f>CONCATENATE("          ","6279", " - ","GENERAL EXPENSE")</f>
        <v xml:space="preserve">          6279 - GENERAL EXPENSE</v>
      </c>
      <c r="C60" s="15"/>
      <c r="D60" s="2"/>
      <c r="E60" s="2">
        <v>-684</v>
      </c>
      <c r="F60" s="2">
        <v>850.54</v>
      </c>
      <c r="G60" s="2"/>
      <c r="H60" s="2">
        <v>183</v>
      </c>
      <c r="I60" s="2">
        <v>1183</v>
      </c>
      <c r="J60" s="2">
        <v>333</v>
      </c>
      <c r="K60" s="2">
        <v>333</v>
      </c>
      <c r="L60" s="2">
        <v>683</v>
      </c>
      <c r="M60" s="2">
        <v>333</v>
      </c>
      <c r="N60" s="2">
        <v>333</v>
      </c>
      <c r="O60" s="2">
        <v>1337</v>
      </c>
      <c r="P60" s="9"/>
      <c r="Q60" s="2">
        <f>SUM(OSRRefD21_10_0x)+IFERROR(SUM(OSRRefE21_10_0x),0)</f>
        <v>4884.54</v>
      </c>
    </row>
    <row r="61" spans="1:17" s="34" customFormat="1" collapsed="1" x14ac:dyDescent="0.25">
      <c r="A61" s="35"/>
      <c r="B61" s="15" t="str">
        <f>CONCATENATE("     ","Insurance                                         ")</f>
        <v xml:space="preserve">     Insurance                                         </v>
      </c>
      <c r="C61" s="15"/>
      <c r="D61" s="1">
        <f>SUM(OSRRefD21_11x_0)</f>
        <v>393.67</v>
      </c>
      <c r="E61" s="1">
        <f>SUM(OSRRefD21_11x_1)</f>
        <v>393.67</v>
      </c>
      <c r="F61" s="1">
        <f>SUM(OSRRefD21_11x_2)</f>
        <v>393.67</v>
      </c>
      <c r="G61" s="1">
        <f>SUM(OSRRefD21_11x_3)</f>
        <v>393.67</v>
      </c>
      <c r="H61" s="1">
        <f>SUM(OSRRefE21_11x_0)</f>
        <v>422</v>
      </c>
      <c r="I61" s="1">
        <f>SUM(OSRRefE21_11x_1)</f>
        <v>422</v>
      </c>
      <c r="J61" s="1">
        <f>SUM(OSRRefE21_11x_2)</f>
        <v>422</v>
      </c>
      <c r="K61" s="1">
        <f>SUM(OSRRefE21_11x_3)</f>
        <v>422</v>
      </c>
      <c r="L61" s="1">
        <f>SUM(OSRRefE21_11x_4)</f>
        <v>422</v>
      </c>
      <c r="M61" s="1">
        <f>SUM(OSRRefE21_11x_5)</f>
        <v>422</v>
      </c>
      <c r="N61" s="1">
        <f>SUM(OSRRefE21_11x_6)</f>
        <v>422</v>
      </c>
      <c r="O61" s="1">
        <f>SUM(OSRRefE21_11x_7)</f>
        <v>422</v>
      </c>
      <c r="Q61" s="2">
        <f>SUM(OSRRefD20_11x)+IFERROR(SUM(OSRRefE20_11x),0)</f>
        <v>4950.68</v>
      </c>
    </row>
    <row r="62" spans="1:17" s="34" customFormat="1" hidden="1" outlineLevel="1" x14ac:dyDescent="0.25">
      <c r="A62" s="35"/>
      <c r="B62" s="13" t="str">
        <f>CONCATENATE("          ","6314", " - ","LIABILITY INSURANCE")</f>
        <v xml:space="preserve">          6314 - LIABILITY INSURANCE</v>
      </c>
      <c r="C62" s="15"/>
      <c r="D62" s="2">
        <v>393.67</v>
      </c>
      <c r="E62" s="2">
        <v>393.67</v>
      </c>
      <c r="F62" s="2">
        <v>393.67</v>
      </c>
      <c r="G62" s="2">
        <v>393.67</v>
      </c>
      <c r="H62" s="2">
        <v>422</v>
      </c>
      <c r="I62" s="2">
        <v>422</v>
      </c>
      <c r="J62" s="2">
        <v>422</v>
      </c>
      <c r="K62" s="2">
        <v>422</v>
      </c>
      <c r="L62" s="2">
        <v>422</v>
      </c>
      <c r="M62" s="2">
        <v>422</v>
      </c>
      <c r="N62" s="2">
        <v>422</v>
      </c>
      <c r="O62" s="2">
        <v>422</v>
      </c>
      <c r="P62" s="9"/>
      <c r="Q62" s="2">
        <f>SUM(OSRRefD21_11_0x)+IFERROR(SUM(OSRRefE21_11_0x),0)</f>
        <v>4950.68</v>
      </c>
    </row>
    <row r="63" spans="1:17" s="34" customFormat="1" collapsed="1" x14ac:dyDescent="0.25">
      <c r="A63" s="35"/>
      <c r="B63" s="15" t="str">
        <f>CONCATENATE("     ","Professional Services                             ")</f>
        <v xml:space="preserve">     Professional Services                             </v>
      </c>
      <c r="C63" s="15"/>
      <c r="D63" s="1">
        <f>SUM(OSRRefD21_12x_0)</f>
        <v>1755</v>
      </c>
      <c r="E63" s="1">
        <f>SUM(OSRRefD21_12x_1)</f>
        <v>12982.84</v>
      </c>
      <c r="F63" s="1">
        <f>SUM(OSRRefD21_12x_2)</f>
        <v>9079.17</v>
      </c>
      <c r="G63" s="1">
        <f>SUM(OSRRefD21_12x_3)</f>
        <v>29955.7</v>
      </c>
      <c r="H63" s="1">
        <f>SUM(OSRRefE21_12x_0)</f>
        <v>42733</v>
      </c>
      <c r="I63" s="1">
        <f>SUM(OSRRefE21_12x_1)</f>
        <v>8233</v>
      </c>
      <c r="J63" s="1">
        <f>SUM(OSRRefE21_12x_2)</f>
        <v>15733</v>
      </c>
      <c r="K63" s="1">
        <f>SUM(OSRRefE21_12x_3)</f>
        <v>3733</v>
      </c>
      <c r="L63" s="1">
        <f>SUM(OSRRefE21_12x_4)</f>
        <v>12233</v>
      </c>
      <c r="M63" s="1">
        <f>SUM(OSRRefE21_12x_5)</f>
        <v>15733</v>
      </c>
      <c r="N63" s="1">
        <f>SUM(OSRRefE21_12x_6)</f>
        <v>3233</v>
      </c>
      <c r="O63" s="1">
        <f>SUM(OSRRefE21_12x_7)</f>
        <v>2237</v>
      </c>
      <c r="Q63" s="2">
        <f>SUM(OSRRefD20_12x)+IFERROR(SUM(OSRRefE20_12x),0)</f>
        <v>157640.71000000002</v>
      </c>
    </row>
    <row r="64" spans="1:17" s="34" customFormat="1" hidden="1" outlineLevel="1" x14ac:dyDescent="0.25">
      <c r="A64" s="35"/>
      <c r="B64" s="13" t="str">
        <f>CONCATENATE("          ","6331", " - ","INDIRECT COSTS-AUXILIARY ORGAN")</f>
        <v xml:space="preserve">          6331 - INDIRECT COSTS-AUXILIARY ORGAN</v>
      </c>
      <c r="C64" s="15"/>
      <c r="D64" s="2"/>
      <c r="E64" s="2">
        <v>11585.75</v>
      </c>
      <c r="F64" s="2">
        <v>8500</v>
      </c>
      <c r="G64" s="2">
        <v>26585.75</v>
      </c>
      <c r="H64" s="2">
        <v>19000</v>
      </c>
      <c r="I64" s="2">
        <v>3000</v>
      </c>
      <c r="J64" s="2">
        <v>13500</v>
      </c>
      <c r="K64" s="2"/>
      <c r="L64" s="2"/>
      <c r="M64" s="2">
        <v>13500</v>
      </c>
      <c r="N64" s="2"/>
      <c r="O64" s="2"/>
      <c r="P64" s="9"/>
      <c r="Q64" s="2">
        <f>SUM(OSRRefD21_12_0x)+IFERROR(SUM(OSRRefE21_12_0x),0)</f>
        <v>95671.5</v>
      </c>
    </row>
    <row r="65" spans="1:17" s="34" customFormat="1" hidden="1" outlineLevel="1" x14ac:dyDescent="0.25">
      <c r="A65" s="35"/>
      <c r="B65" s="13" t="str">
        <f>CONCATENATE("          ","6332", " - ","CONSULTANT FEES")</f>
        <v xml:space="preserve">          6332 - CONSULTANT FEES</v>
      </c>
      <c r="C65" s="15"/>
      <c r="D65" s="2"/>
      <c r="E65" s="2"/>
      <c r="F65" s="2"/>
      <c r="G65" s="2"/>
      <c r="H65" s="2">
        <v>15150</v>
      </c>
      <c r="I65" s="2">
        <v>3150</v>
      </c>
      <c r="J65" s="2">
        <v>150</v>
      </c>
      <c r="K65" s="2">
        <v>150</v>
      </c>
      <c r="L65" s="2">
        <v>10150</v>
      </c>
      <c r="M65" s="2">
        <v>150</v>
      </c>
      <c r="N65" s="2">
        <v>150</v>
      </c>
      <c r="O65" s="2">
        <v>150</v>
      </c>
      <c r="P65" s="9"/>
      <c r="Q65" s="2">
        <f>SUM(OSRRefD21_12_1x)+IFERROR(SUM(OSRRefE21_12_1x),0)</f>
        <v>29200</v>
      </c>
    </row>
    <row r="66" spans="1:17" s="34" customFormat="1" hidden="1" outlineLevel="1" x14ac:dyDescent="0.25">
      <c r="A66" s="35"/>
      <c r="B66" s="13" t="str">
        <f>CONCATENATE("          ","6334", " - ","LEGAL COUNCIL EXPENSE")</f>
        <v xml:space="preserve">          6334 - LEGAL COUNCIL EXPENSE</v>
      </c>
      <c r="C66" s="15"/>
      <c r="D66" s="2">
        <v>100</v>
      </c>
      <c r="E66" s="2">
        <v>1050</v>
      </c>
      <c r="F66" s="2"/>
      <c r="G66" s="2">
        <v>1665</v>
      </c>
      <c r="H66" s="2">
        <v>2333</v>
      </c>
      <c r="I66" s="2">
        <v>833</v>
      </c>
      <c r="J66" s="2">
        <v>833</v>
      </c>
      <c r="K66" s="2">
        <v>2333</v>
      </c>
      <c r="L66" s="2">
        <v>833</v>
      </c>
      <c r="M66" s="2">
        <v>833</v>
      </c>
      <c r="N66" s="2">
        <v>1833</v>
      </c>
      <c r="O66" s="2">
        <v>837</v>
      </c>
      <c r="P66" s="9"/>
      <c r="Q66" s="2">
        <f>SUM(OSRRefD21_12_2x)+IFERROR(SUM(OSRRefE21_12_2x),0)</f>
        <v>13483</v>
      </c>
    </row>
    <row r="67" spans="1:17" s="34" customFormat="1" hidden="1" outlineLevel="1" x14ac:dyDescent="0.25">
      <c r="A67" s="35"/>
      <c r="B67" s="13" t="str">
        <f>CONCATENATE("          ","6336", " - ","PROFESSIONAL SERVICES")</f>
        <v xml:space="preserve">          6336 - PROFESSIONAL SERVICES</v>
      </c>
      <c r="C67" s="15"/>
      <c r="D67" s="2">
        <v>1655</v>
      </c>
      <c r="E67" s="2">
        <v>347.09</v>
      </c>
      <c r="F67" s="2">
        <v>579.16999999999996</v>
      </c>
      <c r="G67" s="2">
        <v>1704.95</v>
      </c>
      <c r="H67" s="2">
        <v>6250</v>
      </c>
      <c r="I67" s="2">
        <v>1250</v>
      </c>
      <c r="J67" s="2">
        <v>1250</v>
      </c>
      <c r="K67" s="2">
        <v>1250</v>
      </c>
      <c r="L67" s="2">
        <v>1250</v>
      </c>
      <c r="M67" s="2">
        <v>1250</v>
      </c>
      <c r="N67" s="2">
        <v>1250</v>
      </c>
      <c r="O67" s="2">
        <v>1250</v>
      </c>
      <c r="P67" s="9"/>
      <c r="Q67" s="2">
        <f>SUM(OSRRefD21_12_3x)+IFERROR(SUM(OSRRefE21_12_3x),0)</f>
        <v>19286.21</v>
      </c>
    </row>
    <row r="68" spans="1:17" s="34" customFormat="1" collapsed="1" x14ac:dyDescent="0.25">
      <c r="A68" s="35"/>
      <c r="B68" s="15" t="str">
        <f>CONCATENATE("     ","Repair and Maintenance                            ")</f>
        <v xml:space="preserve">     Repair and Maintenance                            </v>
      </c>
      <c r="C68" s="15"/>
      <c r="D68" s="1">
        <f>SUM(OSRRefD21_13x_0)</f>
        <v>20807.009999999998</v>
      </c>
      <c r="E68" s="1">
        <f>SUM(OSRRefD21_13x_1)</f>
        <v>19368.66</v>
      </c>
      <c r="F68" s="1">
        <f>SUM(OSRRefD21_13x_2)</f>
        <v>16226.789999999999</v>
      </c>
      <c r="G68" s="1">
        <f>SUM(OSRRefD21_13x_3)</f>
        <v>23159.67</v>
      </c>
      <c r="H68" s="1">
        <f>SUM(OSRRefE21_13x_0)</f>
        <v>26402</v>
      </c>
      <c r="I68" s="1">
        <f>SUM(OSRRefE21_13x_1)</f>
        <v>30852</v>
      </c>
      <c r="J68" s="1">
        <f>SUM(OSRRefE21_13x_2)</f>
        <v>26402</v>
      </c>
      <c r="K68" s="1">
        <f>SUM(OSRRefE21_13x_3)</f>
        <v>37702</v>
      </c>
      <c r="L68" s="1">
        <f>SUM(OSRRefE21_13x_4)</f>
        <v>41502</v>
      </c>
      <c r="M68" s="1">
        <f>SUM(OSRRefE21_13x_5)</f>
        <v>31402</v>
      </c>
      <c r="N68" s="1">
        <f>SUM(OSRRefE21_13x_6)</f>
        <v>26402</v>
      </c>
      <c r="O68" s="1">
        <f>SUM(OSRRefE21_13x_7)</f>
        <v>28996</v>
      </c>
      <c r="Q68" s="2">
        <f>SUM(OSRRefD20_13x)+IFERROR(SUM(OSRRefE20_13x),0)</f>
        <v>329222.13</v>
      </c>
    </row>
    <row r="69" spans="1:17" s="34" customFormat="1" hidden="1" outlineLevel="1" x14ac:dyDescent="0.25">
      <c r="A69" s="35"/>
      <c r="B69" s="13" t="str">
        <f>CONCATENATE("          ","6371", " - ","COMPUTER SOFTWARE MAINTENANCE")</f>
        <v xml:space="preserve">          6371 - COMPUTER SOFTWARE MAINTENANCE</v>
      </c>
      <c r="C69" s="15"/>
      <c r="D69" s="2">
        <v>4532.2</v>
      </c>
      <c r="E69" s="2">
        <v>3945.66</v>
      </c>
      <c r="F69" s="2">
        <v>3663.15</v>
      </c>
      <c r="G69" s="2">
        <v>6844.26</v>
      </c>
      <c r="H69" s="2">
        <v>8470</v>
      </c>
      <c r="I69" s="2">
        <v>8470</v>
      </c>
      <c r="J69" s="2">
        <v>8470</v>
      </c>
      <c r="K69" s="2">
        <v>19770</v>
      </c>
      <c r="L69" s="2">
        <v>23570</v>
      </c>
      <c r="M69" s="2">
        <v>13470</v>
      </c>
      <c r="N69" s="2">
        <v>8470</v>
      </c>
      <c r="O69" s="2">
        <v>8470</v>
      </c>
      <c r="P69" s="9"/>
      <c r="Q69" s="2">
        <f>SUM(OSRRefD21_13_0x)+IFERROR(SUM(OSRRefE21_13_0x),0)</f>
        <v>118145.27</v>
      </c>
    </row>
    <row r="70" spans="1:17" s="34" customFormat="1" hidden="1" outlineLevel="1" x14ac:dyDescent="0.25">
      <c r="A70" s="35"/>
      <c r="B70" s="13" t="str">
        <f>CONCATENATE("          ","6372", " - ","COMPUTER HARDWARE MAINTENANCE")</f>
        <v xml:space="preserve">          6372 - COMPUTER HARDWARE MAINTENANCE</v>
      </c>
      <c r="C70" s="15"/>
      <c r="D70" s="2"/>
      <c r="E70" s="2"/>
      <c r="F70" s="2"/>
      <c r="G70" s="2"/>
      <c r="H70" s="2">
        <v>1600</v>
      </c>
      <c r="I70" s="2">
        <v>1600</v>
      </c>
      <c r="J70" s="2">
        <v>1600</v>
      </c>
      <c r="K70" s="2">
        <v>1600</v>
      </c>
      <c r="L70" s="2">
        <v>1600</v>
      </c>
      <c r="M70" s="2">
        <v>1600</v>
      </c>
      <c r="N70" s="2">
        <v>1600</v>
      </c>
      <c r="O70" s="2">
        <v>4200</v>
      </c>
      <c r="P70" s="9"/>
      <c r="Q70" s="2">
        <f>SUM(OSRRefD21_13_1x)+IFERROR(SUM(OSRRefE21_13_1x),0)</f>
        <v>15400</v>
      </c>
    </row>
    <row r="71" spans="1:17" s="34" customFormat="1" hidden="1" outlineLevel="1" x14ac:dyDescent="0.25">
      <c r="A71" s="35"/>
      <c r="B71" s="13" t="str">
        <f>CONCATENATE("          ","6373", " - ","MAINTENANCE CONTRACTS")</f>
        <v xml:space="preserve">          6373 - MAINTENANCE CONTRACTS</v>
      </c>
      <c r="C71" s="15"/>
      <c r="D71" s="2">
        <v>15455.62</v>
      </c>
      <c r="E71" s="2">
        <v>15423</v>
      </c>
      <c r="F71" s="2">
        <v>12563.64</v>
      </c>
      <c r="G71" s="2">
        <v>15449.409999999998</v>
      </c>
      <c r="H71" s="2">
        <v>16332</v>
      </c>
      <c r="I71" s="2">
        <v>20782</v>
      </c>
      <c r="J71" s="2">
        <v>16332</v>
      </c>
      <c r="K71" s="2">
        <v>16332</v>
      </c>
      <c r="L71" s="2">
        <v>16332</v>
      </c>
      <c r="M71" s="2">
        <v>16332</v>
      </c>
      <c r="N71" s="2">
        <v>16332</v>
      </c>
      <c r="O71" s="2">
        <v>16326</v>
      </c>
      <c r="P71" s="9"/>
      <c r="Q71" s="2">
        <f>SUM(OSRRefD21_13_2x)+IFERROR(SUM(OSRRefE21_13_2x),0)</f>
        <v>193991.66999999998</v>
      </c>
    </row>
    <row r="72" spans="1:17" s="34" customFormat="1" hidden="1" outlineLevel="1" x14ac:dyDescent="0.25">
      <c r="A72" s="35"/>
      <c r="B72" s="13" t="str">
        <f>CONCATENATE("          ","6375", " - ","OUTSIDE REPAIRS &amp; MAINTENANCE")</f>
        <v xml:space="preserve">          6375 - OUTSIDE REPAIRS &amp; MAINTENANCE</v>
      </c>
      <c r="C72" s="15"/>
      <c r="D72" s="2">
        <v>819.19</v>
      </c>
      <c r="E72" s="2"/>
      <c r="F72" s="2"/>
      <c r="G72" s="2">
        <v>866</v>
      </c>
      <c r="H72" s="2"/>
      <c r="I72" s="2"/>
      <c r="J72" s="2"/>
      <c r="K72" s="2"/>
      <c r="L72" s="2"/>
      <c r="M72" s="2"/>
      <c r="N72" s="2"/>
      <c r="O72" s="2"/>
      <c r="P72" s="9"/>
      <c r="Q72" s="2">
        <f>SUM(OSRRefD21_13_3x)+IFERROR(SUM(OSRRefE21_13_3x),0)</f>
        <v>1685.19</v>
      </c>
    </row>
    <row r="73" spans="1:17" s="34" customFormat="1" collapsed="1" x14ac:dyDescent="0.25">
      <c r="A73" s="35"/>
      <c r="B73" s="15" t="str">
        <f>CONCATENATE("     ","Services                                          ")</f>
        <v xml:space="preserve">     Services                                          </v>
      </c>
      <c r="C73" s="15"/>
      <c r="D73" s="1">
        <f>SUM(OSRRefD21_14x_0)</f>
        <v>512.48</v>
      </c>
      <c r="E73" s="1">
        <f>SUM(OSRRefD21_14x_1)</f>
        <v>0</v>
      </c>
      <c r="F73" s="1">
        <f>SUM(OSRRefD21_14x_2)</f>
        <v>512.48</v>
      </c>
      <c r="G73" s="1">
        <f>SUM(OSRRefD21_14x_3)</f>
        <v>1024.96</v>
      </c>
      <c r="H73" s="1">
        <f>SUM(OSRRefE21_14x_0)</f>
        <v>537</v>
      </c>
      <c r="I73" s="1">
        <f>SUM(OSRRefE21_14x_1)</f>
        <v>537</v>
      </c>
      <c r="J73" s="1">
        <f>SUM(OSRRefE21_14x_2)</f>
        <v>537</v>
      </c>
      <c r="K73" s="1">
        <f>SUM(OSRRefE21_14x_3)</f>
        <v>537</v>
      </c>
      <c r="L73" s="1">
        <f>SUM(OSRRefE21_14x_4)</f>
        <v>537</v>
      </c>
      <c r="M73" s="1">
        <f>SUM(OSRRefE21_14x_5)</f>
        <v>537</v>
      </c>
      <c r="N73" s="1">
        <f>SUM(OSRRefE21_14x_6)</f>
        <v>537</v>
      </c>
      <c r="O73" s="1">
        <f>SUM(OSRRefE21_14x_7)</f>
        <v>537</v>
      </c>
      <c r="Q73" s="2">
        <f>SUM(OSRRefD20_14x)+IFERROR(SUM(OSRRefE20_14x),0)</f>
        <v>6345.92</v>
      </c>
    </row>
    <row r="74" spans="1:17" s="34" customFormat="1" hidden="1" outlineLevel="1" x14ac:dyDescent="0.25">
      <c r="A74" s="35"/>
      <c r="B74" s="13" t="str">
        <f>CONCATENATE("          ","6281", " - ","STORAGE FEE")</f>
        <v xml:space="preserve">          6281 - STORAGE FEE</v>
      </c>
      <c r="C74" s="15"/>
      <c r="D74" s="2">
        <v>512.48</v>
      </c>
      <c r="E74" s="2"/>
      <c r="F74" s="2">
        <v>512.48</v>
      </c>
      <c r="G74" s="2">
        <v>1024.96</v>
      </c>
      <c r="H74" s="2">
        <v>512</v>
      </c>
      <c r="I74" s="2">
        <v>512</v>
      </c>
      <c r="J74" s="2">
        <v>512</v>
      </c>
      <c r="K74" s="2">
        <v>512</v>
      </c>
      <c r="L74" s="2">
        <v>512</v>
      </c>
      <c r="M74" s="2">
        <v>512</v>
      </c>
      <c r="N74" s="2">
        <v>512</v>
      </c>
      <c r="O74" s="2">
        <v>512</v>
      </c>
      <c r="P74" s="9"/>
      <c r="Q74" s="2">
        <f>SUM(OSRRefD21_14_0x)+IFERROR(SUM(OSRRefE21_14_0x),0)</f>
        <v>6145.92</v>
      </c>
    </row>
    <row r="75" spans="1:17" s="34" customFormat="1" hidden="1" outlineLevel="1" x14ac:dyDescent="0.25">
      <c r="A75" s="35"/>
      <c r="B75" s="13" t="str">
        <f>CONCATENATE("          ","6286", " - ","LAUNDRY EXPENSE")</f>
        <v xml:space="preserve">          6286 - LAUNDRY EXPENSE</v>
      </c>
      <c r="C75" s="15"/>
      <c r="D75" s="2"/>
      <c r="E75" s="2"/>
      <c r="F75" s="2"/>
      <c r="G75" s="2"/>
      <c r="H75" s="2">
        <v>25</v>
      </c>
      <c r="I75" s="2">
        <v>25</v>
      </c>
      <c r="J75" s="2">
        <v>25</v>
      </c>
      <c r="K75" s="2">
        <v>25</v>
      </c>
      <c r="L75" s="2">
        <v>25</v>
      </c>
      <c r="M75" s="2">
        <v>25</v>
      </c>
      <c r="N75" s="2">
        <v>25</v>
      </c>
      <c r="O75" s="2">
        <v>25</v>
      </c>
      <c r="P75" s="9"/>
      <c r="Q75" s="2">
        <f>SUM(OSRRefD21_14_1x)+IFERROR(SUM(OSRRefE21_14_1x),0)</f>
        <v>200</v>
      </c>
    </row>
    <row r="76" spans="1:17" s="34" customFormat="1" collapsed="1" x14ac:dyDescent="0.25">
      <c r="A76" s="35"/>
      <c r="B76" s="15" t="str">
        <f>CONCATENATE("     ","Subscriptions &amp; Dues                              ")</f>
        <v xml:space="preserve">     Subscriptions &amp; Dues                              </v>
      </c>
      <c r="C76" s="15"/>
      <c r="D76" s="1">
        <f>SUM(OSRRefD21_15x_0)</f>
        <v>0</v>
      </c>
      <c r="E76" s="1">
        <f>SUM(OSRRefD21_15x_1)</f>
        <v>1725</v>
      </c>
      <c r="F76" s="1">
        <f>SUM(OSRRefD21_15x_2)</f>
        <v>0</v>
      </c>
      <c r="G76" s="1">
        <f>SUM(OSRRefD21_15x_3)</f>
        <v>534.99</v>
      </c>
      <c r="H76" s="1">
        <f>SUM(OSRRefE21_15x_0)</f>
        <v>155</v>
      </c>
      <c r="I76" s="1">
        <f>SUM(OSRRefE21_15x_1)</f>
        <v>155</v>
      </c>
      <c r="J76" s="1">
        <f>SUM(OSRRefE21_15x_2)</f>
        <v>155</v>
      </c>
      <c r="K76" s="1">
        <f>SUM(OSRRefE21_15x_3)</f>
        <v>155</v>
      </c>
      <c r="L76" s="1">
        <f>SUM(OSRRefE21_15x_4)</f>
        <v>155</v>
      </c>
      <c r="M76" s="1">
        <f>SUM(OSRRefE21_15x_5)</f>
        <v>4655</v>
      </c>
      <c r="N76" s="1">
        <f>SUM(OSRRefE21_15x_6)</f>
        <v>1855</v>
      </c>
      <c r="O76" s="1">
        <f>SUM(OSRRefE21_15x_7)</f>
        <v>1652</v>
      </c>
      <c r="Q76" s="2">
        <f>SUM(OSRRefD20_15x)+IFERROR(SUM(OSRRefE20_15x),0)</f>
        <v>11196.99</v>
      </c>
    </row>
    <row r="77" spans="1:17" s="34" customFormat="1" hidden="1" outlineLevel="1" x14ac:dyDescent="0.25">
      <c r="A77" s="35"/>
      <c r="B77" s="13" t="str">
        <f>CONCATENATE("          ","6258", " - ","MEMBERSHIP DUES")</f>
        <v xml:space="preserve">          6258 - MEMBERSHIP DUES</v>
      </c>
      <c r="C77" s="15"/>
      <c r="D77" s="2"/>
      <c r="E77" s="2">
        <v>1725</v>
      </c>
      <c r="F77" s="2"/>
      <c r="G77" s="2">
        <v>534.99</v>
      </c>
      <c r="H77" s="2">
        <v>55</v>
      </c>
      <c r="I77" s="2">
        <v>55</v>
      </c>
      <c r="J77" s="2">
        <v>55</v>
      </c>
      <c r="K77" s="2">
        <v>55</v>
      </c>
      <c r="L77" s="2">
        <v>55</v>
      </c>
      <c r="M77" s="2">
        <v>4555</v>
      </c>
      <c r="N77" s="2">
        <v>1755</v>
      </c>
      <c r="O77" s="2">
        <v>1552</v>
      </c>
      <c r="P77" s="9"/>
      <c r="Q77" s="2">
        <f>SUM(OSRRefD21_15_0x)+IFERROR(SUM(OSRRefE21_15_0x),0)</f>
        <v>10396.99</v>
      </c>
    </row>
    <row r="78" spans="1:17" s="34" customFormat="1" hidden="1" outlineLevel="1" x14ac:dyDescent="0.25">
      <c r="A78" s="35"/>
      <c r="B78" s="13" t="str">
        <f>CONCATENATE("          ","6275", " - ","SUBSCRIPTIONS")</f>
        <v xml:space="preserve">          6275 - SUBSCRIPTIONS</v>
      </c>
      <c r="C78" s="15"/>
      <c r="D78" s="2"/>
      <c r="E78" s="2"/>
      <c r="F78" s="2"/>
      <c r="G78" s="2"/>
      <c r="H78" s="2">
        <v>100</v>
      </c>
      <c r="I78" s="2">
        <v>100</v>
      </c>
      <c r="J78" s="2">
        <v>100</v>
      </c>
      <c r="K78" s="2">
        <v>100</v>
      </c>
      <c r="L78" s="2">
        <v>100</v>
      </c>
      <c r="M78" s="2">
        <v>100</v>
      </c>
      <c r="N78" s="2">
        <v>100</v>
      </c>
      <c r="O78" s="2">
        <v>100</v>
      </c>
      <c r="P78" s="9"/>
      <c r="Q78" s="2">
        <f>SUM(OSRRefD21_15_1x)+IFERROR(SUM(OSRRefE21_15_1x),0)</f>
        <v>800</v>
      </c>
    </row>
    <row r="79" spans="1:17" s="34" customFormat="1" collapsed="1" x14ac:dyDescent="0.25">
      <c r="A79" s="35"/>
      <c r="B79" s="15" t="str">
        <f>CONCATENATE("     ","Supplies                                          ")</f>
        <v xml:space="preserve">     Supplies                                          </v>
      </c>
      <c r="C79" s="15"/>
      <c r="D79" s="1">
        <f>SUM(OSRRefD21_16x_0)</f>
        <v>1098.79</v>
      </c>
      <c r="E79" s="1">
        <f>SUM(OSRRefD21_16x_1)</f>
        <v>584.02</v>
      </c>
      <c r="F79" s="1">
        <f>SUM(OSRRefD21_16x_2)</f>
        <v>-4127.33</v>
      </c>
      <c r="G79" s="1">
        <f>SUM(OSRRefD21_16x_3)</f>
        <v>482.82</v>
      </c>
      <c r="H79" s="1">
        <f>SUM(OSRRefE21_16x_0)</f>
        <v>4367</v>
      </c>
      <c r="I79" s="1">
        <f>SUM(OSRRefE21_16x_1)</f>
        <v>4867</v>
      </c>
      <c r="J79" s="1">
        <f>SUM(OSRRefE21_16x_2)</f>
        <v>4367</v>
      </c>
      <c r="K79" s="1">
        <f>SUM(OSRRefE21_16x_3)</f>
        <v>4367</v>
      </c>
      <c r="L79" s="1">
        <f>SUM(OSRRefE21_16x_4)</f>
        <v>4867</v>
      </c>
      <c r="M79" s="1">
        <f>SUM(OSRRefE21_16x_5)</f>
        <v>4367</v>
      </c>
      <c r="N79" s="1">
        <f>SUM(OSRRefE21_16x_6)</f>
        <v>4367</v>
      </c>
      <c r="O79" s="1">
        <f>SUM(OSRRefE21_16x_7)</f>
        <v>4863</v>
      </c>
      <c r="Q79" s="2">
        <f>SUM(OSRRefD20_16x)+IFERROR(SUM(OSRRefE20_16x),0)</f>
        <v>34470.300000000003</v>
      </c>
    </row>
    <row r="80" spans="1:17" s="34" customFormat="1" hidden="1" outlineLevel="1" x14ac:dyDescent="0.25">
      <c r="A80" s="35"/>
      <c r="B80" s="13" t="str">
        <f>CONCATENATE("          ","6234", " - ","EXPENDABLE SUPPLIES &amp; EQUIPMEN")</f>
        <v xml:space="preserve">          6234 - EXPENDABLE SUPPLIES &amp; EQUIPMEN</v>
      </c>
      <c r="C80" s="15"/>
      <c r="D80" s="2"/>
      <c r="E80" s="2"/>
      <c r="F80" s="2"/>
      <c r="G80" s="2"/>
      <c r="H80" s="2">
        <v>1000</v>
      </c>
      <c r="I80" s="2">
        <v>1000</v>
      </c>
      <c r="J80" s="2">
        <v>1000</v>
      </c>
      <c r="K80" s="2">
        <v>1000</v>
      </c>
      <c r="L80" s="2">
        <v>1000</v>
      </c>
      <c r="M80" s="2">
        <v>1000</v>
      </c>
      <c r="N80" s="2">
        <v>1000</v>
      </c>
      <c r="O80" s="2">
        <v>1000</v>
      </c>
      <c r="P80" s="9"/>
      <c r="Q80" s="2">
        <f>SUM(OSRRefD21_16_0x)+IFERROR(SUM(OSRRefE21_16_0x),0)</f>
        <v>8000</v>
      </c>
    </row>
    <row r="81" spans="1:17" s="34" customFormat="1" hidden="1" outlineLevel="1" x14ac:dyDescent="0.25">
      <c r="A81" s="35"/>
      <c r="B81" s="13" t="str">
        <f>CONCATENATE("          ","6235", " - ","COVID-19 EXPENSES")</f>
        <v xml:space="preserve">          6235 - COVID-19 EXPENSES</v>
      </c>
      <c r="C81" s="15"/>
      <c r="D81" s="2">
        <v>744.18</v>
      </c>
      <c r="E81" s="2"/>
      <c r="F81" s="2"/>
      <c r="G81" s="2"/>
      <c r="H81" s="2">
        <v>417</v>
      </c>
      <c r="I81" s="2">
        <v>917</v>
      </c>
      <c r="J81" s="2">
        <v>417</v>
      </c>
      <c r="K81" s="2">
        <v>417</v>
      </c>
      <c r="L81" s="2">
        <v>917</v>
      </c>
      <c r="M81" s="2">
        <v>417</v>
      </c>
      <c r="N81" s="2">
        <v>417</v>
      </c>
      <c r="O81" s="2">
        <v>913</v>
      </c>
      <c r="P81" s="9"/>
      <c r="Q81" s="2">
        <f>SUM(OSRRefD21_16_1x)+IFERROR(SUM(OSRRefE21_16_1x),0)</f>
        <v>5576.18</v>
      </c>
    </row>
    <row r="82" spans="1:17" s="34" customFormat="1" hidden="1" outlineLevel="1" x14ac:dyDescent="0.25">
      <c r="A82" s="35"/>
      <c r="B82" s="13" t="str">
        <f>CONCATENATE("          ","6241", " - ","OFFICE EXPENSE")</f>
        <v xml:space="preserve">          6241 - OFFICE EXPENSE</v>
      </c>
      <c r="C82" s="15"/>
      <c r="D82" s="2">
        <v>252.94</v>
      </c>
      <c r="E82" s="2">
        <v>537.98</v>
      </c>
      <c r="F82" s="2">
        <v>-4177.33</v>
      </c>
      <c r="G82" s="2">
        <v>457.82</v>
      </c>
      <c r="H82" s="2">
        <v>2533</v>
      </c>
      <c r="I82" s="2">
        <v>2533</v>
      </c>
      <c r="J82" s="2">
        <v>2533</v>
      </c>
      <c r="K82" s="2">
        <v>2533</v>
      </c>
      <c r="L82" s="2">
        <v>2533</v>
      </c>
      <c r="M82" s="2">
        <v>2533</v>
      </c>
      <c r="N82" s="2">
        <v>2533</v>
      </c>
      <c r="O82" s="2">
        <v>2537</v>
      </c>
      <c r="P82" s="9"/>
      <c r="Q82" s="2">
        <f>SUM(OSRRefD21_16_2x)+IFERROR(SUM(OSRRefE21_16_2x),0)</f>
        <v>17339.41</v>
      </c>
    </row>
    <row r="83" spans="1:17" s="34" customFormat="1" hidden="1" outlineLevel="1" x14ac:dyDescent="0.25">
      <c r="A83" s="35"/>
      <c r="B83" s="13" t="str">
        <f>CONCATENATE("          ","6244", " - ","SAFETY SUPPLY EXPENSE")</f>
        <v xml:space="preserve">          6244 - SAFETY SUPPLY EXPENSE</v>
      </c>
      <c r="C83" s="15"/>
      <c r="D83" s="2">
        <v>101.67</v>
      </c>
      <c r="E83" s="2">
        <v>46.04</v>
      </c>
      <c r="F83" s="2">
        <v>50</v>
      </c>
      <c r="G83" s="2">
        <v>25</v>
      </c>
      <c r="H83" s="2">
        <v>417</v>
      </c>
      <c r="I83" s="2">
        <v>417</v>
      </c>
      <c r="J83" s="2">
        <v>417</v>
      </c>
      <c r="K83" s="2">
        <v>417</v>
      </c>
      <c r="L83" s="2">
        <v>417</v>
      </c>
      <c r="M83" s="2">
        <v>417</v>
      </c>
      <c r="N83" s="2">
        <v>417</v>
      </c>
      <c r="O83" s="2">
        <v>413</v>
      </c>
      <c r="P83" s="9"/>
      <c r="Q83" s="2">
        <f>SUM(OSRRefD21_16_3x)+IFERROR(SUM(OSRRefE21_16_3x),0)</f>
        <v>3554.71</v>
      </c>
    </row>
    <row r="84" spans="1:17" s="34" customFormat="1" collapsed="1" x14ac:dyDescent="0.25">
      <c r="A84" s="35"/>
      <c r="B84" s="15" t="str">
        <f>CONCATENATE("     ","Telephone/Data Lines                              ")</f>
        <v xml:space="preserve">     Telephone/Data Lines                              </v>
      </c>
      <c r="C84" s="15"/>
      <c r="D84" s="1">
        <f>SUM(OSRRefD21_17x_0)</f>
        <v>2014.43</v>
      </c>
      <c r="E84" s="1">
        <f>SUM(OSRRefD21_17x_1)</f>
        <v>2156.66</v>
      </c>
      <c r="F84" s="1">
        <f>SUM(OSRRefD21_17x_2)</f>
        <v>2109.0099999999998</v>
      </c>
      <c r="G84" s="1">
        <f>SUM(OSRRefD21_17x_3)</f>
        <v>1888.1</v>
      </c>
      <c r="H84" s="1">
        <f>SUM(OSRRefE21_17x_0)</f>
        <v>1485</v>
      </c>
      <c r="I84" s="1">
        <f>SUM(OSRRefE21_17x_1)</f>
        <v>1635</v>
      </c>
      <c r="J84" s="1">
        <f>SUM(OSRRefE21_17x_2)</f>
        <v>1485</v>
      </c>
      <c r="K84" s="1">
        <f>SUM(OSRRefE21_17x_3)</f>
        <v>1485</v>
      </c>
      <c r="L84" s="1">
        <f>SUM(OSRRefE21_17x_4)</f>
        <v>1635</v>
      </c>
      <c r="M84" s="1">
        <f>SUM(OSRRefE21_17x_5)</f>
        <v>1485</v>
      </c>
      <c r="N84" s="1">
        <f>SUM(OSRRefE21_17x_6)</f>
        <v>1485</v>
      </c>
      <c r="O84" s="1">
        <f>SUM(OSRRefE21_17x_7)</f>
        <v>1635</v>
      </c>
      <c r="Q84" s="2">
        <f>SUM(OSRRefD20_17x)+IFERROR(SUM(OSRRefE20_17x),0)</f>
        <v>20498.2</v>
      </c>
    </row>
    <row r="85" spans="1:17" s="34" customFormat="1" hidden="1" outlineLevel="1" x14ac:dyDescent="0.25">
      <c r="A85" s="35"/>
      <c r="B85" s="13" t="str">
        <f>CONCATENATE("          ","6303", " - ","DATA PHONE LINES")</f>
        <v xml:space="preserve">          6303 - DATA PHONE LINES</v>
      </c>
      <c r="C85" s="15"/>
      <c r="D85" s="2">
        <v>78.989999999999995</v>
      </c>
      <c r="E85" s="2">
        <v>78.989999999999995</v>
      </c>
      <c r="F85" s="2">
        <v>78.989999999999995</v>
      </c>
      <c r="G85" s="2">
        <v>143.97999999999999</v>
      </c>
      <c r="H85" s="2">
        <v>335</v>
      </c>
      <c r="I85" s="2">
        <v>335</v>
      </c>
      <c r="J85" s="2">
        <v>335</v>
      </c>
      <c r="K85" s="2">
        <v>335</v>
      </c>
      <c r="L85" s="2">
        <v>335</v>
      </c>
      <c r="M85" s="2">
        <v>335</v>
      </c>
      <c r="N85" s="2">
        <v>335</v>
      </c>
      <c r="O85" s="2">
        <v>335</v>
      </c>
      <c r="P85" s="9"/>
      <c r="Q85" s="2">
        <f>SUM(OSRRefD21_17_0x)+IFERROR(SUM(OSRRefE21_17_0x),0)</f>
        <v>3060.95</v>
      </c>
    </row>
    <row r="86" spans="1:17" s="34" customFormat="1" hidden="1" outlineLevel="1" x14ac:dyDescent="0.25">
      <c r="A86" s="35"/>
      <c r="B86" s="13" t="str">
        <f>CONCATENATE("          ","6309", " - ","TELEPHONE")</f>
        <v xml:space="preserve">          6309 - TELEPHONE</v>
      </c>
      <c r="C86" s="15"/>
      <c r="D86" s="2">
        <v>1935.44</v>
      </c>
      <c r="E86" s="2">
        <v>2077.67</v>
      </c>
      <c r="F86" s="2">
        <v>2030.02</v>
      </c>
      <c r="G86" s="2">
        <v>1744.12</v>
      </c>
      <c r="H86" s="2">
        <v>1150</v>
      </c>
      <c r="I86" s="2">
        <v>1300</v>
      </c>
      <c r="J86" s="2">
        <v>1150</v>
      </c>
      <c r="K86" s="2">
        <v>1150</v>
      </c>
      <c r="L86" s="2">
        <v>1300</v>
      </c>
      <c r="M86" s="2">
        <v>1150</v>
      </c>
      <c r="N86" s="2">
        <v>1150</v>
      </c>
      <c r="O86" s="2">
        <v>1300</v>
      </c>
      <c r="P86" s="9"/>
      <c r="Q86" s="2">
        <f>SUM(OSRRefD21_17_1x)+IFERROR(SUM(OSRRefE21_17_1x),0)</f>
        <v>17437.25</v>
      </c>
    </row>
    <row r="87" spans="1:17" s="34" customFormat="1" collapsed="1" x14ac:dyDescent="0.25">
      <c r="A87" s="35"/>
      <c r="B87" s="15" t="str">
        <f>CONCATENATE("     ","Training                                          ")</f>
        <v xml:space="preserve">     Training                                          </v>
      </c>
      <c r="C87" s="15"/>
      <c r="D87" s="1">
        <f>SUM(OSRRefD21_18x_0)</f>
        <v>0</v>
      </c>
      <c r="E87" s="1">
        <f>SUM(OSRRefD21_18x_1)</f>
        <v>0</v>
      </c>
      <c r="F87" s="1">
        <f>SUM(OSRRefD21_18x_2)</f>
        <v>102</v>
      </c>
      <c r="G87" s="1">
        <f>SUM(OSRRefD21_18x_3)</f>
        <v>199</v>
      </c>
      <c r="H87" s="1">
        <f>SUM(OSRRefE21_18x_0)</f>
        <v>2646</v>
      </c>
      <c r="I87" s="1">
        <f>SUM(OSRRefE21_18x_1)</f>
        <v>1646</v>
      </c>
      <c r="J87" s="1">
        <f>SUM(OSRRefE21_18x_2)</f>
        <v>3146</v>
      </c>
      <c r="K87" s="1">
        <f>SUM(OSRRefE21_18x_3)</f>
        <v>1646</v>
      </c>
      <c r="L87" s="1">
        <f>SUM(OSRRefE21_18x_4)</f>
        <v>1146</v>
      </c>
      <c r="M87" s="1">
        <f>SUM(OSRRefE21_18x_5)</f>
        <v>1646</v>
      </c>
      <c r="N87" s="1">
        <f>SUM(OSRRefE21_18x_6)</f>
        <v>1146</v>
      </c>
      <c r="O87" s="1">
        <f>SUM(OSRRefE21_18x_7)</f>
        <v>1146</v>
      </c>
      <c r="Q87" s="2">
        <f>SUM(OSRRefD20_18x)+IFERROR(SUM(OSRRefE20_18x),0)</f>
        <v>14469</v>
      </c>
    </row>
    <row r="88" spans="1:17" s="34" customFormat="1" hidden="1" outlineLevel="1" x14ac:dyDescent="0.25">
      <c r="A88" s="35"/>
      <c r="B88" s="13" t="str">
        <f>CONCATENATE("          ","6376", " - ","TRAINING")</f>
        <v xml:space="preserve">          6376 - TRAINING</v>
      </c>
      <c r="C88" s="15"/>
      <c r="D88" s="2"/>
      <c r="E88" s="2"/>
      <c r="F88" s="2">
        <v>102</v>
      </c>
      <c r="G88" s="2">
        <v>199</v>
      </c>
      <c r="H88" s="2">
        <v>2646</v>
      </c>
      <c r="I88" s="2">
        <v>1646</v>
      </c>
      <c r="J88" s="2">
        <v>3146</v>
      </c>
      <c r="K88" s="2">
        <v>1646</v>
      </c>
      <c r="L88" s="2">
        <v>1146</v>
      </c>
      <c r="M88" s="2">
        <v>1646</v>
      </c>
      <c r="N88" s="2">
        <v>1146</v>
      </c>
      <c r="O88" s="2">
        <v>1146</v>
      </c>
      <c r="P88" s="9"/>
      <c r="Q88" s="2">
        <f>SUM(OSRRefD21_18_0x)+IFERROR(SUM(OSRRefE21_18_0x),0)</f>
        <v>14469</v>
      </c>
    </row>
    <row r="89" spans="1:17" s="34" customFormat="1" collapsed="1" x14ac:dyDescent="0.25">
      <c r="A89" s="35"/>
      <c r="B89" s="15" t="str">
        <f>CONCATENATE("     ","Travel                                            ")</f>
        <v xml:space="preserve">     Travel                                            </v>
      </c>
      <c r="C89" s="15"/>
      <c r="D89" s="1">
        <f>SUM(OSRRefD21_19x_0)</f>
        <v>9.75</v>
      </c>
      <c r="E89" s="1">
        <f>SUM(OSRRefD21_19x_1)</f>
        <v>7.8</v>
      </c>
      <c r="F89" s="1">
        <f>SUM(OSRRefD21_19x_2)</f>
        <v>0</v>
      </c>
      <c r="G89" s="1">
        <f>SUM(OSRRefD21_19x_3)</f>
        <v>29.07</v>
      </c>
      <c r="H89" s="1">
        <f>SUM(OSRRefE21_19x_0)</f>
        <v>625</v>
      </c>
      <c r="I89" s="1">
        <f>SUM(OSRRefE21_19x_1)</f>
        <v>625</v>
      </c>
      <c r="J89" s="1">
        <f>SUM(OSRRefE21_19x_2)</f>
        <v>625</v>
      </c>
      <c r="K89" s="1">
        <f>SUM(OSRRefE21_19x_3)</f>
        <v>2125</v>
      </c>
      <c r="L89" s="1">
        <f>SUM(OSRRefE21_19x_4)</f>
        <v>625</v>
      </c>
      <c r="M89" s="1">
        <f>SUM(OSRRefE21_19x_5)</f>
        <v>2625</v>
      </c>
      <c r="N89" s="1">
        <f>SUM(OSRRefE21_19x_6)</f>
        <v>625</v>
      </c>
      <c r="O89" s="1">
        <f>SUM(OSRRefE21_19x_7)</f>
        <v>625</v>
      </c>
      <c r="Q89" s="2">
        <f>SUM(OSRRefD20_19x)+IFERROR(SUM(OSRRefE20_19x),0)</f>
        <v>8546.6200000000008</v>
      </c>
    </row>
    <row r="90" spans="1:17" s="34" customFormat="1" hidden="1" outlineLevel="1" x14ac:dyDescent="0.25">
      <c r="A90" s="35"/>
      <c r="B90" s="13" t="str">
        <f>CONCATENATE("          ","6292", " - ","TRAVEL/CONFERENCE")</f>
        <v xml:space="preserve">          6292 - TRAVEL/CONFERENCE</v>
      </c>
      <c r="C90" s="15"/>
      <c r="D90" s="2"/>
      <c r="E90" s="2"/>
      <c r="F90" s="2"/>
      <c r="G90" s="2"/>
      <c r="H90" s="2">
        <v>625</v>
      </c>
      <c r="I90" s="2">
        <v>625</v>
      </c>
      <c r="J90" s="2">
        <v>625</v>
      </c>
      <c r="K90" s="2">
        <v>625</v>
      </c>
      <c r="L90" s="2">
        <v>625</v>
      </c>
      <c r="M90" s="2">
        <v>625</v>
      </c>
      <c r="N90" s="2">
        <v>625</v>
      </c>
      <c r="O90" s="2">
        <v>625</v>
      </c>
      <c r="P90" s="9"/>
      <c r="Q90" s="2">
        <f>SUM(OSRRefD21_19_0x)+IFERROR(SUM(OSRRefE21_19_0x),0)</f>
        <v>5000</v>
      </c>
    </row>
    <row r="91" spans="1:17" s="34" customFormat="1" hidden="1" outlineLevel="1" x14ac:dyDescent="0.25">
      <c r="A91" s="35"/>
      <c r="B91" s="13" t="str">
        <f>CONCATENATE("          ","6294", " - ","TRAVEL OPERATIONAL")</f>
        <v xml:space="preserve">          6294 - TRAVEL OPERATIONAL</v>
      </c>
      <c r="C91" s="15"/>
      <c r="D91" s="2">
        <v>9.75</v>
      </c>
      <c r="E91" s="2">
        <v>7.8</v>
      </c>
      <c r="F91" s="2"/>
      <c r="G91" s="2">
        <v>29.07</v>
      </c>
      <c r="H91" s="2"/>
      <c r="I91" s="2"/>
      <c r="J91" s="2"/>
      <c r="K91" s="2">
        <v>1500</v>
      </c>
      <c r="L91" s="2"/>
      <c r="M91" s="2">
        <v>2000</v>
      </c>
      <c r="N91" s="2"/>
      <c r="O91" s="2"/>
      <c r="P91" s="9"/>
      <c r="Q91" s="2">
        <f>SUM(OSRRefD21_19_1x)+IFERROR(SUM(OSRRefE21_19_1x),0)</f>
        <v>3546.62</v>
      </c>
    </row>
    <row r="92" spans="1:17" s="28" customFormat="1" x14ac:dyDescent="0.25">
      <c r="A92" s="20"/>
      <c r="B92" s="20"/>
      <c r="C92" s="20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Q92" s="1"/>
    </row>
    <row r="93" spans="1:17" s="9" customFormat="1" x14ac:dyDescent="0.25">
      <c r="A93" s="22"/>
      <c r="B93" s="16" t="s">
        <v>0</v>
      </c>
      <c r="C93" s="23"/>
      <c r="D93" s="3">
        <f t="shared" ref="D93:G93" si="4">0</f>
        <v>0</v>
      </c>
      <c r="E93" s="3">
        <f t="shared" si="4"/>
        <v>0</v>
      </c>
      <c r="F93" s="3">
        <f t="shared" si="4"/>
        <v>0</v>
      </c>
      <c r="G93" s="3">
        <f t="shared" si="4"/>
        <v>0</v>
      </c>
      <c r="H93" s="3"/>
      <c r="I93" s="3"/>
      <c r="J93" s="3"/>
      <c r="K93" s="3"/>
      <c r="L93" s="3"/>
      <c r="M93" s="3"/>
      <c r="N93" s="3"/>
      <c r="O93" s="3"/>
      <c r="Q93" s="2">
        <f>SUM(OSRRefD23_0x)+IFERROR(SUM(OSRRefE23_0x),0)</f>
        <v>0</v>
      </c>
    </row>
    <row r="94" spans="1:17" x14ac:dyDescent="0.25">
      <c r="A94" s="5"/>
      <c r="B94" s="8"/>
      <c r="C94" s="8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4" customFormat="1" x14ac:dyDescent="0.25">
      <c r="A95" s="8"/>
      <c r="B95" s="17" t="s">
        <v>3</v>
      </c>
      <c r="C95" s="17"/>
      <c r="D95" s="6">
        <f t="shared" ref="D95:O95" si="5">IFERROR(+D14-D17+D93, 0)</f>
        <v>-234703.24000000008</v>
      </c>
      <c r="E95" s="6">
        <f t="shared" si="5"/>
        <v>-219113.02</v>
      </c>
      <c r="F95" s="6">
        <f t="shared" si="5"/>
        <v>-210081.4800000001</v>
      </c>
      <c r="G95" s="6">
        <f t="shared" si="5"/>
        <v>-259749.95</v>
      </c>
      <c r="H95" s="6">
        <f t="shared" si="5"/>
        <v>-272187.3419</v>
      </c>
      <c r="I95" s="6">
        <f t="shared" si="5"/>
        <v>-216608.79070769236</v>
      </c>
      <c r="J95" s="6">
        <f t="shared" si="5"/>
        <v>-285670.81640538468</v>
      </c>
      <c r="K95" s="6">
        <f t="shared" si="5"/>
        <v>-238666.62163230771</v>
      </c>
      <c r="L95" s="6">
        <f t="shared" si="5"/>
        <v>-264466.62163230771</v>
      </c>
      <c r="M95" s="6">
        <f t="shared" si="5"/>
        <v>-301074.81640538468</v>
      </c>
      <c r="N95" s="6">
        <f t="shared" si="5"/>
        <v>-242273.10499076926</v>
      </c>
      <c r="O95" s="6">
        <f t="shared" si="5"/>
        <v>137346.12336923071</v>
      </c>
      <c r="Q95" s="6">
        <f>IFERROR(+Q14-Q17+Q93, 0)</f>
        <v>-2607249.6803046158</v>
      </c>
    </row>
    <row r="96" spans="1:17" s="8" customFormat="1" x14ac:dyDescent="0.25">
      <c r="B96" s="16"/>
      <c r="C96" s="16"/>
      <c r="D96" s="4">
        <f t="shared" ref="D96:O96" si="6">IFERROR(D95/D10, 0)</f>
        <v>0</v>
      </c>
      <c r="E96" s="4">
        <f t="shared" si="6"/>
        <v>0</v>
      </c>
      <c r="F96" s="4">
        <f t="shared" si="6"/>
        <v>0</v>
      </c>
      <c r="G96" s="4">
        <f t="shared" si="6"/>
        <v>0</v>
      </c>
      <c r="H96" s="4">
        <f t="shared" si="6"/>
        <v>0</v>
      </c>
      <c r="I96" s="4">
        <f t="shared" si="6"/>
        <v>0</v>
      </c>
      <c r="J96" s="4">
        <f t="shared" si="6"/>
        <v>0</v>
      </c>
      <c r="K96" s="4">
        <f t="shared" si="6"/>
        <v>0</v>
      </c>
      <c r="L96" s="4">
        <f t="shared" si="6"/>
        <v>0</v>
      </c>
      <c r="M96" s="4">
        <f t="shared" si="6"/>
        <v>0</v>
      </c>
      <c r="N96" s="4">
        <f t="shared" si="6"/>
        <v>0</v>
      </c>
      <c r="O96" s="4">
        <f t="shared" si="6"/>
        <v>0</v>
      </c>
      <c r="P96" s="18"/>
      <c r="Q96" s="4">
        <f>IFERROR(Q95/Q10, 0)</f>
        <v>0</v>
      </c>
    </row>
    <row r="97" spans="1:17" x14ac:dyDescent="0.25">
      <c r="A97" s="5"/>
      <c r="B97" s="8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4" customFormat="1" x14ac:dyDescent="0.25">
      <c r="A98" s="25"/>
      <c r="B98" s="8" t="s">
        <v>8</v>
      </c>
      <c r="C98" s="8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2">
        <f>SUM(OSRRefD28_0x)+IFERROR(SUM(OSRRefE28_0x),0)</f>
        <v>0</v>
      </c>
    </row>
    <row r="99" spans="1:17" x14ac:dyDescent="0.25">
      <c r="A99" s="5"/>
      <c r="B99" s="8"/>
      <c r="C99" s="8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s="14" customFormat="1" ht="15.75" thickBot="1" x14ac:dyDescent="0.3">
      <c r="A100" s="8"/>
      <c r="B100" s="17" t="s">
        <v>4</v>
      </c>
      <c r="C100" s="17"/>
      <c r="D100" s="7">
        <f t="shared" ref="D100:O100" si="7">IFERROR(+D95-D98, 0)</f>
        <v>-234703.24000000008</v>
      </c>
      <c r="E100" s="7">
        <f t="shared" si="7"/>
        <v>-219113.02</v>
      </c>
      <c r="F100" s="7">
        <f t="shared" si="7"/>
        <v>-210081.4800000001</v>
      </c>
      <c r="G100" s="7">
        <f t="shared" si="7"/>
        <v>-259749.95</v>
      </c>
      <c r="H100" s="7">
        <f t="shared" si="7"/>
        <v>-272187.3419</v>
      </c>
      <c r="I100" s="7">
        <f t="shared" si="7"/>
        <v>-216608.79070769236</v>
      </c>
      <c r="J100" s="7">
        <f t="shared" si="7"/>
        <v>-285670.81640538468</v>
      </c>
      <c r="K100" s="7">
        <f t="shared" si="7"/>
        <v>-238666.62163230771</v>
      </c>
      <c r="L100" s="7">
        <f t="shared" si="7"/>
        <v>-264466.62163230771</v>
      </c>
      <c r="M100" s="7">
        <f t="shared" si="7"/>
        <v>-301074.81640538468</v>
      </c>
      <c r="N100" s="7">
        <f t="shared" si="7"/>
        <v>-242273.10499076926</v>
      </c>
      <c r="O100" s="7">
        <f t="shared" si="7"/>
        <v>137346.12336923071</v>
      </c>
      <c r="Q100" s="7">
        <f>IFERROR(+Q95-Q98, 0)</f>
        <v>-2607249.6803046158</v>
      </c>
    </row>
    <row r="101" spans="1:17" ht="15.75" thickTop="1" x14ac:dyDescent="0.25">
      <c r="A101" s="5"/>
      <c r="B101" s="5"/>
      <c r="C101" s="5"/>
      <c r="D101" s="4">
        <f t="shared" ref="D101:O101" si="8">IFERROR(D100/D10, 0)</f>
        <v>0</v>
      </c>
      <c r="E101" s="4">
        <f t="shared" si="8"/>
        <v>0</v>
      </c>
      <c r="F101" s="4">
        <f t="shared" si="8"/>
        <v>0</v>
      </c>
      <c r="G101" s="4">
        <f t="shared" si="8"/>
        <v>0</v>
      </c>
      <c r="H101" s="4">
        <f t="shared" si="8"/>
        <v>0</v>
      </c>
      <c r="I101" s="4">
        <f t="shared" si="8"/>
        <v>0</v>
      </c>
      <c r="J101" s="4">
        <f t="shared" si="8"/>
        <v>0</v>
      </c>
      <c r="K101" s="4">
        <f t="shared" si="8"/>
        <v>0</v>
      </c>
      <c r="L101" s="4">
        <f t="shared" si="8"/>
        <v>0</v>
      </c>
      <c r="M101" s="4">
        <f t="shared" si="8"/>
        <v>0</v>
      </c>
      <c r="N101" s="4">
        <f t="shared" si="8"/>
        <v>0</v>
      </c>
      <c r="O101" s="4">
        <f t="shared" si="8"/>
        <v>0</v>
      </c>
      <c r="P101" s="18"/>
      <c r="Q101" s="4">
        <f>IFERROR(Q100/Q10, 0)</f>
        <v>0</v>
      </c>
    </row>
    <row r="102" spans="1:17" x14ac:dyDescent="0.25">
      <c r="A102" s="5"/>
      <c r="B102" s="5"/>
      <c r="C102" s="5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x14ac:dyDescent="0.25">
      <c r="A103" s="5"/>
      <c r="B103" s="5"/>
      <c r="C103" s="5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Q103" s="3"/>
    </row>
    <row r="104" spans="1:17" s="14" customFormat="1" ht="15.75" thickBot="1" x14ac:dyDescent="0.3">
      <c r="A104" s="8"/>
      <c r="B104" s="17" t="s">
        <v>5</v>
      </c>
      <c r="C104" s="17"/>
      <c r="D104" s="7">
        <f t="shared" ref="D104:O104" si="9">IFERROR(SUM(D100:D103), 0)</f>
        <v>-234703.24000000008</v>
      </c>
      <c r="E104" s="7">
        <f t="shared" si="9"/>
        <v>-219113.02</v>
      </c>
      <c r="F104" s="7">
        <f t="shared" si="9"/>
        <v>-210081.4800000001</v>
      </c>
      <c r="G104" s="7">
        <f t="shared" si="9"/>
        <v>-259749.95</v>
      </c>
      <c r="H104" s="7">
        <f t="shared" si="9"/>
        <v>-272187.3419</v>
      </c>
      <c r="I104" s="7">
        <f t="shared" si="9"/>
        <v>-216608.79070769236</v>
      </c>
      <c r="J104" s="7">
        <f t="shared" si="9"/>
        <v>-285670.81640538468</v>
      </c>
      <c r="K104" s="7">
        <f t="shared" si="9"/>
        <v>-238666.62163230771</v>
      </c>
      <c r="L104" s="7">
        <f t="shared" si="9"/>
        <v>-264466.62163230771</v>
      </c>
      <c r="M104" s="7">
        <f t="shared" si="9"/>
        <v>-301074.81640538468</v>
      </c>
      <c r="N104" s="7">
        <f t="shared" si="9"/>
        <v>-242273.10499076926</v>
      </c>
      <c r="O104" s="7">
        <f t="shared" si="9"/>
        <v>137346.12336923071</v>
      </c>
      <c r="Q104" s="7">
        <f>IFERROR(SUM(Q100:Q103), 0)</f>
        <v>-2607249.6803046158</v>
      </c>
    </row>
    <row r="105" spans="1:17" ht="15.75" thickTop="1" x14ac:dyDescent="0.25">
      <c r="A105" s="5"/>
      <c r="C105" s="5"/>
      <c r="D105" s="4">
        <f t="shared" ref="D105:O105" si="10">IFERROR(D104/D10, 0)</f>
        <v>0</v>
      </c>
      <c r="E105" s="4">
        <f t="shared" si="10"/>
        <v>0</v>
      </c>
      <c r="F105" s="4">
        <f t="shared" si="10"/>
        <v>0</v>
      </c>
      <c r="G105" s="4">
        <f t="shared" si="10"/>
        <v>0</v>
      </c>
      <c r="H105" s="4">
        <f t="shared" si="10"/>
        <v>0</v>
      </c>
      <c r="I105" s="4">
        <f t="shared" si="10"/>
        <v>0</v>
      </c>
      <c r="J105" s="4">
        <f t="shared" si="10"/>
        <v>0</v>
      </c>
      <c r="K105" s="4">
        <f t="shared" si="10"/>
        <v>0</v>
      </c>
      <c r="L105" s="4">
        <f t="shared" si="10"/>
        <v>0</v>
      </c>
      <c r="M105" s="4">
        <f t="shared" si="10"/>
        <v>0</v>
      </c>
      <c r="N105" s="4">
        <f t="shared" si="10"/>
        <v>0</v>
      </c>
      <c r="O105" s="4">
        <f t="shared" si="10"/>
        <v>0</v>
      </c>
      <c r="P105" s="18"/>
      <c r="Q105" s="4">
        <f>IFERROR(Q104/Q10, 0)</f>
        <v>0</v>
      </c>
    </row>
    <row r="106" spans="1:17" x14ac:dyDescent="0.25">
      <c r="A106" s="5"/>
      <c r="B106" s="26">
        <v>44151.564535266203</v>
      </c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Q106" s="12"/>
    </row>
    <row r="107" spans="1:17" x14ac:dyDescent="0.25">
      <c r="A107" s="5"/>
      <c r="B107" s="30" t="s">
        <v>311</v>
      </c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Q107" s="12"/>
    </row>
    <row r="108" spans="1:17" x14ac:dyDescent="0.25">
      <c r="A108" s="5"/>
      <c r="B108" s="31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Q108" s="12"/>
    </row>
    <row r="109" spans="1:17" x14ac:dyDescent="0.25"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Q109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4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","200", " - ", "Corporate Expense")</f>
        <v>Department 200 - Corporate Expense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0">
        <f>SUM(OSRRefD20x_0)</f>
        <v>31956.86</v>
      </c>
      <c r="E17" s="10">
        <f>SUM(OSRRefD20x_1)</f>
        <v>46373.01</v>
      </c>
      <c r="F17" s="10">
        <f>SUM(OSRRefD20x_2)</f>
        <v>31927.710000000003</v>
      </c>
      <c r="G17" s="10">
        <f>SUM(OSRRefD20x_3)</f>
        <v>44751.53</v>
      </c>
      <c r="H17" s="10">
        <f>SUM(OSRRefE20x_0)</f>
        <v>50337</v>
      </c>
      <c r="I17" s="10">
        <f>SUM(OSRRefE20x_1)</f>
        <v>42137</v>
      </c>
      <c r="J17" s="10">
        <f>SUM(OSRRefE20x_2)</f>
        <v>67937</v>
      </c>
      <c r="K17" s="10">
        <f>SUM(OSRRefE20x_3)</f>
        <v>35437</v>
      </c>
      <c r="L17" s="10">
        <f>SUM(OSRRefE20x_4)</f>
        <v>61437</v>
      </c>
      <c r="M17" s="10">
        <f>SUM(OSRRefE20x_5)</f>
        <v>62937</v>
      </c>
      <c r="N17" s="10">
        <f>SUM(OSRRefE20x_6)</f>
        <v>35337</v>
      </c>
      <c r="O17" s="10">
        <f>SUM(OSRRefE20x_7)</f>
        <v>-347863</v>
      </c>
      <c r="Q17" s="10">
        <f>SUM(OSRRefG20x)</f>
        <v>162705.10999999999</v>
      </c>
    </row>
    <row r="18" spans="1:17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30249.09</v>
      </c>
      <c r="E18" s="1">
        <f>SUM(OSRRefD21_0x_1)</f>
        <v>30426.25</v>
      </c>
      <c r="F18" s="1">
        <f>SUM(OSRRefD21_0x_2)</f>
        <v>31087.670000000002</v>
      </c>
      <c r="G18" s="1">
        <f>SUM(OSRRefD21_0x_3)</f>
        <v>30642.670000000002</v>
      </c>
      <c r="H18" s="1">
        <f>SUM(OSRRefE21_0x_0)</f>
        <v>32000</v>
      </c>
      <c r="I18" s="1">
        <f>SUM(OSRRefE21_0x_1)</f>
        <v>32000</v>
      </c>
      <c r="J18" s="1">
        <f>SUM(OSRRefE21_0x_2)</f>
        <v>32000</v>
      </c>
      <c r="K18" s="1">
        <f>SUM(OSRRefE21_0x_3)</f>
        <v>32000</v>
      </c>
      <c r="L18" s="1">
        <f>SUM(OSRRefE21_0x_4)</f>
        <v>32000</v>
      </c>
      <c r="M18" s="1">
        <f>SUM(OSRRefE21_0x_5)</f>
        <v>32000</v>
      </c>
      <c r="N18" s="1">
        <f>SUM(OSRRefE21_0x_6)</f>
        <v>32000</v>
      </c>
      <c r="O18" s="1">
        <f>SUM(OSRRefE21_0x_7)</f>
        <v>-352000</v>
      </c>
      <c r="Q18" s="2">
        <f>SUM(OSRRefD20_0x)+IFERROR(SUM(OSRRefE20_0x),0)</f>
        <v>-5594.320000000007</v>
      </c>
    </row>
    <row r="19" spans="1:17" s="34" customFormat="1" hidden="1" outlineLevel="1" x14ac:dyDescent="0.25">
      <c r="A19" s="35"/>
      <c r="B19" s="13" t="str">
        <f>CONCATENATE("          ","6120", " - ","RETIREES HEALTH INSURANCE")</f>
        <v xml:space="preserve">          6120 - RETIREES HEALTH INSURANCE</v>
      </c>
      <c r="C19" s="15"/>
      <c r="D19" s="2">
        <v>30249.09</v>
      </c>
      <c r="E19" s="2">
        <v>30426.25</v>
      </c>
      <c r="F19" s="2">
        <v>31087.670000000002</v>
      </c>
      <c r="G19" s="2">
        <v>30642.670000000002</v>
      </c>
      <c r="H19" s="2">
        <v>32000</v>
      </c>
      <c r="I19" s="2">
        <v>32000</v>
      </c>
      <c r="J19" s="2">
        <v>32000</v>
      </c>
      <c r="K19" s="2">
        <v>32000</v>
      </c>
      <c r="L19" s="2">
        <v>32000</v>
      </c>
      <c r="M19" s="2">
        <v>32000</v>
      </c>
      <c r="N19" s="2">
        <v>32000</v>
      </c>
      <c r="O19" s="2">
        <v>-352000</v>
      </c>
      <c r="P19" s="9"/>
      <c r="Q19" s="2">
        <f>SUM(OSRRefD21_0_0x)+IFERROR(SUM(OSRRefE21_0_0x),0)</f>
        <v>-5594.320000000007</v>
      </c>
    </row>
    <row r="20" spans="1:17" s="34" customFormat="1" collapsed="1" x14ac:dyDescent="0.25">
      <c r="A20" s="35"/>
      <c r="B20" s="15" t="str">
        <f>CONCATENATE("     ","Bank/card Fees                                    ")</f>
        <v xml:space="preserve">     Bank/card Fees                                    </v>
      </c>
      <c r="C20" s="15"/>
      <c r="D20" s="1">
        <f>SUM(OSRRefD21_1x_0)</f>
        <v>923.98</v>
      </c>
      <c r="E20" s="1">
        <f>SUM(OSRRefD21_1x_1)</f>
        <v>7</v>
      </c>
      <c r="F20" s="1">
        <f>SUM(OSRRefD21_1x_2)</f>
        <v>7</v>
      </c>
      <c r="G20" s="1">
        <f>SUM(OSRRefD21_1x_3)</f>
        <v>1972.94</v>
      </c>
      <c r="H20" s="1">
        <f>SUM(OSRRefE21_1x_0)</f>
        <v>1000</v>
      </c>
      <c r="I20" s="1">
        <f>SUM(OSRRefE21_1x_1)</f>
        <v>2000</v>
      </c>
      <c r="J20" s="1">
        <f>SUM(OSRRefE21_1x_2)</f>
        <v>15000</v>
      </c>
      <c r="K20" s="1">
        <f>SUM(OSRRefE21_1x_3)</f>
        <v>1000</v>
      </c>
      <c r="L20" s="1">
        <f>SUM(OSRRefE21_1x_4)</f>
        <v>2000</v>
      </c>
      <c r="M20" s="1">
        <f>SUM(OSRRefE21_1x_5)</f>
        <v>15000</v>
      </c>
      <c r="N20" s="1">
        <f>SUM(OSRRefE21_1x_6)</f>
        <v>1000</v>
      </c>
      <c r="O20" s="1">
        <f>SUM(OSRRefE21_1x_7)</f>
        <v>2000</v>
      </c>
      <c r="Q20" s="2">
        <f>SUM(OSRRefD20_1x)+IFERROR(SUM(OSRRefE20_1x),0)</f>
        <v>41910.92</v>
      </c>
    </row>
    <row r="21" spans="1:17" s="34" customFormat="1" hidden="1" outlineLevel="1" x14ac:dyDescent="0.25">
      <c r="A21" s="35"/>
      <c r="B21" s="13" t="str">
        <f>CONCATENATE("          ","6381", " - ","BANK/CREDIT CARD FEES")</f>
        <v xml:space="preserve">          6381 - BANK/CREDIT CARD FEES</v>
      </c>
      <c r="C21" s="15"/>
      <c r="D21" s="2">
        <v>923.98</v>
      </c>
      <c r="E21" s="2">
        <v>7</v>
      </c>
      <c r="F21" s="2">
        <v>7</v>
      </c>
      <c r="G21" s="2">
        <v>1972.94</v>
      </c>
      <c r="H21" s="2">
        <v>1000</v>
      </c>
      <c r="I21" s="2">
        <v>2000</v>
      </c>
      <c r="J21" s="2">
        <v>15000</v>
      </c>
      <c r="K21" s="2">
        <v>1000</v>
      </c>
      <c r="L21" s="2">
        <v>2000</v>
      </c>
      <c r="M21" s="2">
        <v>15000</v>
      </c>
      <c r="N21" s="2">
        <v>1000</v>
      </c>
      <c r="O21" s="2">
        <v>2000</v>
      </c>
      <c r="P21" s="9"/>
      <c r="Q21" s="2">
        <f>SUM(OSRRefD21_1_0x)+IFERROR(SUM(OSRRefE21_1_0x),0)</f>
        <v>41910.92</v>
      </c>
    </row>
    <row r="22" spans="1:17" s="34" customFormat="1" collapsed="1" x14ac:dyDescent="0.25">
      <c r="A22" s="35"/>
      <c r="B22" s="15" t="str">
        <f>CONCATENATE("     ","Board                                             ")</f>
        <v xml:space="preserve">     Board                                             </v>
      </c>
      <c r="C22" s="15"/>
      <c r="D22" s="1">
        <f>SUM(OSRRefD21_2x_0)</f>
        <v>783.79</v>
      </c>
      <c r="E22" s="1">
        <f>SUM(OSRRefD21_2x_1)</f>
        <v>4354.01</v>
      </c>
      <c r="F22" s="1">
        <f>SUM(OSRRefD21_2x_2)</f>
        <v>833.04</v>
      </c>
      <c r="G22" s="1">
        <f>SUM(OSRRefD21_2x_3)</f>
        <v>550.16999999999996</v>
      </c>
      <c r="H22" s="1">
        <f>SUM(OSRRefE21_2x_0)</f>
        <v>2337</v>
      </c>
      <c r="I22" s="1">
        <f>SUM(OSRRefE21_2x_1)</f>
        <v>5137</v>
      </c>
      <c r="J22" s="1">
        <f>SUM(OSRRefE21_2x_2)</f>
        <v>2437</v>
      </c>
      <c r="K22" s="1">
        <f>SUM(OSRRefE21_2x_3)</f>
        <v>2437</v>
      </c>
      <c r="L22" s="1">
        <f>SUM(OSRRefE21_2x_4)</f>
        <v>17437</v>
      </c>
      <c r="M22" s="1">
        <f>SUM(OSRRefE21_2x_5)</f>
        <v>2437</v>
      </c>
      <c r="N22" s="1">
        <f>SUM(OSRRefE21_2x_6)</f>
        <v>2337</v>
      </c>
      <c r="O22" s="1">
        <f>SUM(OSRRefE21_2x_7)</f>
        <v>2137</v>
      </c>
      <c r="Q22" s="2">
        <f>SUM(OSRRefD20_2x)+IFERROR(SUM(OSRRefE20_2x),0)</f>
        <v>43217.01</v>
      </c>
    </row>
    <row r="23" spans="1:17" s="34" customFormat="1" hidden="1" outlineLevel="1" x14ac:dyDescent="0.25">
      <c r="A23" s="35"/>
      <c r="B23" s="13" t="str">
        <f>CONCATENATE("          ","6397", " - ","BOARD EXPENSES")</f>
        <v xml:space="preserve">          6397 - BOARD EXPENSES</v>
      </c>
      <c r="C23" s="15"/>
      <c r="D23" s="2">
        <v>783.79</v>
      </c>
      <c r="E23" s="2">
        <v>4354.01</v>
      </c>
      <c r="F23" s="2">
        <v>833.04</v>
      </c>
      <c r="G23" s="2">
        <v>550.16999999999996</v>
      </c>
      <c r="H23" s="2">
        <v>2337</v>
      </c>
      <c r="I23" s="2">
        <v>5137</v>
      </c>
      <c r="J23" s="2">
        <v>2437</v>
      </c>
      <c r="K23" s="2">
        <v>2437</v>
      </c>
      <c r="L23" s="2">
        <v>17437</v>
      </c>
      <c r="M23" s="2">
        <v>2437</v>
      </c>
      <c r="N23" s="2">
        <v>2337</v>
      </c>
      <c r="O23" s="2">
        <v>2137</v>
      </c>
      <c r="P23" s="9"/>
      <c r="Q23" s="2">
        <f>SUM(OSRRefD21_2_0x)+IFERROR(SUM(OSRRefE21_2_0x),0)</f>
        <v>43217.01</v>
      </c>
    </row>
    <row r="24" spans="1:17" s="34" customFormat="1" collapsed="1" x14ac:dyDescent="0.25">
      <c r="A24" s="35"/>
      <c r="B24" s="15" t="str">
        <f>CONCATENATE("     ","Donations                                         ")</f>
        <v xml:space="preserve">     Donations                                         </v>
      </c>
      <c r="C24" s="15"/>
      <c r="D24" s="1">
        <f>SUM(OSRRefD21_3x_0)</f>
        <v>0</v>
      </c>
      <c r="E24" s="1">
        <f>SUM(OSRRefD21_3x_1)</f>
        <v>0</v>
      </c>
      <c r="F24" s="1">
        <f>SUM(OSRRefD21_3x_2)</f>
        <v>0</v>
      </c>
      <c r="G24" s="1">
        <f>SUM(OSRRefD21_3x_3)</f>
        <v>0</v>
      </c>
      <c r="H24" s="1">
        <f>SUM(OSRRefE21_3x_0)</f>
        <v>0</v>
      </c>
      <c r="I24" s="1">
        <f>SUM(OSRRefE21_3x_1)</f>
        <v>0</v>
      </c>
      <c r="J24" s="1">
        <f>SUM(OSRRefE21_3x_2)</f>
        <v>5000</v>
      </c>
      <c r="K24" s="1">
        <f>SUM(OSRRefE21_3x_3)</f>
        <v>0</v>
      </c>
      <c r="L24" s="1">
        <f>SUM(OSRRefE21_3x_4)</f>
        <v>0</v>
      </c>
      <c r="M24" s="1">
        <f>SUM(OSRRefE21_3x_5)</f>
        <v>0</v>
      </c>
      <c r="N24" s="1">
        <f>SUM(OSRRefE21_3x_6)</f>
        <v>0</v>
      </c>
      <c r="O24" s="1">
        <f>SUM(OSRRefE21_3x_7)</f>
        <v>0</v>
      </c>
      <c r="Q24" s="2">
        <f>SUM(OSRRefD20_3x)+IFERROR(SUM(OSRRefE20_3x),0)</f>
        <v>5000</v>
      </c>
    </row>
    <row r="25" spans="1:17" s="34" customFormat="1" hidden="1" outlineLevel="1" x14ac:dyDescent="0.25">
      <c r="A25" s="35"/>
      <c r="B25" s="13" t="str">
        <f>CONCATENATE("          ","6399", " - ","DONATION-ON CAMPUS")</f>
        <v xml:space="preserve">          6399 - DONATION-ON CAMPUS</v>
      </c>
      <c r="C25" s="15"/>
      <c r="D25" s="2"/>
      <c r="E25" s="2"/>
      <c r="F25" s="2"/>
      <c r="G25" s="2"/>
      <c r="H25" s="2">
        <v>0</v>
      </c>
      <c r="I25" s="2"/>
      <c r="J25" s="2">
        <v>5000</v>
      </c>
      <c r="K25" s="2"/>
      <c r="L25" s="2"/>
      <c r="M25" s="2"/>
      <c r="N25" s="2"/>
      <c r="O25" s="2"/>
      <c r="P25" s="9"/>
      <c r="Q25" s="2">
        <f>SUM(OSRRefD21_3_0x)+IFERROR(SUM(OSRRefE21_3_0x),0)</f>
        <v>5000</v>
      </c>
    </row>
    <row r="26" spans="1:17" s="34" customFormat="1" collapsed="1" x14ac:dyDescent="0.25">
      <c r="A26" s="35"/>
      <c r="B26" s="15" t="str">
        <f>CONCATENATE("     ","Professional Services                             ")</f>
        <v xml:space="preserve">     Professional Services                             </v>
      </c>
      <c r="C26" s="15"/>
      <c r="D26" s="1">
        <f>SUM(OSRRefD21_4x_0)</f>
        <v>0</v>
      </c>
      <c r="E26" s="1">
        <f>SUM(OSRRefD21_4x_1)</f>
        <v>11585.75</v>
      </c>
      <c r="F26" s="1">
        <f>SUM(OSRRefD21_4x_2)</f>
        <v>0</v>
      </c>
      <c r="G26" s="1">
        <f>SUM(OSRRefD21_4x_3)</f>
        <v>11585.75</v>
      </c>
      <c r="H26" s="1">
        <f>SUM(OSRRefE21_4x_0)</f>
        <v>15000</v>
      </c>
      <c r="I26" s="1">
        <f>SUM(OSRRefE21_4x_1)</f>
        <v>3000</v>
      </c>
      <c r="J26" s="1">
        <f>SUM(OSRRefE21_4x_2)</f>
        <v>13500</v>
      </c>
      <c r="K26" s="1">
        <f>SUM(OSRRefE21_4x_3)</f>
        <v>0</v>
      </c>
      <c r="L26" s="1">
        <f>SUM(OSRRefE21_4x_4)</f>
        <v>10000</v>
      </c>
      <c r="M26" s="1">
        <f>SUM(OSRRefE21_4x_5)</f>
        <v>13500</v>
      </c>
      <c r="N26" s="1">
        <f>SUM(OSRRefE21_4x_6)</f>
        <v>0</v>
      </c>
      <c r="O26" s="1">
        <f>SUM(OSRRefE21_4x_7)</f>
        <v>0</v>
      </c>
      <c r="Q26" s="2">
        <f>SUM(OSRRefD20_4x)+IFERROR(SUM(OSRRefE20_4x),0)</f>
        <v>78171.5</v>
      </c>
    </row>
    <row r="27" spans="1:17" s="34" customFormat="1" hidden="1" outlineLevel="1" x14ac:dyDescent="0.25">
      <c r="A27" s="35"/>
      <c r="B27" s="13" t="str">
        <f>CONCATENATE("          ","6331", " - ","INDIRECT COSTS-AUXILIARY ORGAN")</f>
        <v xml:space="preserve">          6331 - INDIRECT COSTS-AUXILIARY ORGAN</v>
      </c>
      <c r="C27" s="15"/>
      <c r="D27" s="2"/>
      <c r="E27" s="2">
        <v>11585.75</v>
      </c>
      <c r="F27" s="2"/>
      <c r="G27" s="2">
        <v>11585.75</v>
      </c>
      <c r="H27" s="2"/>
      <c r="I27" s="2"/>
      <c r="J27" s="2">
        <v>13500</v>
      </c>
      <c r="K27" s="2"/>
      <c r="L27" s="2"/>
      <c r="M27" s="2">
        <v>13500</v>
      </c>
      <c r="N27" s="2"/>
      <c r="O27" s="2"/>
      <c r="P27" s="9"/>
      <c r="Q27" s="2">
        <f>SUM(OSRRefD21_4_0x)+IFERROR(SUM(OSRRefE21_4_0x),0)</f>
        <v>50171.5</v>
      </c>
    </row>
    <row r="28" spans="1:17" s="34" customFormat="1" hidden="1" outlineLevel="1" x14ac:dyDescent="0.25">
      <c r="A28" s="35"/>
      <c r="B28" s="13" t="str">
        <f>CONCATENATE("          ","6332", " - ","CONSULTANT FEES")</f>
        <v xml:space="preserve">          6332 - CONSULTANT FEES</v>
      </c>
      <c r="C28" s="15"/>
      <c r="D28" s="2"/>
      <c r="E28" s="2"/>
      <c r="F28" s="2"/>
      <c r="G28" s="2"/>
      <c r="H28" s="2">
        <v>15000</v>
      </c>
      <c r="I28" s="2">
        <v>3000</v>
      </c>
      <c r="J28" s="2">
        <v>0</v>
      </c>
      <c r="K28" s="2">
        <v>0</v>
      </c>
      <c r="L28" s="2">
        <v>10000</v>
      </c>
      <c r="M28" s="2">
        <v>0</v>
      </c>
      <c r="N28" s="2">
        <v>0</v>
      </c>
      <c r="O28" s="2">
        <v>0</v>
      </c>
      <c r="P28" s="9"/>
      <c r="Q28" s="2">
        <f>SUM(OSRRefD21_4_1x)+IFERROR(SUM(OSRRefE21_4_1x),0)</f>
        <v>28000</v>
      </c>
    </row>
    <row r="29" spans="1:17" s="28" customFormat="1" x14ac:dyDescent="0.25">
      <c r="A29" s="20"/>
      <c r="B29" s="20"/>
      <c r="C29" s="20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Q29" s="1"/>
    </row>
    <row r="30" spans="1:17" s="9" customFormat="1" x14ac:dyDescent="0.25">
      <c r="A30" s="22"/>
      <c r="B30" s="16" t="s">
        <v>0</v>
      </c>
      <c r="C30" s="23"/>
      <c r="D30" s="3">
        <f t="shared" ref="D30:G30" si="4">0</f>
        <v>0</v>
      </c>
      <c r="E30" s="3">
        <f t="shared" si="4"/>
        <v>0</v>
      </c>
      <c r="F30" s="3">
        <f t="shared" si="4"/>
        <v>0</v>
      </c>
      <c r="G30" s="3">
        <f t="shared" si="4"/>
        <v>0</v>
      </c>
      <c r="H30" s="3"/>
      <c r="I30" s="3"/>
      <c r="J30" s="3"/>
      <c r="K30" s="3"/>
      <c r="L30" s="3"/>
      <c r="M30" s="3"/>
      <c r="N30" s="3"/>
      <c r="O30" s="3"/>
      <c r="Q30" s="2">
        <f>SUM(OSRRefD23_0x)+IFERROR(SUM(OSRRefE23_0x),0)</f>
        <v>0</v>
      </c>
    </row>
    <row r="31" spans="1:17" x14ac:dyDescent="0.25">
      <c r="A31" s="5"/>
      <c r="B31" s="8"/>
      <c r="C31" s="8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4" customFormat="1" x14ac:dyDescent="0.25">
      <c r="A32" s="8"/>
      <c r="B32" s="17" t="s">
        <v>3</v>
      </c>
      <c r="C32" s="17"/>
      <c r="D32" s="6">
        <f t="shared" ref="D32:O32" si="5">IFERROR(+D14-D17+D30, 0)</f>
        <v>-31956.86</v>
      </c>
      <c r="E32" s="6">
        <f t="shared" si="5"/>
        <v>-46373.01</v>
      </c>
      <c r="F32" s="6">
        <f t="shared" si="5"/>
        <v>-31927.710000000003</v>
      </c>
      <c r="G32" s="6">
        <f t="shared" si="5"/>
        <v>-44751.53</v>
      </c>
      <c r="H32" s="6">
        <f t="shared" si="5"/>
        <v>-50337</v>
      </c>
      <c r="I32" s="6">
        <f t="shared" si="5"/>
        <v>-42137</v>
      </c>
      <c r="J32" s="6">
        <f t="shared" si="5"/>
        <v>-67937</v>
      </c>
      <c r="K32" s="6">
        <f t="shared" si="5"/>
        <v>-35437</v>
      </c>
      <c r="L32" s="6">
        <f t="shared" si="5"/>
        <v>-61437</v>
      </c>
      <c r="M32" s="6">
        <f t="shared" si="5"/>
        <v>-62937</v>
      </c>
      <c r="N32" s="6">
        <f t="shared" si="5"/>
        <v>-35337</v>
      </c>
      <c r="O32" s="6">
        <f t="shared" si="5"/>
        <v>347863</v>
      </c>
      <c r="Q32" s="6">
        <f>IFERROR(+Q14-Q17+Q30, 0)</f>
        <v>-162705.10999999999</v>
      </c>
    </row>
    <row r="33" spans="1:17" s="8" customFormat="1" x14ac:dyDescent="0.25">
      <c r="B33" s="16"/>
      <c r="C33" s="16"/>
      <c r="D33" s="4">
        <f t="shared" ref="D33:O33" si="6">IFERROR(D32/D10, 0)</f>
        <v>0</v>
      </c>
      <c r="E33" s="4">
        <f t="shared" si="6"/>
        <v>0</v>
      </c>
      <c r="F33" s="4">
        <f t="shared" si="6"/>
        <v>0</v>
      </c>
      <c r="G33" s="4">
        <f t="shared" si="6"/>
        <v>0</v>
      </c>
      <c r="H33" s="4">
        <f t="shared" si="6"/>
        <v>0</v>
      </c>
      <c r="I33" s="4">
        <f t="shared" si="6"/>
        <v>0</v>
      </c>
      <c r="J33" s="4">
        <f t="shared" si="6"/>
        <v>0</v>
      </c>
      <c r="K33" s="4">
        <f t="shared" si="6"/>
        <v>0</v>
      </c>
      <c r="L33" s="4">
        <f t="shared" si="6"/>
        <v>0</v>
      </c>
      <c r="M33" s="4">
        <f t="shared" si="6"/>
        <v>0</v>
      </c>
      <c r="N33" s="4">
        <f t="shared" si="6"/>
        <v>0</v>
      </c>
      <c r="O33" s="4">
        <f t="shared" si="6"/>
        <v>0</v>
      </c>
      <c r="P33" s="18"/>
      <c r="Q33" s="4">
        <f>IFERROR(Q32/Q10, 0)</f>
        <v>0</v>
      </c>
    </row>
    <row r="34" spans="1:17" x14ac:dyDescent="0.25">
      <c r="A34" s="5"/>
      <c r="B34" s="8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s="14" customFormat="1" x14ac:dyDescent="0.25">
      <c r="A35" s="25"/>
      <c r="B35" s="8" t="s">
        <v>8</v>
      </c>
      <c r="C35" s="8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2">
        <f>SUM(OSRRefD28_0x)+IFERROR(SUM(OSRRefE28_0x),0)</f>
        <v>0</v>
      </c>
    </row>
    <row r="36" spans="1:17" x14ac:dyDescent="0.25">
      <c r="A36" s="5"/>
      <c r="B36" s="8"/>
      <c r="C36" s="8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Q36" s="3"/>
    </row>
    <row r="37" spans="1:17" s="14" customFormat="1" ht="15.75" thickBot="1" x14ac:dyDescent="0.3">
      <c r="A37" s="8"/>
      <c r="B37" s="17" t="s">
        <v>4</v>
      </c>
      <c r="C37" s="17"/>
      <c r="D37" s="7">
        <f t="shared" ref="D37:O37" si="7">IFERROR(+D32-D35, 0)</f>
        <v>-31956.86</v>
      </c>
      <c r="E37" s="7">
        <f t="shared" si="7"/>
        <v>-46373.01</v>
      </c>
      <c r="F37" s="7">
        <f t="shared" si="7"/>
        <v>-31927.710000000003</v>
      </c>
      <c r="G37" s="7">
        <f t="shared" si="7"/>
        <v>-44751.53</v>
      </c>
      <c r="H37" s="7">
        <f t="shared" si="7"/>
        <v>-50337</v>
      </c>
      <c r="I37" s="7">
        <f t="shared" si="7"/>
        <v>-42137</v>
      </c>
      <c r="J37" s="7">
        <f t="shared" si="7"/>
        <v>-67937</v>
      </c>
      <c r="K37" s="7">
        <f t="shared" si="7"/>
        <v>-35437</v>
      </c>
      <c r="L37" s="7">
        <f t="shared" si="7"/>
        <v>-61437</v>
      </c>
      <c r="M37" s="7">
        <f t="shared" si="7"/>
        <v>-62937</v>
      </c>
      <c r="N37" s="7">
        <f t="shared" si="7"/>
        <v>-35337</v>
      </c>
      <c r="O37" s="7">
        <f t="shared" si="7"/>
        <v>347863</v>
      </c>
      <c r="Q37" s="7">
        <f>IFERROR(+Q32-Q35, 0)</f>
        <v>-162705.10999999999</v>
      </c>
    </row>
    <row r="38" spans="1:17" ht="15.75" thickTop="1" x14ac:dyDescent="0.25">
      <c r="A38" s="5"/>
      <c r="B38" s="5"/>
      <c r="C38" s="5"/>
      <c r="D38" s="4">
        <f t="shared" ref="D38:O38" si="8">IFERROR(D37/D10, 0)</f>
        <v>0</v>
      </c>
      <c r="E38" s="4">
        <f t="shared" si="8"/>
        <v>0</v>
      </c>
      <c r="F38" s="4">
        <f t="shared" si="8"/>
        <v>0</v>
      </c>
      <c r="G38" s="4">
        <f t="shared" si="8"/>
        <v>0</v>
      </c>
      <c r="H38" s="4">
        <f t="shared" si="8"/>
        <v>0</v>
      </c>
      <c r="I38" s="4">
        <f t="shared" si="8"/>
        <v>0</v>
      </c>
      <c r="J38" s="4">
        <f t="shared" si="8"/>
        <v>0</v>
      </c>
      <c r="K38" s="4">
        <f t="shared" si="8"/>
        <v>0</v>
      </c>
      <c r="L38" s="4">
        <f t="shared" si="8"/>
        <v>0</v>
      </c>
      <c r="M38" s="4">
        <f t="shared" si="8"/>
        <v>0</v>
      </c>
      <c r="N38" s="4">
        <f t="shared" si="8"/>
        <v>0</v>
      </c>
      <c r="O38" s="4">
        <f t="shared" si="8"/>
        <v>0</v>
      </c>
      <c r="P38" s="18"/>
      <c r="Q38" s="4">
        <f>IFERROR(Q37/Q10, 0)</f>
        <v>0</v>
      </c>
    </row>
    <row r="39" spans="1:17" x14ac:dyDescent="0.25">
      <c r="A39" s="5"/>
      <c r="B39" s="5"/>
      <c r="C39" s="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Q39" s="3"/>
    </row>
    <row r="40" spans="1:17" x14ac:dyDescent="0.25">
      <c r="A40" s="5"/>
      <c r="B40" s="5"/>
      <c r="C40" s="5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Q40" s="3"/>
    </row>
    <row r="41" spans="1:17" s="14" customFormat="1" ht="15.75" thickBot="1" x14ac:dyDescent="0.3">
      <c r="A41" s="8"/>
      <c r="B41" s="17" t="s">
        <v>5</v>
      </c>
      <c r="C41" s="17"/>
      <c r="D41" s="7">
        <f t="shared" ref="D41:O41" si="9">IFERROR(SUM(D37:D40), 0)</f>
        <v>-31956.86</v>
      </c>
      <c r="E41" s="7">
        <f t="shared" si="9"/>
        <v>-46373.01</v>
      </c>
      <c r="F41" s="7">
        <f t="shared" si="9"/>
        <v>-31927.710000000003</v>
      </c>
      <c r="G41" s="7">
        <f t="shared" si="9"/>
        <v>-44751.53</v>
      </c>
      <c r="H41" s="7">
        <f t="shared" si="9"/>
        <v>-50337</v>
      </c>
      <c r="I41" s="7">
        <f t="shared" si="9"/>
        <v>-42137</v>
      </c>
      <c r="J41" s="7">
        <f t="shared" si="9"/>
        <v>-67937</v>
      </c>
      <c r="K41" s="7">
        <f t="shared" si="9"/>
        <v>-35437</v>
      </c>
      <c r="L41" s="7">
        <f t="shared" si="9"/>
        <v>-61437</v>
      </c>
      <c r="M41" s="7">
        <f t="shared" si="9"/>
        <v>-62937</v>
      </c>
      <c r="N41" s="7">
        <f t="shared" si="9"/>
        <v>-35337</v>
      </c>
      <c r="O41" s="7">
        <f t="shared" si="9"/>
        <v>347863</v>
      </c>
      <c r="Q41" s="7">
        <f>IFERROR(SUM(Q37:Q40), 0)</f>
        <v>-162705.10999999999</v>
      </c>
    </row>
    <row r="42" spans="1:17" ht="15.75" thickTop="1" x14ac:dyDescent="0.25">
      <c r="A42" s="5"/>
      <c r="C42" s="5"/>
      <c r="D42" s="4">
        <f t="shared" ref="D42:O42" si="10">IFERROR(D41/D10, 0)</f>
        <v>0</v>
      </c>
      <c r="E42" s="4">
        <f t="shared" si="10"/>
        <v>0</v>
      </c>
      <c r="F42" s="4">
        <f t="shared" si="10"/>
        <v>0</v>
      </c>
      <c r="G42" s="4">
        <f t="shared" si="10"/>
        <v>0</v>
      </c>
      <c r="H42" s="4">
        <f t="shared" si="10"/>
        <v>0</v>
      </c>
      <c r="I42" s="4">
        <f t="shared" si="10"/>
        <v>0</v>
      </c>
      <c r="J42" s="4">
        <f t="shared" si="10"/>
        <v>0</v>
      </c>
      <c r="K42" s="4">
        <f t="shared" si="10"/>
        <v>0</v>
      </c>
      <c r="L42" s="4">
        <f t="shared" si="10"/>
        <v>0</v>
      </c>
      <c r="M42" s="4">
        <f t="shared" si="10"/>
        <v>0</v>
      </c>
      <c r="N42" s="4">
        <f t="shared" si="10"/>
        <v>0</v>
      </c>
      <c r="O42" s="4">
        <f t="shared" si="10"/>
        <v>0</v>
      </c>
      <c r="P42" s="18"/>
      <c r="Q42" s="4">
        <f>IFERROR(Q41/Q10, 0)</f>
        <v>0</v>
      </c>
    </row>
    <row r="43" spans="1:17" x14ac:dyDescent="0.25">
      <c r="A43" s="5"/>
      <c r="B43" s="26">
        <v>44151.564706516205</v>
      </c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Q43" s="12"/>
    </row>
    <row r="44" spans="1:17" x14ac:dyDescent="0.25">
      <c r="A44" s="5"/>
      <c r="B44" s="30" t="s">
        <v>311</v>
      </c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Q44" s="12"/>
    </row>
    <row r="45" spans="1:17" x14ac:dyDescent="0.25">
      <c r="A45" s="5"/>
      <c r="B45" s="31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Q45" s="12"/>
    </row>
    <row r="46" spans="1:17" x14ac:dyDescent="0.25"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Q46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","201", " - ", "General Manager")</f>
        <v>Department 201 - General Manager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0">
        <f>SUM(OSRRefD20x_0)</f>
        <v>35660.750000000007</v>
      </c>
      <c r="E17" s="10">
        <f>SUM(OSRRefD20x_1)</f>
        <v>31265.52</v>
      </c>
      <c r="F17" s="10">
        <f>SUM(OSRRefD20x_2)</f>
        <v>40329.990000000005</v>
      </c>
      <c r="G17" s="10">
        <f>SUM(OSRRefD20x_3)</f>
        <v>35310.559999999998</v>
      </c>
      <c r="H17" s="10">
        <f>SUM(OSRRefE20x_0)</f>
        <v>60001.532307692272</v>
      </c>
      <c r="I17" s="10">
        <f>SUM(OSRRefE20x_1)</f>
        <v>38456</v>
      </c>
      <c r="J17" s="10">
        <f>SUM(OSRRefE20x_2)</f>
        <v>38909.165384615364</v>
      </c>
      <c r="K17" s="10">
        <f>SUM(OSRRefE20x_3)</f>
        <v>36426.532307692272</v>
      </c>
      <c r="L17" s="10">
        <f>SUM(OSRRefE20x_4)</f>
        <v>32426.532307692272</v>
      </c>
      <c r="M17" s="10">
        <f>SUM(OSRRefE20x_5)</f>
        <v>43734.165384615364</v>
      </c>
      <c r="N17" s="10">
        <f>SUM(OSRRefE20x_6)</f>
        <v>51514.793846153872</v>
      </c>
      <c r="O17" s="10">
        <f>SUM(OSRRefE20x_7)</f>
        <v>52806.793846153872</v>
      </c>
      <c r="Q17" s="10">
        <f>SUM(OSRRefG20x)</f>
        <v>496842.33538461529</v>
      </c>
    </row>
    <row r="18" spans="1:17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11138.359999999999</v>
      </c>
      <c r="E18" s="1">
        <f>SUM(OSRRefD21_0x_1)</f>
        <v>10238.019999999999</v>
      </c>
      <c r="F18" s="1">
        <f>SUM(OSRRefD21_0x_2)</f>
        <v>10116.07</v>
      </c>
      <c r="G18" s="1">
        <f>SUM(OSRRefD21_0x_3)</f>
        <v>11601.890000000001</v>
      </c>
      <c r="H18" s="1">
        <f>SUM(OSRRefE21_0x_0)</f>
        <v>8377.8400000000038</v>
      </c>
      <c r="I18" s="1">
        <f>SUM(OSRRefE21_0x_1)</f>
        <v>350</v>
      </c>
      <c r="J18" s="1">
        <f>SUM(OSRRefE21_0x_2)</f>
        <v>9718.5500000000011</v>
      </c>
      <c r="K18" s="1">
        <f>SUM(OSRRefE21_0x_3)</f>
        <v>8552.8400000000038</v>
      </c>
      <c r="L18" s="1">
        <f>SUM(OSRRefE21_0x_4)</f>
        <v>8552.8400000000038</v>
      </c>
      <c r="M18" s="1">
        <f>SUM(OSRRefE21_0x_5)</f>
        <v>9543.5500000000011</v>
      </c>
      <c r="N18" s="1">
        <f>SUM(OSRRefE21_0x_6)</f>
        <v>13202.64</v>
      </c>
      <c r="O18" s="1">
        <f>SUM(OSRRefE21_0x_7)</f>
        <v>13202.64</v>
      </c>
      <c r="Q18" s="2">
        <f>SUM(OSRRefD20_0x)+IFERROR(SUM(OSRRefE20_0x),0)</f>
        <v>114595.24000000002</v>
      </c>
    </row>
    <row r="19" spans="1:17" s="34" customFormat="1" hidden="1" outlineLevel="1" x14ac:dyDescent="0.25">
      <c r="A19" s="35"/>
      <c r="B19" s="13" t="str">
        <f>CONCATENATE("          ","6111", " - ","F.I.C.A.")</f>
        <v xml:space="preserve">          6111 - F.I.C.A.</v>
      </c>
      <c r="C19" s="15"/>
      <c r="D19" s="2">
        <v>1447.92</v>
      </c>
      <c r="E19" s="2">
        <v>1447.18</v>
      </c>
      <c r="F19" s="2">
        <v>1279.5999999999999</v>
      </c>
      <c r="G19" s="2">
        <v>1525.7</v>
      </c>
      <c r="H19" s="2">
        <v>1436.4092307692301</v>
      </c>
      <c r="I19" s="2">
        <v>0</v>
      </c>
      <c r="J19" s="2">
        <v>1795.5115384615399</v>
      </c>
      <c r="K19" s="2">
        <v>1436.4092307692301</v>
      </c>
      <c r="L19" s="2">
        <v>1436.4092307692301</v>
      </c>
      <c r="M19" s="2">
        <v>1795.5115384615399</v>
      </c>
      <c r="N19" s="2">
        <v>2496.0553846153798</v>
      </c>
      <c r="O19" s="2">
        <v>2496.0553846153798</v>
      </c>
      <c r="P19" s="9"/>
      <c r="Q19" s="2">
        <f>SUM(OSRRefD21_0_0x)+IFERROR(SUM(OSRRefE21_0_0x),0)</f>
        <v>18592.761538461531</v>
      </c>
    </row>
    <row r="20" spans="1:17" s="34" customFormat="1" hidden="1" outlineLevel="1" x14ac:dyDescent="0.2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62.46</v>
      </c>
      <c r="E20" s="2">
        <v>62.43</v>
      </c>
      <c r="F20" s="2">
        <v>62.43</v>
      </c>
      <c r="G20" s="2">
        <v>62.43</v>
      </c>
      <c r="H20" s="2">
        <v>61.938461538461596</v>
      </c>
      <c r="I20" s="2">
        <v>0</v>
      </c>
      <c r="J20" s="2">
        <v>77.423076923076906</v>
      </c>
      <c r="K20" s="2">
        <v>61.938461538461596</v>
      </c>
      <c r="L20" s="2">
        <v>61.938461538461596</v>
      </c>
      <c r="M20" s="2">
        <v>77.423076923076906</v>
      </c>
      <c r="N20" s="2">
        <v>107.630769230769</v>
      </c>
      <c r="O20" s="2">
        <v>107.630769230769</v>
      </c>
      <c r="P20" s="9"/>
      <c r="Q20" s="2">
        <f>SUM(OSRRefD21_0_1x)+IFERROR(SUM(OSRRefE21_0_1x),0)</f>
        <v>805.67307692307656</v>
      </c>
    </row>
    <row r="21" spans="1:17" s="34" customFormat="1" hidden="1" outlineLevel="1" x14ac:dyDescent="0.25">
      <c r="A21" s="35"/>
      <c r="B21" s="13" t="str">
        <f>CONCATENATE("          ","6113", " - ","GROUP INSURANCE")</f>
        <v xml:space="preserve">          6113 - GROUP INSURANCE</v>
      </c>
      <c r="C21" s="15"/>
      <c r="D21" s="2">
        <v>3965.44</v>
      </c>
      <c r="E21" s="2">
        <v>4070.76</v>
      </c>
      <c r="F21" s="2">
        <v>4070.76</v>
      </c>
      <c r="G21" s="2">
        <v>4070.76</v>
      </c>
      <c r="H21" s="2">
        <v>3365</v>
      </c>
      <c r="I21" s="2">
        <v>0</v>
      </c>
      <c r="J21" s="2">
        <v>3365</v>
      </c>
      <c r="K21" s="2">
        <v>3365</v>
      </c>
      <c r="L21" s="2">
        <v>3365</v>
      </c>
      <c r="M21" s="2">
        <v>3365</v>
      </c>
      <c r="N21" s="2">
        <v>4750</v>
      </c>
      <c r="O21" s="2">
        <v>4750</v>
      </c>
      <c r="P21" s="9"/>
      <c r="Q21" s="2">
        <f>SUM(OSRRefD21_0_2x)+IFERROR(SUM(OSRRefE21_0_2x),0)</f>
        <v>42502.720000000001</v>
      </c>
    </row>
    <row r="22" spans="1:17" s="34" customFormat="1" hidden="1" outlineLevel="1" x14ac:dyDescent="0.2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49.21</v>
      </c>
      <c r="E22" s="2">
        <v>49.19</v>
      </c>
      <c r="F22" s="2">
        <v>49.19</v>
      </c>
      <c r="G22" s="2">
        <v>49.19</v>
      </c>
      <c r="H22" s="2">
        <v>48.8</v>
      </c>
      <c r="I22" s="2">
        <v>0</v>
      </c>
      <c r="J22" s="2">
        <v>61</v>
      </c>
      <c r="K22" s="2">
        <v>48.8</v>
      </c>
      <c r="L22" s="2">
        <v>48.8</v>
      </c>
      <c r="M22" s="2">
        <v>61</v>
      </c>
      <c r="N22" s="2">
        <v>84.8</v>
      </c>
      <c r="O22" s="2">
        <v>84.8</v>
      </c>
      <c r="P22" s="9"/>
      <c r="Q22" s="2">
        <f>SUM(OSRRefD21_0_3x)+IFERROR(SUM(OSRRefE21_0_3x),0)</f>
        <v>634.78</v>
      </c>
    </row>
    <row r="23" spans="1:17" s="34" customFormat="1" hidden="1" outlineLevel="1" x14ac:dyDescent="0.25">
      <c r="A23" s="35"/>
      <c r="B23" s="13" t="str">
        <f>CONCATENATE("          ","6115", " - ","P.E.R.S.")</f>
        <v xml:space="preserve">          6115 - P.E.R.S.</v>
      </c>
      <c r="C23" s="15"/>
      <c r="D23" s="2">
        <v>3073.55</v>
      </c>
      <c r="E23" s="2">
        <v>2049.0300000000002</v>
      </c>
      <c r="F23" s="2">
        <v>2049.0300000000002</v>
      </c>
      <c r="G23" s="2">
        <v>2049.0300000000002</v>
      </c>
      <c r="H23" s="2">
        <v>1614.1538461538501</v>
      </c>
      <c r="I23" s="2">
        <v>0</v>
      </c>
      <c r="J23" s="2">
        <v>2017.6923076923101</v>
      </c>
      <c r="K23" s="2">
        <v>1614.1538461538501</v>
      </c>
      <c r="L23" s="2">
        <v>1614.1538461538501</v>
      </c>
      <c r="M23" s="2">
        <v>2017.6923076923101</v>
      </c>
      <c r="N23" s="2">
        <v>2804.9230769230799</v>
      </c>
      <c r="O23" s="2">
        <v>2804.9230769230799</v>
      </c>
      <c r="P23" s="9"/>
      <c r="Q23" s="2">
        <f>SUM(OSRRefD21_0_4x)+IFERROR(SUM(OSRRefE21_0_4x),0)</f>
        <v>23708.332307692333</v>
      </c>
    </row>
    <row r="24" spans="1:17" s="34" customFormat="1" hidden="1" outlineLevel="1" x14ac:dyDescent="0.25">
      <c r="A24" s="35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3" t="str">
        <f>CONCATENATE("          ","6118", " - ","VACATION")</f>
        <v xml:space="preserve">          6118 - VACATION</v>
      </c>
      <c r="C25" s="15"/>
      <c r="D25" s="2">
        <v>1658.98</v>
      </c>
      <c r="E25" s="2">
        <v>1658.98</v>
      </c>
      <c r="F25" s="2">
        <v>1658.98</v>
      </c>
      <c r="G25" s="2">
        <v>2488.4699999999998</v>
      </c>
      <c r="H25" s="2">
        <v>938.46153846153913</v>
      </c>
      <c r="I25" s="2">
        <v>0</v>
      </c>
      <c r="J25" s="2">
        <v>1173.0769230769201</v>
      </c>
      <c r="K25" s="2">
        <v>938.46153846153913</v>
      </c>
      <c r="L25" s="2">
        <v>938.46153846153913</v>
      </c>
      <c r="M25" s="2">
        <v>1173.0769230769201</v>
      </c>
      <c r="N25" s="2">
        <v>1630.76923076923</v>
      </c>
      <c r="O25" s="2">
        <v>1630.76923076923</v>
      </c>
      <c r="P25" s="9"/>
      <c r="Q25" s="2">
        <f>SUM(OSRRefD21_0_6x)+IFERROR(SUM(OSRRefE21_0_6x),0)</f>
        <v>15888.486923076918</v>
      </c>
    </row>
    <row r="26" spans="1:17" s="34" customFormat="1" hidden="1" outlineLevel="1" x14ac:dyDescent="0.25">
      <c r="A26" s="35"/>
      <c r="B26" s="13" t="str">
        <f>CONCATENATE("          ","6119", " - ","SICK LEAVE")</f>
        <v xml:space="preserve">          6119 - SICK LEAVE</v>
      </c>
      <c r="C26" s="15"/>
      <c r="D26" s="2">
        <v>856.8</v>
      </c>
      <c r="E26" s="2">
        <v>856.8</v>
      </c>
      <c r="F26" s="2">
        <v>856.8</v>
      </c>
      <c r="G26" s="2">
        <v>1285.2</v>
      </c>
      <c r="H26" s="2">
        <v>563.07692307692298</v>
      </c>
      <c r="I26" s="2">
        <v>0</v>
      </c>
      <c r="J26" s="2">
        <v>703.84615384615404</v>
      </c>
      <c r="K26" s="2">
        <v>563.07692307692298</v>
      </c>
      <c r="L26" s="2">
        <v>563.07692307692298</v>
      </c>
      <c r="M26" s="2">
        <v>703.84615384615404</v>
      </c>
      <c r="N26" s="2">
        <v>978.46153846153913</v>
      </c>
      <c r="O26" s="2">
        <v>978.46153846153913</v>
      </c>
      <c r="P26" s="9"/>
      <c r="Q26" s="2">
        <f>SUM(OSRRefD21_0_7x)+IFERROR(SUM(OSRRefE21_0_7x),0)</f>
        <v>8909.4461538461546</v>
      </c>
    </row>
    <row r="27" spans="1:17" s="34" customFormat="1" hidden="1" outlineLevel="1" x14ac:dyDescent="0.25">
      <c r="A27" s="35"/>
      <c r="B27" s="13" t="str">
        <f>CONCATENATE("          ","6156", " - ","EMPLOYEE MEALS")</f>
        <v xml:space="preserve">          6156 - EMPLOYEE MEALS</v>
      </c>
      <c r="C27" s="15"/>
      <c r="D27" s="2">
        <v>24</v>
      </c>
      <c r="E27" s="2">
        <v>43.65</v>
      </c>
      <c r="F27" s="2">
        <v>89.28</v>
      </c>
      <c r="G27" s="2">
        <v>71.11</v>
      </c>
      <c r="H27" s="2">
        <v>350</v>
      </c>
      <c r="I27" s="2">
        <v>350</v>
      </c>
      <c r="J27" s="2">
        <v>525</v>
      </c>
      <c r="K27" s="2">
        <v>525</v>
      </c>
      <c r="L27" s="2">
        <v>525</v>
      </c>
      <c r="M27" s="2">
        <v>350</v>
      </c>
      <c r="N27" s="2">
        <v>350</v>
      </c>
      <c r="O27" s="2">
        <v>350</v>
      </c>
      <c r="P27" s="9"/>
      <c r="Q27" s="2">
        <f>SUM(OSRRefD21_0_8x)+IFERROR(SUM(OSRRefE21_0_8x),0)</f>
        <v>3553.04</v>
      </c>
    </row>
    <row r="28" spans="1:17" s="34" customFormat="1" collapsed="1" x14ac:dyDescent="0.25">
      <c r="A28" s="35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20793.400000000001</v>
      </c>
      <c r="E28" s="1">
        <f>SUM(OSRRefD21_1x_1)</f>
        <v>14832.060000000001</v>
      </c>
      <c r="F28" s="1">
        <f>SUM(OSRRefD21_1x_2)</f>
        <v>19036.760000000002</v>
      </c>
      <c r="G28" s="1">
        <f>SUM(OSRRefD21_1x_3)</f>
        <v>-21199.170000000002</v>
      </c>
      <c r="H28" s="1">
        <f>SUM(OSRRefE21_1x_0)</f>
        <v>17267.692307692269</v>
      </c>
      <c r="I28" s="1">
        <f>SUM(OSRRefE21_1x_1)</f>
        <v>0</v>
      </c>
      <c r="J28" s="1">
        <f>SUM(OSRRefE21_1x_2)</f>
        <v>21584.615384615361</v>
      </c>
      <c r="K28" s="1">
        <f>SUM(OSRRefE21_1x_3)</f>
        <v>17267.692307692269</v>
      </c>
      <c r="L28" s="1">
        <f>SUM(OSRRefE21_1x_4)</f>
        <v>17267.692307692269</v>
      </c>
      <c r="M28" s="1">
        <f>SUM(OSRRefE21_1x_5)</f>
        <v>21584.615384615361</v>
      </c>
      <c r="N28" s="1">
        <f>SUM(OSRRefE21_1x_6)</f>
        <v>30006.153846153869</v>
      </c>
      <c r="O28" s="1">
        <f>SUM(OSRRefE21_1x_7)</f>
        <v>30006.153846153869</v>
      </c>
      <c r="Q28" s="2">
        <f>SUM(OSRRefD20_1x)+IFERROR(SUM(OSRRefE20_1x),0)</f>
        <v>188447.66538461525</v>
      </c>
    </row>
    <row r="29" spans="1:17" s="34" customFormat="1" hidden="1" outlineLevel="1" x14ac:dyDescent="0.25">
      <c r="A29" s="35"/>
      <c r="B29" s="13" t="str">
        <f>CONCATENATE("          ","6001", " - ","ADMINISTRATIVE SALARIES")</f>
        <v xml:space="preserve">          6001 - ADMINISTRATIVE SALARIES</v>
      </c>
      <c r="C29" s="15"/>
      <c r="D29" s="2">
        <v>16876.34</v>
      </c>
      <c r="E29" s="2">
        <v>11404.53</v>
      </c>
      <c r="F29" s="2">
        <v>14140.28</v>
      </c>
      <c r="G29" s="2">
        <v>17790.419999999998</v>
      </c>
      <c r="H29" s="2">
        <v>12738.461538461499</v>
      </c>
      <c r="I29" s="2">
        <v>0</v>
      </c>
      <c r="J29" s="2">
        <v>15923.0769230769</v>
      </c>
      <c r="K29" s="2">
        <v>12738.461538461499</v>
      </c>
      <c r="L29" s="2">
        <v>12738.461538461499</v>
      </c>
      <c r="M29" s="2">
        <v>15923.0769230769</v>
      </c>
      <c r="N29" s="2">
        <v>25476.9230769231</v>
      </c>
      <c r="O29" s="2">
        <v>25476.9230769231</v>
      </c>
      <c r="P29" s="9"/>
      <c r="Q29" s="2">
        <f>SUM(OSRRefD21_1_0x)+IFERROR(SUM(OSRRefE21_1_0x),0)</f>
        <v>181226.95461538449</v>
      </c>
    </row>
    <row r="30" spans="1:17" s="34" customFormat="1" hidden="1" outlineLevel="1" x14ac:dyDescent="0.25">
      <c r="A30" s="35"/>
      <c r="B30" s="13" t="str">
        <f>CONCATENATE("          ","6002", " - ","STAFF SALARIES")</f>
        <v xml:space="preserve">          6002 - STAFF SALARIES</v>
      </c>
      <c r="C30" s="15"/>
      <c r="D30" s="2">
        <v>3917.06</v>
      </c>
      <c r="E30" s="2">
        <v>3427.53</v>
      </c>
      <c r="F30" s="2">
        <v>4896.4799999999996</v>
      </c>
      <c r="G30" s="2">
        <v>5967.7</v>
      </c>
      <c r="H30" s="2">
        <v>4529.2307692307704</v>
      </c>
      <c r="I30" s="2">
        <v>0</v>
      </c>
      <c r="J30" s="2">
        <v>5661.5384615384601</v>
      </c>
      <c r="K30" s="2">
        <v>4529.2307692307704</v>
      </c>
      <c r="L30" s="2">
        <v>4529.2307692307704</v>
      </c>
      <c r="M30" s="2">
        <v>5661.5384615384601</v>
      </c>
      <c r="N30" s="2">
        <v>4529.2307692307704</v>
      </c>
      <c r="O30" s="2">
        <v>4529.2307692307704</v>
      </c>
      <c r="P30" s="9"/>
      <c r="Q30" s="2">
        <f>SUM(OSRRefD21_1_1x)+IFERROR(SUM(OSRRefE21_1_1x),0)</f>
        <v>52178.00076923077</v>
      </c>
    </row>
    <row r="31" spans="1:17" s="34" customFormat="1" hidden="1" outlineLevel="1" x14ac:dyDescent="0.25">
      <c r="A31" s="35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25">
      <c r="A32" s="35"/>
      <c r="B32" s="13" t="str">
        <f>CONCATENATE("          ","6004", " - ","STAFF HOURLY")</f>
        <v xml:space="preserve">          6004 - STAFF HOURLY</v>
      </c>
      <c r="C32" s="15"/>
      <c r="D32" s="2"/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4" customFormat="1" hidden="1" outlineLevel="1" x14ac:dyDescent="0.25">
      <c r="A33" s="35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25">
      <c r="A34" s="35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25">
      <c r="A35" s="35"/>
      <c r="B35" s="13" t="str">
        <f>CONCATENATE("          ","6007", " - ","STUDENT HOURLY")</f>
        <v xml:space="preserve">          6007 - STUDENT HOURLY</v>
      </c>
      <c r="C35" s="15"/>
      <c r="D35" s="2"/>
      <c r="E35" s="2"/>
      <c r="F35" s="2"/>
      <c r="G35" s="2">
        <v>-44957.29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-44957.29</v>
      </c>
    </row>
    <row r="36" spans="1:17" s="34" customFormat="1" hidden="1" outlineLevel="1" x14ac:dyDescent="0.25">
      <c r="A36" s="35"/>
      <c r="B36" s="13" t="str">
        <f>CONCATENATE("          ","6008", " - ","STUDENT HOURLY-FICA EXEMPT")</f>
        <v xml:space="preserve">          6008 - STUDENT HOURLY-FICA EXEMPT</v>
      </c>
      <c r="C36" s="15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25">
      <c r="A37" s="35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25">
      <c r="A38" s="35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25">
      <c r="A39" s="35"/>
      <c r="B39" s="15" t="str">
        <f>CONCATENATE("     ","Advertising/Promo                                 ")</f>
        <v xml:space="preserve">     Advertising/Promo                                 </v>
      </c>
      <c r="C39" s="15"/>
      <c r="D39" s="1">
        <f>SUM(OSRRefD21_2x_0)</f>
        <v>58.38</v>
      </c>
      <c r="E39" s="1">
        <f>SUM(OSRRefD21_2x_1)</f>
        <v>3.47</v>
      </c>
      <c r="F39" s="1">
        <f>SUM(OSRRefD21_2x_2)</f>
        <v>4.95</v>
      </c>
      <c r="G39" s="1">
        <f>SUM(OSRRefD21_2x_3)</f>
        <v>0</v>
      </c>
      <c r="H39" s="1">
        <f>SUM(OSRRefE21_2x_0)</f>
        <v>500</v>
      </c>
      <c r="I39" s="1">
        <f>SUM(OSRRefE21_2x_1)</f>
        <v>500</v>
      </c>
      <c r="J39" s="1">
        <f>SUM(OSRRefE21_2x_2)</f>
        <v>500</v>
      </c>
      <c r="K39" s="1">
        <f>SUM(OSRRefE21_2x_3)</f>
        <v>500</v>
      </c>
      <c r="L39" s="1">
        <f>SUM(OSRRefE21_2x_4)</f>
        <v>500</v>
      </c>
      <c r="M39" s="1">
        <f>SUM(OSRRefE21_2x_5)</f>
        <v>500</v>
      </c>
      <c r="N39" s="1">
        <f>SUM(OSRRefE21_2x_6)</f>
        <v>500</v>
      </c>
      <c r="O39" s="1">
        <f>SUM(OSRRefE21_2x_7)</f>
        <v>500</v>
      </c>
      <c r="Q39" s="2">
        <f>SUM(OSRRefD20_2x)+IFERROR(SUM(OSRRefE20_2x),0)</f>
        <v>4066.8</v>
      </c>
    </row>
    <row r="40" spans="1:17" s="34" customFormat="1" hidden="1" outlineLevel="1" x14ac:dyDescent="0.25">
      <c r="A40" s="35"/>
      <c r="B40" s="13" t="str">
        <f>CONCATENATE("          ","6362", " - ","ADVERTISING EXPENSE")</f>
        <v xml:space="preserve">          6362 - ADVERTISING EXPENSE</v>
      </c>
      <c r="C40" s="15"/>
      <c r="D40" s="2">
        <v>58.38</v>
      </c>
      <c r="E40" s="2">
        <v>3.47</v>
      </c>
      <c r="F40" s="2">
        <v>4.95</v>
      </c>
      <c r="G40" s="2"/>
      <c r="H40" s="2">
        <v>500</v>
      </c>
      <c r="I40" s="2">
        <v>500</v>
      </c>
      <c r="J40" s="2">
        <v>500</v>
      </c>
      <c r="K40" s="2">
        <v>500</v>
      </c>
      <c r="L40" s="2">
        <v>500</v>
      </c>
      <c r="M40" s="2">
        <v>500</v>
      </c>
      <c r="N40" s="2">
        <v>500</v>
      </c>
      <c r="O40" s="2">
        <v>500</v>
      </c>
      <c r="P40" s="9"/>
      <c r="Q40" s="2">
        <f>SUM(OSRRefD21_2_0x)+IFERROR(SUM(OSRRefE21_2_0x),0)</f>
        <v>4066.8</v>
      </c>
    </row>
    <row r="41" spans="1:17" s="34" customFormat="1" collapsed="1" x14ac:dyDescent="0.25">
      <c r="A41" s="35"/>
      <c r="B41" s="15" t="str">
        <f>CONCATENATE("     ","Depreciation                                      ")</f>
        <v xml:space="preserve">     Depreciation                                      </v>
      </c>
      <c r="C41" s="15"/>
      <c r="D41" s="1">
        <f>SUM(OSRRefD21_3x_0)</f>
        <v>314.87</v>
      </c>
      <c r="E41" s="1">
        <f>SUM(OSRRefD21_3x_1)</f>
        <v>314.87</v>
      </c>
      <c r="F41" s="1">
        <f>SUM(OSRRefD21_3x_2)</f>
        <v>314.87</v>
      </c>
      <c r="G41" s="1">
        <f>SUM(OSRRefD21_3x_3)</f>
        <v>314.87</v>
      </c>
      <c r="H41" s="1">
        <f>SUM(OSRRefE21_3x_0)</f>
        <v>315</v>
      </c>
      <c r="I41" s="1">
        <f>SUM(OSRRefE21_3x_1)</f>
        <v>315</v>
      </c>
      <c r="J41" s="1">
        <f>SUM(OSRRefE21_3x_2)</f>
        <v>315</v>
      </c>
      <c r="K41" s="1">
        <f>SUM(OSRRefE21_3x_3)</f>
        <v>315</v>
      </c>
      <c r="L41" s="1">
        <f>SUM(OSRRefE21_3x_4)</f>
        <v>315</v>
      </c>
      <c r="M41" s="1">
        <f>SUM(OSRRefE21_3x_5)</f>
        <v>315</v>
      </c>
      <c r="N41" s="1">
        <f>SUM(OSRRefE21_3x_6)</f>
        <v>315</v>
      </c>
      <c r="O41" s="1">
        <f>SUM(OSRRefE21_3x_7)</f>
        <v>313</v>
      </c>
      <c r="Q41" s="2">
        <f>SUM(OSRRefD20_3x)+IFERROR(SUM(OSRRefE20_3x),0)</f>
        <v>3777.48</v>
      </c>
    </row>
    <row r="42" spans="1:17" s="34" customFormat="1" hidden="1" outlineLevel="1" x14ac:dyDescent="0.25">
      <c r="A42" s="35"/>
      <c r="B42" s="13" t="str">
        <f>CONCATENATE("          ","6322", " - ","EQUIPMENT DEPRECIATION EXPENSE")</f>
        <v xml:space="preserve">          6322 - EQUIPMENT DEPRECIATION EXPENSE</v>
      </c>
      <c r="C42" s="15"/>
      <c r="D42" s="2">
        <v>314.87</v>
      </c>
      <c r="E42" s="2">
        <v>314.87</v>
      </c>
      <c r="F42" s="2">
        <v>314.87</v>
      </c>
      <c r="G42" s="2">
        <v>314.87</v>
      </c>
      <c r="H42" s="2">
        <v>315</v>
      </c>
      <c r="I42" s="2">
        <v>315</v>
      </c>
      <c r="J42" s="2">
        <v>315</v>
      </c>
      <c r="K42" s="2">
        <v>315</v>
      </c>
      <c r="L42" s="2">
        <v>315</v>
      </c>
      <c r="M42" s="2">
        <v>315</v>
      </c>
      <c r="N42" s="2">
        <v>315</v>
      </c>
      <c r="O42" s="2">
        <v>313</v>
      </c>
      <c r="P42" s="9"/>
      <c r="Q42" s="2">
        <f>SUM(OSRRefD21_3_0x)+IFERROR(SUM(OSRRefE21_3_0x),0)</f>
        <v>3777.48</v>
      </c>
    </row>
    <row r="43" spans="1:17" s="34" customFormat="1" collapsed="1" x14ac:dyDescent="0.25">
      <c r="A43" s="35"/>
      <c r="B43" s="15" t="str">
        <f>CONCATENATE("     ","Donations                                         ")</f>
        <v xml:space="preserve">     Donations                                         </v>
      </c>
      <c r="C43" s="15"/>
      <c r="D43" s="1">
        <f>SUM(OSRRefD21_4x_0)</f>
        <v>0</v>
      </c>
      <c r="E43" s="1">
        <f>SUM(OSRRefD21_4x_1)</f>
        <v>0</v>
      </c>
      <c r="F43" s="1">
        <f>SUM(OSRRefD21_4x_2)</f>
        <v>0</v>
      </c>
      <c r="G43" s="1">
        <f>SUM(OSRRefD21_4x_3)</f>
        <v>25000</v>
      </c>
      <c r="H43" s="1">
        <f>SUM(OSRRefE21_4x_0)</f>
        <v>2750</v>
      </c>
      <c r="I43" s="1">
        <f>SUM(OSRRefE21_4x_1)</f>
        <v>26500</v>
      </c>
      <c r="J43" s="1">
        <f>SUM(OSRRefE21_4x_2)</f>
        <v>1000</v>
      </c>
      <c r="K43" s="1">
        <f>SUM(OSRRefE21_4x_3)</f>
        <v>2500</v>
      </c>
      <c r="L43" s="1">
        <f>SUM(OSRRefE21_4x_4)</f>
        <v>1000</v>
      </c>
      <c r="M43" s="1">
        <f>SUM(OSRRefE21_4x_5)</f>
        <v>1000</v>
      </c>
      <c r="N43" s="1">
        <f>SUM(OSRRefE21_4x_6)</f>
        <v>1000</v>
      </c>
      <c r="O43" s="1">
        <f>SUM(OSRRefE21_4x_7)</f>
        <v>1000</v>
      </c>
      <c r="Q43" s="2">
        <f>SUM(OSRRefD20_4x)+IFERROR(SUM(OSRRefE20_4x),0)</f>
        <v>61750</v>
      </c>
    </row>
    <row r="44" spans="1:17" s="34" customFormat="1" hidden="1" outlineLevel="1" x14ac:dyDescent="0.25">
      <c r="A44" s="35"/>
      <c r="B44" s="13" t="str">
        <f>CONCATENATE("          ","6395", " - ","DONATION-OFF CAMPUS")</f>
        <v xml:space="preserve">          6395 - DONATION-OFF CAMPUS</v>
      </c>
      <c r="C44" s="15"/>
      <c r="D44" s="2"/>
      <c r="E44" s="2"/>
      <c r="F44" s="2"/>
      <c r="G44" s="2"/>
      <c r="H44" s="2"/>
      <c r="I44" s="2"/>
      <c r="J44" s="2"/>
      <c r="K44" s="2">
        <v>1500</v>
      </c>
      <c r="L44" s="2"/>
      <c r="M44" s="2"/>
      <c r="N44" s="2"/>
      <c r="O44" s="2"/>
      <c r="P44" s="9"/>
      <c r="Q44" s="2">
        <f>SUM(OSRRefD21_4_0x)+IFERROR(SUM(OSRRefE21_4_0x),0)</f>
        <v>1500</v>
      </c>
    </row>
    <row r="45" spans="1:17" s="34" customFormat="1" hidden="1" outlineLevel="1" x14ac:dyDescent="0.25">
      <c r="A45" s="35"/>
      <c r="B45" s="13" t="str">
        <f>CONCATENATE("          ","6399", " - ","DONATION-ON CAMPUS")</f>
        <v xml:space="preserve">          6399 - DONATION-ON CAMPUS</v>
      </c>
      <c r="C45" s="15"/>
      <c r="D45" s="2"/>
      <c r="E45" s="2"/>
      <c r="F45" s="2"/>
      <c r="G45" s="2">
        <v>25000</v>
      </c>
      <c r="H45" s="2">
        <v>2750</v>
      </c>
      <c r="I45" s="2">
        <v>26500</v>
      </c>
      <c r="J45" s="2">
        <v>1000</v>
      </c>
      <c r="K45" s="2">
        <v>1000</v>
      </c>
      <c r="L45" s="2">
        <v>1000</v>
      </c>
      <c r="M45" s="2">
        <v>1000</v>
      </c>
      <c r="N45" s="2">
        <v>1000</v>
      </c>
      <c r="O45" s="2">
        <v>1000</v>
      </c>
      <c r="P45" s="9"/>
      <c r="Q45" s="2">
        <f>SUM(OSRRefD21_4_1x)+IFERROR(SUM(OSRRefE21_4_1x),0)</f>
        <v>60250</v>
      </c>
    </row>
    <row r="46" spans="1:17" s="34" customFormat="1" collapsed="1" x14ac:dyDescent="0.25">
      <c r="A46" s="35"/>
      <c r="B46" s="15" t="str">
        <f>CONCATENATE("     ","Employees' Appreciation                           ")</f>
        <v xml:space="preserve">     Employees' Appreciation                           </v>
      </c>
      <c r="C46" s="15"/>
      <c r="D46" s="1">
        <f>SUM(OSRRefD21_5x_0)</f>
        <v>0</v>
      </c>
      <c r="E46" s="1">
        <f>SUM(OSRRefD21_5x_1)</f>
        <v>0</v>
      </c>
      <c r="F46" s="1">
        <f>SUM(OSRRefD21_5x_2)</f>
        <v>0</v>
      </c>
      <c r="G46" s="1">
        <f>SUM(OSRRefD21_5x_3)</f>
        <v>0</v>
      </c>
      <c r="H46" s="1">
        <f>SUM(OSRRefE21_5x_0)</f>
        <v>0</v>
      </c>
      <c r="I46" s="1">
        <f>SUM(OSRRefE21_5x_1)</f>
        <v>2000</v>
      </c>
      <c r="J46" s="1">
        <f>SUM(OSRRefE21_5x_2)</f>
        <v>0</v>
      </c>
      <c r="K46" s="1">
        <f>SUM(OSRRefE21_5x_3)</f>
        <v>0</v>
      </c>
      <c r="L46" s="1">
        <f>SUM(OSRRefE21_5x_4)</f>
        <v>0</v>
      </c>
      <c r="M46" s="1">
        <f>SUM(OSRRefE21_5x_5)</f>
        <v>0</v>
      </c>
      <c r="N46" s="1">
        <f>SUM(OSRRefE21_5x_6)</f>
        <v>0</v>
      </c>
      <c r="O46" s="1">
        <f>SUM(OSRRefE21_5x_7)</f>
        <v>1000</v>
      </c>
      <c r="Q46" s="2">
        <f>SUM(OSRRefD20_5x)+IFERROR(SUM(OSRRefE20_5x),0)</f>
        <v>3000</v>
      </c>
    </row>
    <row r="47" spans="1:17" s="34" customFormat="1" hidden="1" outlineLevel="1" x14ac:dyDescent="0.25">
      <c r="A47" s="35"/>
      <c r="B47" s="13" t="str">
        <f>CONCATENATE("          ","6277", " - ","EMPLOYEE APPRECIATION")</f>
        <v xml:space="preserve">          6277 - EMPLOYEE APPRECIATION</v>
      </c>
      <c r="C47" s="15"/>
      <c r="D47" s="2"/>
      <c r="E47" s="2"/>
      <c r="F47" s="2"/>
      <c r="G47" s="2"/>
      <c r="H47" s="2"/>
      <c r="I47" s="2">
        <v>2000</v>
      </c>
      <c r="J47" s="2"/>
      <c r="K47" s="2"/>
      <c r="L47" s="2"/>
      <c r="M47" s="2"/>
      <c r="N47" s="2"/>
      <c r="O47" s="2">
        <v>1000</v>
      </c>
      <c r="P47" s="9"/>
      <c r="Q47" s="2">
        <f>SUM(OSRRefD21_5_0x)+IFERROR(SUM(OSRRefE21_5_0x),0)</f>
        <v>3000</v>
      </c>
    </row>
    <row r="48" spans="1:17" s="34" customFormat="1" collapsed="1" x14ac:dyDescent="0.25">
      <c r="A48" s="35"/>
      <c r="B48" s="15" t="str">
        <f>CONCATENATE("     ","Equipment Rental                                  ")</f>
        <v xml:space="preserve">     Equipment Rental                                  </v>
      </c>
      <c r="C48" s="15"/>
      <c r="D48" s="1">
        <f>SUM(OSRRefD21_6x_0)</f>
        <v>117.71</v>
      </c>
      <c r="E48" s="1">
        <f>SUM(OSRRefD21_6x_1)</f>
        <v>117.71</v>
      </c>
      <c r="F48" s="1">
        <f>SUM(OSRRefD21_6x_2)</f>
        <v>117.71</v>
      </c>
      <c r="G48" s="1">
        <f>SUM(OSRRefD21_6x_3)</f>
        <v>117.71</v>
      </c>
      <c r="H48" s="1">
        <f>SUM(OSRRefE21_6x_0)</f>
        <v>118</v>
      </c>
      <c r="I48" s="1">
        <f>SUM(OSRRefE21_6x_1)</f>
        <v>118</v>
      </c>
      <c r="J48" s="1">
        <f>SUM(OSRRefE21_6x_2)</f>
        <v>118</v>
      </c>
      <c r="K48" s="1">
        <f>SUM(OSRRefE21_6x_3)</f>
        <v>118</v>
      </c>
      <c r="L48" s="1">
        <f>SUM(OSRRefE21_6x_4)</f>
        <v>118</v>
      </c>
      <c r="M48" s="1">
        <f>SUM(OSRRefE21_6x_5)</f>
        <v>118</v>
      </c>
      <c r="N48" s="1">
        <f>SUM(OSRRefE21_6x_6)</f>
        <v>118</v>
      </c>
      <c r="O48" s="1">
        <f>SUM(OSRRefE21_6x_7)</f>
        <v>118</v>
      </c>
      <c r="Q48" s="2">
        <f>SUM(OSRRefD20_6x)+IFERROR(SUM(OSRRefE20_6x),0)</f>
        <v>1414.84</v>
      </c>
    </row>
    <row r="49" spans="1:17" s="34" customFormat="1" hidden="1" outlineLevel="1" x14ac:dyDescent="0.25">
      <c r="A49" s="35"/>
      <c r="B49" s="13" t="str">
        <f>CONCATENATE("          ","6351", " - ","EQUIPMENT RENTAL")</f>
        <v xml:space="preserve">          6351 - EQUIPMENT RENTAL</v>
      </c>
      <c r="C49" s="15"/>
      <c r="D49" s="2">
        <v>117.71</v>
      </c>
      <c r="E49" s="2">
        <v>117.71</v>
      </c>
      <c r="F49" s="2">
        <v>117.71</v>
      </c>
      <c r="G49" s="2">
        <v>117.71</v>
      </c>
      <c r="H49" s="2">
        <v>118</v>
      </c>
      <c r="I49" s="2">
        <v>118</v>
      </c>
      <c r="J49" s="2">
        <v>118</v>
      </c>
      <c r="K49" s="2">
        <v>118</v>
      </c>
      <c r="L49" s="2">
        <v>118</v>
      </c>
      <c r="M49" s="2">
        <v>118</v>
      </c>
      <c r="N49" s="2">
        <v>118</v>
      </c>
      <c r="O49" s="2">
        <v>118</v>
      </c>
      <c r="P49" s="9"/>
      <c r="Q49" s="2">
        <f>SUM(OSRRefD21_6_0x)+IFERROR(SUM(OSRRefE21_6_0x),0)</f>
        <v>1414.84</v>
      </c>
    </row>
    <row r="50" spans="1:17" s="34" customFormat="1" collapsed="1" x14ac:dyDescent="0.25">
      <c r="A50" s="35"/>
      <c r="B50" s="15" t="str">
        <f>CONCATENATE("     ","Freight out/Postage                               ")</f>
        <v xml:space="preserve">     Freight out/Postage                               </v>
      </c>
      <c r="C50" s="15"/>
      <c r="D50" s="1">
        <f>SUM(OSRRefD21_7x_0)</f>
        <v>0</v>
      </c>
      <c r="E50" s="1">
        <f>SUM(OSRRefD21_7x_1)</f>
        <v>0</v>
      </c>
      <c r="F50" s="1">
        <f>SUM(OSRRefD21_7x_2)</f>
        <v>24.78</v>
      </c>
      <c r="G50" s="1">
        <f>SUM(OSRRefD21_7x_3)</f>
        <v>38.78</v>
      </c>
      <c r="H50" s="1">
        <f>SUM(OSRRefE21_7x_0)</f>
        <v>15</v>
      </c>
      <c r="I50" s="1">
        <f>SUM(OSRRefE21_7x_1)</f>
        <v>15</v>
      </c>
      <c r="J50" s="1">
        <f>SUM(OSRRefE21_7x_2)</f>
        <v>15</v>
      </c>
      <c r="K50" s="1">
        <f>SUM(OSRRefE21_7x_3)</f>
        <v>15</v>
      </c>
      <c r="L50" s="1">
        <f>SUM(OSRRefE21_7x_4)</f>
        <v>15</v>
      </c>
      <c r="M50" s="1">
        <f>SUM(OSRRefE21_7x_5)</f>
        <v>15</v>
      </c>
      <c r="N50" s="1">
        <f>SUM(OSRRefE21_7x_6)</f>
        <v>15</v>
      </c>
      <c r="O50" s="1">
        <f>SUM(OSRRefE21_7x_7)</f>
        <v>15</v>
      </c>
      <c r="Q50" s="2">
        <f>SUM(OSRRefD20_7x)+IFERROR(SUM(OSRRefE20_7x),0)</f>
        <v>183.56</v>
      </c>
    </row>
    <row r="51" spans="1:17" s="34" customFormat="1" hidden="1" outlineLevel="1" x14ac:dyDescent="0.25">
      <c r="A51" s="35"/>
      <c r="B51" s="13" t="str">
        <f>CONCATENATE("          ","6307", " - ","POSTAGE")</f>
        <v xml:space="preserve">          6307 - POSTAGE</v>
      </c>
      <c r="C51" s="15"/>
      <c r="D51" s="2"/>
      <c r="E51" s="2"/>
      <c r="F51" s="2">
        <v>24.78</v>
      </c>
      <c r="G51" s="2">
        <v>38.78</v>
      </c>
      <c r="H51" s="2">
        <v>15</v>
      </c>
      <c r="I51" s="2">
        <v>15</v>
      </c>
      <c r="J51" s="2">
        <v>15</v>
      </c>
      <c r="K51" s="2">
        <v>15</v>
      </c>
      <c r="L51" s="2">
        <v>15</v>
      </c>
      <c r="M51" s="2">
        <v>15</v>
      </c>
      <c r="N51" s="2">
        <v>15</v>
      </c>
      <c r="O51" s="2">
        <v>15</v>
      </c>
      <c r="P51" s="9"/>
      <c r="Q51" s="2">
        <f>SUM(OSRRefD21_7_0x)+IFERROR(SUM(OSRRefE21_7_0x),0)</f>
        <v>183.56</v>
      </c>
    </row>
    <row r="52" spans="1:17" s="34" customFormat="1" collapsed="1" x14ac:dyDescent="0.25">
      <c r="A52" s="35"/>
      <c r="B52" s="15" t="str">
        <f>CONCATENATE("     ","General                                           ")</f>
        <v xml:space="preserve">     General                                           </v>
      </c>
      <c r="C52" s="15"/>
      <c r="D52" s="1">
        <f>SUM(OSRRefD21_8x_0)</f>
        <v>0</v>
      </c>
      <c r="E52" s="1">
        <f>SUM(OSRRefD21_8x_1)</f>
        <v>0</v>
      </c>
      <c r="F52" s="1">
        <f>SUM(OSRRefD21_8x_2)</f>
        <v>0</v>
      </c>
      <c r="G52" s="1">
        <f>SUM(OSRRefD21_8x_3)</f>
        <v>0</v>
      </c>
      <c r="H52" s="1">
        <f>SUM(OSRRefE21_8x_0)</f>
        <v>0</v>
      </c>
      <c r="I52" s="1">
        <f>SUM(OSRRefE21_8x_1)</f>
        <v>1000</v>
      </c>
      <c r="J52" s="1">
        <f>SUM(OSRRefE21_8x_2)</f>
        <v>0</v>
      </c>
      <c r="K52" s="1">
        <f>SUM(OSRRefE21_8x_3)</f>
        <v>0</v>
      </c>
      <c r="L52" s="1">
        <f>SUM(OSRRefE21_8x_4)</f>
        <v>500</v>
      </c>
      <c r="M52" s="1">
        <f>SUM(OSRRefE21_8x_5)</f>
        <v>0</v>
      </c>
      <c r="N52" s="1">
        <f>SUM(OSRRefE21_8x_6)</f>
        <v>0</v>
      </c>
      <c r="O52" s="1">
        <f>SUM(OSRRefE21_8x_7)</f>
        <v>1000</v>
      </c>
      <c r="Q52" s="2">
        <f>SUM(OSRRefD20_8x)+IFERROR(SUM(OSRRefE20_8x),0)</f>
        <v>2500</v>
      </c>
    </row>
    <row r="53" spans="1:17" s="34" customFormat="1" hidden="1" outlineLevel="1" x14ac:dyDescent="0.25">
      <c r="A53" s="35"/>
      <c r="B53" s="13" t="str">
        <f>CONCATENATE("          ","6279", " - ","GENERAL EXPENSE")</f>
        <v xml:space="preserve">          6279 - GENERAL EXPENSE</v>
      </c>
      <c r="C53" s="15"/>
      <c r="D53" s="2"/>
      <c r="E53" s="2"/>
      <c r="F53" s="2"/>
      <c r="G53" s="2"/>
      <c r="H53" s="2"/>
      <c r="I53" s="2">
        <v>1000</v>
      </c>
      <c r="J53" s="2"/>
      <c r="K53" s="2"/>
      <c r="L53" s="2">
        <v>500</v>
      </c>
      <c r="M53" s="2"/>
      <c r="N53" s="2"/>
      <c r="O53" s="2">
        <v>1000</v>
      </c>
      <c r="P53" s="9"/>
      <c r="Q53" s="2">
        <f>SUM(OSRRefD21_8_0x)+IFERROR(SUM(OSRRefE21_8_0x),0)</f>
        <v>2500</v>
      </c>
    </row>
    <row r="54" spans="1:17" s="34" customFormat="1" collapsed="1" x14ac:dyDescent="0.25">
      <c r="A54" s="35"/>
      <c r="B54" s="15" t="str">
        <f>CONCATENATE("     ","Insurance                                         ")</f>
        <v xml:space="preserve">     Insurance                                         </v>
      </c>
      <c r="C54" s="15"/>
      <c r="D54" s="1">
        <f>SUM(OSRRefD21_9x_0)</f>
        <v>115.13</v>
      </c>
      <c r="E54" s="1">
        <f>SUM(OSRRefD21_9x_1)</f>
        <v>115.13</v>
      </c>
      <c r="F54" s="1">
        <f>SUM(OSRRefD21_9x_2)</f>
        <v>115.13</v>
      </c>
      <c r="G54" s="1">
        <f>SUM(OSRRefD21_9x_3)</f>
        <v>115.13</v>
      </c>
      <c r="H54" s="1">
        <f>SUM(OSRRefE21_9x_0)</f>
        <v>126</v>
      </c>
      <c r="I54" s="1">
        <f>SUM(OSRRefE21_9x_1)</f>
        <v>126</v>
      </c>
      <c r="J54" s="1">
        <f>SUM(OSRRefE21_9x_2)</f>
        <v>126</v>
      </c>
      <c r="K54" s="1">
        <f>SUM(OSRRefE21_9x_3)</f>
        <v>126</v>
      </c>
      <c r="L54" s="1">
        <f>SUM(OSRRefE21_9x_4)</f>
        <v>126</v>
      </c>
      <c r="M54" s="1">
        <f>SUM(OSRRefE21_9x_5)</f>
        <v>126</v>
      </c>
      <c r="N54" s="1">
        <f>SUM(OSRRefE21_9x_6)</f>
        <v>126</v>
      </c>
      <c r="O54" s="1">
        <f>SUM(OSRRefE21_9x_7)</f>
        <v>126</v>
      </c>
      <c r="Q54" s="2">
        <f>SUM(OSRRefD20_9x)+IFERROR(SUM(OSRRefE20_9x),0)</f>
        <v>1468.52</v>
      </c>
    </row>
    <row r="55" spans="1:17" s="34" customFormat="1" hidden="1" outlineLevel="1" x14ac:dyDescent="0.25">
      <c r="A55" s="35"/>
      <c r="B55" s="13" t="str">
        <f>CONCATENATE("          ","6314", " - ","LIABILITY INSURANCE")</f>
        <v xml:space="preserve">          6314 - LIABILITY INSURANCE</v>
      </c>
      <c r="C55" s="15"/>
      <c r="D55" s="2">
        <v>115.13</v>
      </c>
      <c r="E55" s="2">
        <v>115.13</v>
      </c>
      <c r="F55" s="2">
        <v>115.13</v>
      </c>
      <c r="G55" s="2">
        <v>115.13</v>
      </c>
      <c r="H55" s="2">
        <v>126</v>
      </c>
      <c r="I55" s="2">
        <v>126</v>
      </c>
      <c r="J55" s="2">
        <v>126</v>
      </c>
      <c r="K55" s="2">
        <v>126</v>
      </c>
      <c r="L55" s="2">
        <v>126</v>
      </c>
      <c r="M55" s="2">
        <v>126</v>
      </c>
      <c r="N55" s="2">
        <v>126</v>
      </c>
      <c r="O55" s="2">
        <v>126</v>
      </c>
      <c r="P55" s="9"/>
      <c r="Q55" s="2">
        <f>SUM(OSRRefD21_9_0x)+IFERROR(SUM(OSRRefE21_9_0x),0)</f>
        <v>1468.52</v>
      </c>
    </row>
    <row r="56" spans="1:17" s="34" customFormat="1" collapsed="1" x14ac:dyDescent="0.25">
      <c r="A56" s="35"/>
      <c r="B56" s="15" t="str">
        <f>CONCATENATE("     ","Professional Services                             ")</f>
        <v xml:space="preserve">     Professional Services                             </v>
      </c>
      <c r="C56" s="15"/>
      <c r="D56" s="1">
        <f>SUM(OSRRefD21_10x_0)</f>
        <v>100</v>
      </c>
      <c r="E56" s="1">
        <f>SUM(OSRRefD21_10x_1)</f>
        <v>1050</v>
      </c>
      <c r="F56" s="1">
        <f>SUM(OSRRefD21_10x_2)</f>
        <v>8500</v>
      </c>
      <c r="G56" s="1">
        <f>SUM(OSRRefD21_10x_3)</f>
        <v>16280</v>
      </c>
      <c r="H56" s="1">
        <f>SUM(OSRRefE21_10x_0)</f>
        <v>25500</v>
      </c>
      <c r="I56" s="1">
        <f>SUM(OSRRefE21_10x_1)</f>
        <v>3000</v>
      </c>
      <c r="J56" s="1">
        <f>SUM(OSRRefE21_10x_2)</f>
        <v>0</v>
      </c>
      <c r="K56" s="1">
        <f>SUM(OSRRefE21_10x_3)</f>
        <v>1500</v>
      </c>
      <c r="L56" s="1">
        <f>SUM(OSRRefE21_10x_4)</f>
        <v>0</v>
      </c>
      <c r="M56" s="1">
        <f>SUM(OSRRefE21_10x_5)</f>
        <v>0</v>
      </c>
      <c r="N56" s="1">
        <f>SUM(OSRRefE21_10x_6)</f>
        <v>1000</v>
      </c>
      <c r="O56" s="1">
        <f>SUM(OSRRefE21_10x_7)</f>
        <v>0</v>
      </c>
      <c r="Q56" s="2">
        <f>SUM(OSRRefD20_10x)+IFERROR(SUM(OSRRefE20_10x),0)</f>
        <v>56930</v>
      </c>
    </row>
    <row r="57" spans="1:17" s="34" customFormat="1" hidden="1" outlineLevel="1" x14ac:dyDescent="0.25">
      <c r="A57" s="35"/>
      <c r="B57" s="13" t="str">
        <f>CONCATENATE("          ","6331", " - ","INDIRECT COSTS-AUXILIARY ORGAN")</f>
        <v xml:space="preserve">          6331 - INDIRECT COSTS-AUXILIARY ORGAN</v>
      </c>
      <c r="C57" s="15"/>
      <c r="D57" s="2"/>
      <c r="E57" s="2"/>
      <c r="F57" s="2">
        <v>8500</v>
      </c>
      <c r="G57" s="2">
        <v>15000</v>
      </c>
      <c r="H57" s="2">
        <v>19000</v>
      </c>
      <c r="I57" s="2">
        <v>3000</v>
      </c>
      <c r="J57" s="2"/>
      <c r="K57" s="2"/>
      <c r="L57" s="2"/>
      <c r="M57" s="2"/>
      <c r="N57" s="2"/>
      <c r="O57" s="2"/>
      <c r="P57" s="9"/>
      <c r="Q57" s="2">
        <f>SUM(OSRRefD21_10_0x)+IFERROR(SUM(OSRRefE21_10_0x),0)</f>
        <v>45500</v>
      </c>
    </row>
    <row r="58" spans="1:17" s="34" customFormat="1" hidden="1" outlineLevel="1" x14ac:dyDescent="0.25">
      <c r="A58" s="35"/>
      <c r="B58" s="13" t="str">
        <f>CONCATENATE("          ","6334", " - ","LEGAL COUNCIL EXPENSE")</f>
        <v xml:space="preserve">          6334 - LEGAL COUNCIL EXPENSE</v>
      </c>
      <c r="C58" s="15"/>
      <c r="D58" s="2">
        <v>100</v>
      </c>
      <c r="E58" s="2">
        <v>1050</v>
      </c>
      <c r="F58" s="2"/>
      <c r="G58" s="2">
        <v>1280</v>
      </c>
      <c r="H58" s="2">
        <v>1500</v>
      </c>
      <c r="I58" s="2"/>
      <c r="J58" s="2"/>
      <c r="K58" s="2">
        <v>1500</v>
      </c>
      <c r="L58" s="2"/>
      <c r="M58" s="2"/>
      <c r="N58" s="2">
        <v>1000</v>
      </c>
      <c r="O58" s="2"/>
      <c r="P58" s="9"/>
      <c r="Q58" s="2">
        <f>SUM(OSRRefD21_10_1x)+IFERROR(SUM(OSRRefE21_10_1x),0)</f>
        <v>6430</v>
      </c>
    </row>
    <row r="59" spans="1:17" s="34" customFormat="1" hidden="1" outlineLevel="1" x14ac:dyDescent="0.25">
      <c r="A59" s="35"/>
      <c r="B59" s="13" t="str">
        <f>CONCATENATE("          ","6336", " - ","PROFESSIONAL SERVICES")</f>
        <v xml:space="preserve">          6336 - PROFESSIONAL SERVICES</v>
      </c>
      <c r="C59" s="15"/>
      <c r="D59" s="2"/>
      <c r="E59" s="2"/>
      <c r="F59" s="2"/>
      <c r="G59" s="2"/>
      <c r="H59" s="2">
        <v>5000</v>
      </c>
      <c r="I59" s="2"/>
      <c r="J59" s="2"/>
      <c r="K59" s="2"/>
      <c r="L59" s="2"/>
      <c r="M59" s="2"/>
      <c r="N59" s="2"/>
      <c r="O59" s="2"/>
      <c r="P59" s="9"/>
      <c r="Q59" s="2">
        <f>SUM(OSRRefD21_10_2x)+IFERROR(SUM(OSRRefE21_10_2x),0)</f>
        <v>5000</v>
      </c>
    </row>
    <row r="60" spans="1:17" s="34" customFormat="1" collapsed="1" x14ac:dyDescent="0.25">
      <c r="A60" s="35"/>
      <c r="B60" s="15" t="str">
        <f>CONCATENATE("     ","Repair and Maintenance                            ")</f>
        <v xml:space="preserve">     Repair and Maintenance                            </v>
      </c>
      <c r="C60" s="15"/>
      <c r="D60" s="1">
        <f>SUM(OSRRefD21_11x_0)</f>
        <v>2587.73</v>
      </c>
      <c r="E60" s="1">
        <f>SUM(OSRRefD21_11x_1)</f>
        <v>2565</v>
      </c>
      <c r="F60" s="1">
        <f>SUM(OSRRefD21_11x_2)</f>
        <v>1484.15</v>
      </c>
      <c r="G60" s="1">
        <f>SUM(OSRRefD21_11x_3)</f>
        <v>2580.75</v>
      </c>
      <c r="H60" s="1">
        <f>SUM(OSRRefE21_11x_0)</f>
        <v>2182</v>
      </c>
      <c r="I60" s="1">
        <f>SUM(OSRRefE21_11x_1)</f>
        <v>2182</v>
      </c>
      <c r="J60" s="1">
        <f>SUM(OSRRefE21_11x_2)</f>
        <v>2182</v>
      </c>
      <c r="K60" s="1">
        <f>SUM(OSRRefE21_11x_3)</f>
        <v>2182</v>
      </c>
      <c r="L60" s="1">
        <f>SUM(OSRRefE21_11x_4)</f>
        <v>2182</v>
      </c>
      <c r="M60" s="1">
        <f>SUM(OSRRefE21_11x_5)</f>
        <v>2182</v>
      </c>
      <c r="N60" s="1">
        <f>SUM(OSRRefE21_11x_6)</f>
        <v>2182</v>
      </c>
      <c r="O60" s="1">
        <f>SUM(OSRRefE21_11x_7)</f>
        <v>2176</v>
      </c>
      <c r="Q60" s="2">
        <f>SUM(OSRRefD20_11x)+IFERROR(SUM(OSRRefE20_11x),0)</f>
        <v>26667.629999999997</v>
      </c>
    </row>
    <row r="61" spans="1:17" s="34" customFormat="1" hidden="1" outlineLevel="1" x14ac:dyDescent="0.25">
      <c r="A61" s="35"/>
      <c r="B61" s="13" t="str">
        <f>CONCATENATE("          ","6373", " - ","MAINTENANCE CONTRACTS")</f>
        <v xml:space="preserve">          6373 - MAINTENANCE CONTRACTS</v>
      </c>
      <c r="C61" s="15"/>
      <c r="D61" s="2">
        <v>2587.73</v>
      </c>
      <c r="E61" s="2">
        <v>2565</v>
      </c>
      <c r="F61" s="2">
        <v>1484.15</v>
      </c>
      <c r="G61" s="2">
        <v>2580.75</v>
      </c>
      <c r="H61" s="2">
        <v>2182</v>
      </c>
      <c r="I61" s="2">
        <v>2182</v>
      </c>
      <c r="J61" s="2">
        <v>2182</v>
      </c>
      <c r="K61" s="2">
        <v>2182</v>
      </c>
      <c r="L61" s="2">
        <v>2182</v>
      </c>
      <c r="M61" s="2">
        <v>2182</v>
      </c>
      <c r="N61" s="2">
        <v>2182</v>
      </c>
      <c r="O61" s="2">
        <v>2176</v>
      </c>
      <c r="P61" s="9"/>
      <c r="Q61" s="2">
        <f>SUM(OSRRefD21_11_0x)+IFERROR(SUM(OSRRefE21_11_0x),0)</f>
        <v>26667.629999999997</v>
      </c>
    </row>
    <row r="62" spans="1:17" s="34" customFormat="1" collapsed="1" x14ac:dyDescent="0.25">
      <c r="A62" s="35"/>
      <c r="B62" s="15" t="str">
        <f>CONCATENATE("     ","Subscriptions &amp; Dues                              ")</f>
        <v xml:space="preserve">     Subscriptions &amp; Dues                              </v>
      </c>
      <c r="C62" s="15"/>
      <c r="D62" s="1">
        <f>SUM(OSRRefD21_12x_0)</f>
        <v>0</v>
      </c>
      <c r="E62" s="1">
        <f>SUM(OSRRefD21_12x_1)</f>
        <v>1725</v>
      </c>
      <c r="F62" s="1">
        <f>SUM(OSRRefD21_12x_2)</f>
        <v>0</v>
      </c>
      <c r="G62" s="1">
        <f>SUM(OSRRefD21_12x_3)</f>
        <v>0</v>
      </c>
      <c r="H62" s="1">
        <f>SUM(OSRRefE21_12x_0)</f>
        <v>0</v>
      </c>
      <c r="I62" s="1">
        <f>SUM(OSRRefE21_12x_1)</f>
        <v>0</v>
      </c>
      <c r="J62" s="1">
        <f>SUM(OSRRefE21_12x_2)</f>
        <v>0</v>
      </c>
      <c r="K62" s="1">
        <f>SUM(OSRRefE21_12x_3)</f>
        <v>0</v>
      </c>
      <c r="L62" s="1">
        <f>SUM(OSRRefE21_12x_4)</f>
        <v>0</v>
      </c>
      <c r="M62" s="1">
        <f>SUM(OSRRefE21_12x_5)</f>
        <v>4500</v>
      </c>
      <c r="N62" s="1">
        <f>SUM(OSRRefE21_12x_6)</f>
        <v>1700</v>
      </c>
      <c r="O62" s="1">
        <f>SUM(OSRRefE21_12x_7)</f>
        <v>1500</v>
      </c>
      <c r="Q62" s="2">
        <f>SUM(OSRRefD20_12x)+IFERROR(SUM(OSRRefE20_12x),0)</f>
        <v>9425</v>
      </c>
    </row>
    <row r="63" spans="1:17" s="34" customFormat="1" hidden="1" outlineLevel="1" x14ac:dyDescent="0.25">
      <c r="A63" s="35"/>
      <c r="B63" s="13" t="str">
        <f>CONCATENATE("          ","6258", " - ","MEMBERSHIP DUES")</f>
        <v xml:space="preserve">          6258 - MEMBERSHIP DUES</v>
      </c>
      <c r="C63" s="15"/>
      <c r="D63" s="2"/>
      <c r="E63" s="2">
        <v>1725</v>
      </c>
      <c r="F63" s="2"/>
      <c r="G63" s="2"/>
      <c r="H63" s="2"/>
      <c r="I63" s="2"/>
      <c r="J63" s="2"/>
      <c r="K63" s="2"/>
      <c r="L63" s="2"/>
      <c r="M63" s="2">
        <v>4500</v>
      </c>
      <c r="N63" s="2">
        <v>1700</v>
      </c>
      <c r="O63" s="2">
        <v>1500</v>
      </c>
      <c r="P63" s="9"/>
      <c r="Q63" s="2">
        <f>SUM(OSRRefD21_12_0x)+IFERROR(SUM(OSRRefE21_12_0x),0)</f>
        <v>9425</v>
      </c>
    </row>
    <row r="64" spans="1:17" s="34" customFormat="1" collapsed="1" x14ac:dyDescent="0.25">
      <c r="A64" s="35"/>
      <c r="B64" s="15" t="str">
        <f>CONCATENATE("     ","Supplies                                          ")</f>
        <v xml:space="preserve">     Supplies                                          </v>
      </c>
      <c r="C64" s="15"/>
      <c r="D64" s="1">
        <f>SUM(OSRRefD21_13x_0)</f>
        <v>132.01</v>
      </c>
      <c r="E64" s="1">
        <f>SUM(OSRRefD21_13x_1)</f>
        <v>0</v>
      </c>
      <c r="F64" s="1">
        <f>SUM(OSRRefD21_13x_2)</f>
        <v>154.93</v>
      </c>
      <c r="G64" s="1">
        <f>SUM(OSRRefD21_13x_3)</f>
        <v>122.54</v>
      </c>
      <c r="H64" s="1">
        <f>SUM(OSRRefE21_13x_0)</f>
        <v>1000</v>
      </c>
      <c r="I64" s="1">
        <f>SUM(OSRRefE21_13x_1)</f>
        <v>1500</v>
      </c>
      <c r="J64" s="1">
        <f>SUM(OSRRefE21_13x_2)</f>
        <v>1000</v>
      </c>
      <c r="K64" s="1">
        <f>SUM(OSRRefE21_13x_3)</f>
        <v>1000</v>
      </c>
      <c r="L64" s="1">
        <f>SUM(OSRRefE21_13x_4)</f>
        <v>1500</v>
      </c>
      <c r="M64" s="1">
        <f>SUM(OSRRefE21_13x_5)</f>
        <v>1000</v>
      </c>
      <c r="N64" s="1">
        <f>SUM(OSRRefE21_13x_6)</f>
        <v>1000</v>
      </c>
      <c r="O64" s="1">
        <f>SUM(OSRRefE21_13x_7)</f>
        <v>1500</v>
      </c>
      <c r="Q64" s="2">
        <f>SUM(OSRRefD20_13x)+IFERROR(SUM(OSRRefE20_13x),0)</f>
        <v>9909.48</v>
      </c>
    </row>
    <row r="65" spans="1:17" s="34" customFormat="1" hidden="1" outlineLevel="1" x14ac:dyDescent="0.25">
      <c r="A65" s="35"/>
      <c r="B65" s="13" t="str">
        <f>CONCATENATE("          ","6234", " - ","EXPENDABLE SUPPLIES &amp; EQUIPMEN")</f>
        <v xml:space="preserve">          6234 - EXPENDABLE SUPPLIES &amp; EQUIPMEN</v>
      </c>
      <c r="C65" s="15"/>
      <c r="D65" s="2"/>
      <c r="E65" s="2"/>
      <c r="F65" s="2"/>
      <c r="G65" s="2"/>
      <c r="H65" s="2">
        <v>1000</v>
      </c>
      <c r="I65" s="2">
        <v>1000</v>
      </c>
      <c r="J65" s="2">
        <v>1000</v>
      </c>
      <c r="K65" s="2">
        <v>1000</v>
      </c>
      <c r="L65" s="2">
        <v>1000</v>
      </c>
      <c r="M65" s="2">
        <v>1000</v>
      </c>
      <c r="N65" s="2">
        <v>1000</v>
      </c>
      <c r="O65" s="2">
        <v>1000</v>
      </c>
      <c r="P65" s="9"/>
      <c r="Q65" s="2">
        <f>SUM(OSRRefD21_13_0x)+IFERROR(SUM(OSRRefE21_13_0x),0)</f>
        <v>8000</v>
      </c>
    </row>
    <row r="66" spans="1:17" s="34" customFormat="1" hidden="1" outlineLevel="1" x14ac:dyDescent="0.25">
      <c r="A66" s="35"/>
      <c r="B66" s="13" t="str">
        <f>CONCATENATE("          ","6235", " - ","COVID-19 EXPENSES")</f>
        <v xml:space="preserve">          6235 - COVID-19 EXPENSES</v>
      </c>
      <c r="C66" s="15"/>
      <c r="D66" s="2">
        <v>106.94</v>
      </c>
      <c r="E66" s="2"/>
      <c r="F66" s="2"/>
      <c r="G66" s="2"/>
      <c r="H66" s="2"/>
      <c r="I66" s="2">
        <v>500</v>
      </c>
      <c r="J66" s="2"/>
      <c r="K66" s="2"/>
      <c r="L66" s="2">
        <v>500</v>
      </c>
      <c r="M66" s="2"/>
      <c r="N66" s="2"/>
      <c r="O66" s="2">
        <v>500</v>
      </c>
      <c r="P66" s="9"/>
      <c r="Q66" s="2">
        <f>SUM(OSRRefD21_13_1x)+IFERROR(SUM(OSRRefE21_13_1x),0)</f>
        <v>1606.94</v>
      </c>
    </row>
    <row r="67" spans="1:17" s="34" customFormat="1" hidden="1" outlineLevel="1" x14ac:dyDescent="0.25">
      <c r="A67" s="35"/>
      <c r="B67" s="13" t="str">
        <f>CONCATENATE("          ","6241", " - ","OFFICE EXPENSE")</f>
        <v xml:space="preserve">          6241 - OFFICE EXPENSE</v>
      </c>
      <c r="C67" s="15"/>
      <c r="D67" s="2">
        <v>25.07</v>
      </c>
      <c r="E67" s="2"/>
      <c r="F67" s="2">
        <v>154.93</v>
      </c>
      <c r="G67" s="2">
        <v>122.54</v>
      </c>
      <c r="H67" s="2"/>
      <c r="I67" s="2"/>
      <c r="J67" s="2"/>
      <c r="K67" s="2"/>
      <c r="L67" s="2"/>
      <c r="M67" s="2"/>
      <c r="N67" s="2"/>
      <c r="O67" s="2"/>
      <c r="P67" s="9"/>
      <c r="Q67" s="2">
        <f>SUM(OSRRefD21_13_2x)+IFERROR(SUM(OSRRefE21_13_2x),0)</f>
        <v>302.54000000000002</v>
      </c>
    </row>
    <row r="68" spans="1:17" s="34" customFormat="1" collapsed="1" x14ac:dyDescent="0.25">
      <c r="A68" s="35"/>
      <c r="B68" s="15" t="str">
        <f>CONCATENATE("     ","Telephone/Data Lines                              ")</f>
        <v xml:space="preserve">     Telephone/Data Lines                              </v>
      </c>
      <c r="C68" s="15"/>
      <c r="D68" s="1">
        <f>SUM(OSRRefD21_14x_0)</f>
        <v>303.16000000000003</v>
      </c>
      <c r="E68" s="1">
        <f>SUM(OSRRefD21_14x_1)</f>
        <v>304.26</v>
      </c>
      <c r="F68" s="1">
        <f>SUM(OSRRefD21_14x_2)</f>
        <v>460.64</v>
      </c>
      <c r="G68" s="1">
        <f>SUM(OSRRefD21_14x_3)</f>
        <v>338.06</v>
      </c>
      <c r="H68" s="1">
        <f>SUM(OSRRefE21_14x_0)</f>
        <v>350</v>
      </c>
      <c r="I68" s="1">
        <f>SUM(OSRRefE21_14x_1)</f>
        <v>350</v>
      </c>
      <c r="J68" s="1">
        <f>SUM(OSRRefE21_14x_2)</f>
        <v>350</v>
      </c>
      <c r="K68" s="1">
        <f>SUM(OSRRefE21_14x_3)</f>
        <v>350</v>
      </c>
      <c r="L68" s="1">
        <f>SUM(OSRRefE21_14x_4)</f>
        <v>350</v>
      </c>
      <c r="M68" s="1">
        <f>SUM(OSRRefE21_14x_5)</f>
        <v>350</v>
      </c>
      <c r="N68" s="1">
        <f>SUM(OSRRefE21_14x_6)</f>
        <v>350</v>
      </c>
      <c r="O68" s="1">
        <f>SUM(OSRRefE21_14x_7)</f>
        <v>350</v>
      </c>
      <c r="Q68" s="2">
        <f>SUM(OSRRefD20_14x)+IFERROR(SUM(OSRRefE20_14x),0)</f>
        <v>4206.12</v>
      </c>
    </row>
    <row r="69" spans="1:17" s="34" customFormat="1" hidden="1" outlineLevel="1" x14ac:dyDescent="0.25">
      <c r="A69" s="35"/>
      <c r="B69" s="13" t="str">
        <f>CONCATENATE("          ","6309", " - ","TELEPHONE")</f>
        <v xml:space="preserve">          6309 - TELEPHONE</v>
      </c>
      <c r="C69" s="15"/>
      <c r="D69" s="2">
        <v>303.16000000000003</v>
      </c>
      <c r="E69" s="2">
        <v>304.26</v>
      </c>
      <c r="F69" s="2">
        <v>460.64</v>
      </c>
      <c r="G69" s="2">
        <v>338.06</v>
      </c>
      <c r="H69" s="2">
        <v>350</v>
      </c>
      <c r="I69" s="2">
        <v>350</v>
      </c>
      <c r="J69" s="2">
        <v>350</v>
      </c>
      <c r="K69" s="2">
        <v>350</v>
      </c>
      <c r="L69" s="2">
        <v>350</v>
      </c>
      <c r="M69" s="2">
        <v>350</v>
      </c>
      <c r="N69" s="2">
        <v>350</v>
      </c>
      <c r="O69" s="2">
        <v>350</v>
      </c>
      <c r="P69" s="9"/>
      <c r="Q69" s="2">
        <f>SUM(OSRRefD21_14_0x)+IFERROR(SUM(OSRRefE21_14_0x),0)</f>
        <v>4206.12</v>
      </c>
    </row>
    <row r="70" spans="1:17" s="34" customFormat="1" collapsed="1" x14ac:dyDescent="0.25">
      <c r="A70" s="35"/>
      <c r="B70" s="15" t="str">
        <f>CONCATENATE("     ","Training                                          ")</f>
        <v xml:space="preserve">     Training                                          </v>
      </c>
      <c r="C70" s="15"/>
      <c r="D70" s="1">
        <f>SUM(OSRRefD21_15x_0)</f>
        <v>0</v>
      </c>
      <c r="E70" s="1">
        <f>SUM(OSRRefD21_15x_1)</f>
        <v>0</v>
      </c>
      <c r="F70" s="1">
        <f>SUM(OSRRefD21_15x_2)</f>
        <v>0</v>
      </c>
      <c r="G70" s="1">
        <f>SUM(OSRRefD21_15x_3)</f>
        <v>0</v>
      </c>
      <c r="H70" s="1">
        <f>SUM(OSRRefE21_15x_0)</f>
        <v>1500</v>
      </c>
      <c r="I70" s="1">
        <f>SUM(OSRRefE21_15x_1)</f>
        <v>500</v>
      </c>
      <c r="J70" s="1">
        <f>SUM(OSRRefE21_15x_2)</f>
        <v>2000</v>
      </c>
      <c r="K70" s="1">
        <f>SUM(OSRRefE21_15x_3)</f>
        <v>500</v>
      </c>
      <c r="L70" s="1">
        <f>SUM(OSRRefE21_15x_4)</f>
        <v>0</v>
      </c>
      <c r="M70" s="1">
        <f>SUM(OSRRefE21_15x_5)</f>
        <v>500</v>
      </c>
      <c r="N70" s="1">
        <f>SUM(OSRRefE21_15x_6)</f>
        <v>0</v>
      </c>
      <c r="O70" s="1">
        <f>SUM(OSRRefE21_15x_7)</f>
        <v>0</v>
      </c>
      <c r="Q70" s="2">
        <f>SUM(OSRRefD20_15x)+IFERROR(SUM(OSRRefE20_15x),0)</f>
        <v>5000</v>
      </c>
    </row>
    <row r="71" spans="1:17" s="34" customFormat="1" hidden="1" outlineLevel="1" x14ac:dyDescent="0.25">
      <c r="A71" s="35"/>
      <c r="B71" s="13" t="str">
        <f>CONCATENATE("          ","6376", " - ","TRAINING")</f>
        <v xml:space="preserve">          6376 - TRAINING</v>
      </c>
      <c r="C71" s="15"/>
      <c r="D71" s="2"/>
      <c r="E71" s="2"/>
      <c r="F71" s="2"/>
      <c r="G71" s="2"/>
      <c r="H71" s="2">
        <v>1500</v>
      </c>
      <c r="I71" s="2">
        <v>500</v>
      </c>
      <c r="J71" s="2">
        <v>2000</v>
      </c>
      <c r="K71" s="2">
        <v>500</v>
      </c>
      <c r="L71" s="2"/>
      <c r="M71" s="2">
        <v>500</v>
      </c>
      <c r="N71" s="2"/>
      <c r="O71" s="2"/>
      <c r="P71" s="9"/>
      <c r="Q71" s="2">
        <f>SUM(OSRRefD21_15_0x)+IFERROR(SUM(OSRRefE21_15_0x),0)</f>
        <v>5000</v>
      </c>
    </row>
    <row r="72" spans="1:17" s="34" customFormat="1" collapsed="1" x14ac:dyDescent="0.25">
      <c r="A72" s="35"/>
      <c r="B72" s="15" t="str">
        <f>CONCATENATE("     ","Travel                                            ")</f>
        <v xml:space="preserve">     Travel                                            </v>
      </c>
      <c r="C72" s="15"/>
      <c r="D72" s="1">
        <f>SUM(OSRRefD21_16x_0)</f>
        <v>0</v>
      </c>
      <c r="E72" s="1">
        <f>SUM(OSRRefD21_16x_1)</f>
        <v>0</v>
      </c>
      <c r="F72" s="1">
        <f>SUM(OSRRefD21_16x_2)</f>
        <v>0</v>
      </c>
      <c r="G72" s="1">
        <f>SUM(OSRRefD21_16x_3)</f>
        <v>0</v>
      </c>
      <c r="H72" s="1">
        <f>SUM(OSRRefE21_16x_0)</f>
        <v>0</v>
      </c>
      <c r="I72" s="1">
        <f>SUM(OSRRefE21_16x_1)</f>
        <v>0</v>
      </c>
      <c r="J72" s="1">
        <f>SUM(OSRRefE21_16x_2)</f>
        <v>0</v>
      </c>
      <c r="K72" s="1">
        <f>SUM(OSRRefE21_16x_3)</f>
        <v>1500</v>
      </c>
      <c r="L72" s="1">
        <f>SUM(OSRRefE21_16x_4)</f>
        <v>0</v>
      </c>
      <c r="M72" s="1">
        <f>SUM(OSRRefE21_16x_5)</f>
        <v>2000</v>
      </c>
      <c r="N72" s="1">
        <f>SUM(OSRRefE21_16x_6)</f>
        <v>0</v>
      </c>
      <c r="O72" s="1">
        <f>SUM(OSRRefE21_16x_7)</f>
        <v>0</v>
      </c>
      <c r="Q72" s="2">
        <f>SUM(OSRRefD20_16x)+IFERROR(SUM(OSRRefE20_16x),0)</f>
        <v>3500</v>
      </c>
    </row>
    <row r="73" spans="1:17" s="34" customFormat="1" hidden="1" outlineLevel="1" x14ac:dyDescent="0.25">
      <c r="A73" s="35"/>
      <c r="B73" s="13" t="str">
        <f>CONCATENATE("          ","6294", " - ","TRAVEL OPERATIONAL")</f>
        <v xml:space="preserve">          6294 - TRAVEL OPERATIONAL</v>
      </c>
      <c r="C73" s="15"/>
      <c r="D73" s="2"/>
      <c r="E73" s="2"/>
      <c r="F73" s="2"/>
      <c r="G73" s="2"/>
      <c r="H73" s="2"/>
      <c r="I73" s="2"/>
      <c r="J73" s="2"/>
      <c r="K73" s="2">
        <v>1500</v>
      </c>
      <c r="L73" s="2"/>
      <c r="M73" s="2">
        <v>2000</v>
      </c>
      <c r="N73" s="2"/>
      <c r="O73" s="2"/>
      <c r="P73" s="9"/>
      <c r="Q73" s="2">
        <f>SUM(OSRRefD21_16_0x)+IFERROR(SUM(OSRRefE21_16_0x),0)</f>
        <v>3500</v>
      </c>
    </row>
    <row r="74" spans="1:17" s="28" customFormat="1" x14ac:dyDescent="0.25">
      <c r="A74" s="20"/>
      <c r="B74" s="20"/>
      <c r="C74" s="20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Q74" s="1"/>
    </row>
    <row r="75" spans="1:17" s="9" customFormat="1" x14ac:dyDescent="0.25">
      <c r="A75" s="22"/>
      <c r="B75" s="16" t="s">
        <v>0</v>
      </c>
      <c r="C75" s="23"/>
      <c r="D75" s="3">
        <f t="shared" ref="D75:G75" si="4">0</f>
        <v>0</v>
      </c>
      <c r="E75" s="3">
        <f t="shared" si="4"/>
        <v>0</v>
      </c>
      <c r="F75" s="3">
        <f t="shared" si="4"/>
        <v>0</v>
      </c>
      <c r="G75" s="3">
        <f t="shared" si="4"/>
        <v>0</v>
      </c>
      <c r="H75" s="3"/>
      <c r="I75" s="3"/>
      <c r="J75" s="3"/>
      <c r="K75" s="3"/>
      <c r="L75" s="3"/>
      <c r="M75" s="3"/>
      <c r="N75" s="3"/>
      <c r="O75" s="3"/>
      <c r="Q75" s="2">
        <f>SUM(OSRRefD23_0x)+IFERROR(SUM(OSRRefE23_0x),0)</f>
        <v>0</v>
      </c>
    </row>
    <row r="76" spans="1:17" x14ac:dyDescent="0.25">
      <c r="A76" s="5"/>
      <c r="B76" s="8"/>
      <c r="C76" s="8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4" customFormat="1" x14ac:dyDescent="0.25">
      <c r="A77" s="8"/>
      <c r="B77" s="17" t="s">
        <v>3</v>
      </c>
      <c r="C77" s="17"/>
      <c r="D77" s="6">
        <f t="shared" ref="D77:O77" si="5">IFERROR(+D14-D17+D75, 0)</f>
        <v>-35660.750000000007</v>
      </c>
      <c r="E77" s="6">
        <f t="shared" si="5"/>
        <v>-31265.52</v>
      </c>
      <c r="F77" s="6">
        <f t="shared" si="5"/>
        <v>-40329.990000000005</v>
      </c>
      <c r="G77" s="6">
        <f t="shared" si="5"/>
        <v>-35310.559999999998</v>
      </c>
      <c r="H77" s="6">
        <f t="shared" si="5"/>
        <v>-60001.532307692272</v>
      </c>
      <c r="I77" s="6">
        <f t="shared" si="5"/>
        <v>-38456</v>
      </c>
      <c r="J77" s="6">
        <f t="shared" si="5"/>
        <v>-38909.165384615364</v>
      </c>
      <c r="K77" s="6">
        <f t="shared" si="5"/>
        <v>-36426.532307692272</v>
      </c>
      <c r="L77" s="6">
        <f t="shared" si="5"/>
        <v>-32426.532307692272</v>
      </c>
      <c r="M77" s="6">
        <f t="shared" si="5"/>
        <v>-43734.165384615364</v>
      </c>
      <c r="N77" s="6">
        <f t="shared" si="5"/>
        <v>-51514.793846153872</v>
      </c>
      <c r="O77" s="6">
        <f t="shared" si="5"/>
        <v>-52806.793846153872</v>
      </c>
      <c r="Q77" s="6">
        <f>IFERROR(+Q14-Q17+Q75, 0)</f>
        <v>-496842.33538461529</v>
      </c>
    </row>
    <row r="78" spans="1:17" s="8" customFormat="1" x14ac:dyDescent="0.25">
      <c r="B78" s="16"/>
      <c r="C78" s="16"/>
      <c r="D78" s="4">
        <f t="shared" ref="D78:O78" si="6">IFERROR(D77/D10, 0)</f>
        <v>0</v>
      </c>
      <c r="E78" s="4">
        <f t="shared" si="6"/>
        <v>0</v>
      </c>
      <c r="F78" s="4">
        <f t="shared" si="6"/>
        <v>0</v>
      </c>
      <c r="G78" s="4">
        <f t="shared" si="6"/>
        <v>0</v>
      </c>
      <c r="H78" s="4">
        <f t="shared" si="6"/>
        <v>0</v>
      </c>
      <c r="I78" s="4">
        <f t="shared" si="6"/>
        <v>0</v>
      </c>
      <c r="J78" s="4">
        <f t="shared" si="6"/>
        <v>0</v>
      </c>
      <c r="K78" s="4">
        <f t="shared" si="6"/>
        <v>0</v>
      </c>
      <c r="L78" s="4">
        <f t="shared" si="6"/>
        <v>0</v>
      </c>
      <c r="M78" s="4">
        <f t="shared" si="6"/>
        <v>0</v>
      </c>
      <c r="N78" s="4">
        <f t="shared" si="6"/>
        <v>0</v>
      </c>
      <c r="O78" s="4">
        <f t="shared" si="6"/>
        <v>0</v>
      </c>
      <c r="P78" s="18"/>
      <c r="Q78" s="4">
        <f>IFERROR(Q77/Q10, 0)</f>
        <v>0</v>
      </c>
    </row>
    <row r="79" spans="1:17" x14ac:dyDescent="0.25">
      <c r="A79" s="5"/>
      <c r="B79" s="8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4" customFormat="1" x14ac:dyDescent="0.25">
      <c r="A80" s="25"/>
      <c r="B80" s="8" t="s">
        <v>8</v>
      </c>
      <c r="C80" s="8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2">
        <f>SUM(OSRRefD28_0x)+IFERROR(SUM(OSRRefE28_0x),0)</f>
        <v>0</v>
      </c>
    </row>
    <row r="81" spans="1:17" x14ac:dyDescent="0.25">
      <c r="A81" s="5"/>
      <c r="B81" s="8"/>
      <c r="C81" s="8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4" customFormat="1" ht="15.75" thickBot="1" x14ac:dyDescent="0.3">
      <c r="A82" s="8"/>
      <c r="B82" s="17" t="s">
        <v>4</v>
      </c>
      <c r="C82" s="17"/>
      <c r="D82" s="7">
        <f t="shared" ref="D82:O82" si="7">IFERROR(+D77-D80, 0)</f>
        <v>-35660.750000000007</v>
      </c>
      <c r="E82" s="7">
        <f t="shared" si="7"/>
        <v>-31265.52</v>
      </c>
      <c r="F82" s="7">
        <f t="shared" si="7"/>
        <v>-40329.990000000005</v>
      </c>
      <c r="G82" s="7">
        <f t="shared" si="7"/>
        <v>-35310.559999999998</v>
      </c>
      <c r="H82" s="7">
        <f t="shared" si="7"/>
        <v>-60001.532307692272</v>
      </c>
      <c r="I82" s="7">
        <f t="shared" si="7"/>
        <v>-38456</v>
      </c>
      <c r="J82" s="7">
        <f t="shared" si="7"/>
        <v>-38909.165384615364</v>
      </c>
      <c r="K82" s="7">
        <f t="shared" si="7"/>
        <v>-36426.532307692272</v>
      </c>
      <c r="L82" s="7">
        <f t="shared" si="7"/>
        <v>-32426.532307692272</v>
      </c>
      <c r="M82" s="7">
        <f t="shared" si="7"/>
        <v>-43734.165384615364</v>
      </c>
      <c r="N82" s="7">
        <f t="shared" si="7"/>
        <v>-51514.793846153872</v>
      </c>
      <c r="O82" s="7">
        <f t="shared" si="7"/>
        <v>-52806.793846153872</v>
      </c>
      <c r="Q82" s="7">
        <f>IFERROR(+Q77-Q80, 0)</f>
        <v>-496842.33538461529</v>
      </c>
    </row>
    <row r="83" spans="1:17" ht="15.75" thickTop="1" x14ac:dyDescent="0.25">
      <c r="A83" s="5"/>
      <c r="B83" s="5"/>
      <c r="C83" s="5"/>
      <c r="D83" s="4">
        <f t="shared" ref="D83:O83" si="8">IFERROR(D82/D10, 0)</f>
        <v>0</v>
      </c>
      <c r="E83" s="4">
        <f t="shared" si="8"/>
        <v>0</v>
      </c>
      <c r="F83" s="4">
        <f t="shared" si="8"/>
        <v>0</v>
      </c>
      <c r="G83" s="4">
        <f t="shared" si="8"/>
        <v>0</v>
      </c>
      <c r="H83" s="4">
        <f t="shared" si="8"/>
        <v>0</v>
      </c>
      <c r="I83" s="4">
        <f t="shared" si="8"/>
        <v>0</v>
      </c>
      <c r="J83" s="4">
        <f t="shared" si="8"/>
        <v>0</v>
      </c>
      <c r="K83" s="4">
        <f t="shared" si="8"/>
        <v>0</v>
      </c>
      <c r="L83" s="4">
        <f t="shared" si="8"/>
        <v>0</v>
      </c>
      <c r="M83" s="4">
        <f t="shared" si="8"/>
        <v>0</v>
      </c>
      <c r="N83" s="4">
        <f t="shared" si="8"/>
        <v>0</v>
      </c>
      <c r="O83" s="4">
        <f t="shared" si="8"/>
        <v>0</v>
      </c>
      <c r="P83" s="18"/>
      <c r="Q83" s="4">
        <f>IFERROR(Q82/Q10, 0)</f>
        <v>0</v>
      </c>
    </row>
    <row r="84" spans="1:17" x14ac:dyDescent="0.25">
      <c r="A84" s="5"/>
      <c r="B84" s="5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x14ac:dyDescent="0.25">
      <c r="A85" s="5"/>
      <c r="B85" s="5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s="14" customFormat="1" ht="15.75" thickBot="1" x14ac:dyDescent="0.3">
      <c r="A86" s="8"/>
      <c r="B86" s="17" t="s">
        <v>5</v>
      </c>
      <c r="C86" s="17"/>
      <c r="D86" s="7">
        <f t="shared" ref="D86:O86" si="9">IFERROR(SUM(D82:D85), 0)</f>
        <v>-35660.750000000007</v>
      </c>
      <c r="E86" s="7">
        <f t="shared" si="9"/>
        <v>-31265.52</v>
      </c>
      <c r="F86" s="7">
        <f t="shared" si="9"/>
        <v>-40329.990000000005</v>
      </c>
      <c r="G86" s="7">
        <f t="shared" si="9"/>
        <v>-35310.559999999998</v>
      </c>
      <c r="H86" s="7">
        <f t="shared" si="9"/>
        <v>-60001.532307692272</v>
      </c>
      <c r="I86" s="7">
        <f t="shared" si="9"/>
        <v>-38456</v>
      </c>
      <c r="J86" s="7">
        <f t="shared" si="9"/>
        <v>-38909.165384615364</v>
      </c>
      <c r="K86" s="7">
        <f t="shared" si="9"/>
        <v>-36426.532307692272</v>
      </c>
      <c r="L86" s="7">
        <f t="shared" si="9"/>
        <v>-32426.532307692272</v>
      </c>
      <c r="M86" s="7">
        <f t="shared" si="9"/>
        <v>-43734.165384615364</v>
      </c>
      <c r="N86" s="7">
        <f t="shared" si="9"/>
        <v>-51514.793846153872</v>
      </c>
      <c r="O86" s="7">
        <f t="shared" si="9"/>
        <v>-52806.793846153872</v>
      </c>
      <c r="Q86" s="7">
        <f>IFERROR(SUM(Q82:Q85), 0)</f>
        <v>-496842.33538461529</v>
      </c>
    </row>
    <row r="87" spans="1:17" ht="15.75" thickTop="1" x14ac:dyDescent="0.25">
      <c r="A87" s="5"/>
      <c r="C87" s="5"/>
      <c r="D87" s="4">
        <f t="shared" ref="D87:O87" si="10">IFERROR(D86/D10, 0)</f>
        <v>0</v>
      </c>
      <c r="E87" s="4">
        <f t="shared" si="10"/>
        <v>0</v>
      </c>
      <c r="F87" s="4">
        <f t="shared" si="10"/>
        <v>0</v>
      </c>
      <c r="G87" s="4">
        <f t="shared" si="10"/>
        <v>0</v>
      </c>
      <c r="H87" s="4">
        <f t="shared" si="10"/>
        <v>0</v>
      </c>
      <c r="I87" s="4">
        <f t="shared" si="10"/>
        <v>0</v>
      </c>
      <c r="J87" s="4">
        <f t="shared" si="10"/>
        <v>0</v>
      </c>
      <c r="K87" s="4">
        <f t="shared" si="10"/>
        <v>0</v>
      </c>
      <c r="L87" s="4">
        <f t="shared" si="10"/>
        <v>0</v>
      </c>
      <c r="M87" s="4">
        <f t="shared" si="10"/>
        <v>0</v>
      </c>
      <c r="N87" s="4">
        <f t="shared" si="10"/>
        <v>0</v>
      </c>
      <c r="O87" s="4">
        <f t="shared" si="10"/>
        <v>0</v>
      </c>
      <c r="P87" s="18"/>
      <c r="Q87" s="4">
        <f>IFERROR(Q86/Q10, 0)</f>
        <v>0</v>
      </c>
    </row>
    <row r="88" spans="1:17" x14ac:dyDescent="0.25">
      <c r="A88" s="5"/>
      <c r="B88" s="26">
        <v>44151.564712847219</v>
      </c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Q88" s="12"/>
    </row>
    <row r="89" spans="1:17" x14ac:dyDescent="0.25">
      <c r="A89" s="5"/>
      <c r="B89" s="30" t="s">
        <v>311</v>
      </c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Q89" s="12"/>
    </row>
    <row r="90" spans="1:17" x14ac:dyDescent="0.25">
      <c r="A90" s="5"/>
      <c r="B90" s="31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Q90" s="12"/>
    </row>
    <row r="91" spans="1:17" x14ac:dyDescent="0.25"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Q9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","202", " - ", "Accounting")</f>
        <v>Department 202 - Accounting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0">
        <f>SUM(OSRRefD20x_0)</f>
        <v>39398.04</v>
      </c>
      <c r="E17" s="10">
        <f>SUM(OSRRefD20x_1)</f>
        <v>34593.850000000006</v>
      </c>
      <c r="F17" s="10">
        <f>SUM(OSRRefD20x_2)</f>
        <v>36054.400000000009</v>
      </c>
      <c r="G17" s="10">
        <f>SUM(OSRRefD20x_3)</f>
        <v>46110.250000000007</v>
      </c>
      <c r="H17" s="10">
        <f>SUM(OSRRefE20x_0)</f>
        <v>34508.806115384665</v>
      </c>
      <c r="I17" s="10">
        <f>SUM(OSRRefE20x_1)</f>
        <v>38893.422615384661</v>
      </c>
      <c r="J17" s="10">
        <f>SUM(OSRRefE20x_2)</f>
        <v>40728.412059230788</v>
      </c>
      <c r="K17" s="10">
        <f>SUM(OSRRefE20x_3)</f>
        <v>45824.498155384659</v>
      </c>
      <c r="L17" s="10">
        <f>SUM(OSRRefE20x_4)</f>
        <v>49624.498155384659</v>
      </c>
      <c r="M17" s="10">
        <f>SUM(OSRRefE20x_5)</f>
        <v>40728.412059230788</v>
      </c>
      <c r="N17" s="10">
        <f>SUM(OSRRefE20x_6)</f>
        <v>34453.883975384662</v>
      </c>
      <c r="O17" s="10">
        <f>SUM(OSRRefE20x_7)</f>
        <v>34312.655615384661</v>
      </c>
      <c r="Q17" s="10">
        <f>SUM(OSRRefG20x)</f>
        <v>475231.12875076948</v>
      </c>
    </row>
    <row r="18" spans="1:17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13083.460000000001</v>
      </c>
      <c r="E18" s="1">
        <f>SUM(OSRRefD21_0x_1)</f>
        <v>12164.130000000001</v>
      </c>
      <c r="F18" s="1">
        <f>SUM(OSRRefD21_0x_2)</f>
        <v>12249.43</v>
      </c>
      <c r="G18" s="1">
        <f>SUM(OSRRefD21_0x_3)</f>
        <v>16043.710000000001</v>
      </c>
      <c r="H18" s="1">
        <f>SUM(OSRRefE21_0x_0)</f>
        <v>11817.190730769233</v>
      </c>
      <c r="I18" s="1">
        <f>SUM(OSRRefE21_0x_1)</f>
        <v>11816.807230769233</v>
      </c>
      <c r="J18" s="1">
        <f>SUM(OSRRefE21_0x_2)</f>
        <v>13242.542828461552</v>
      </c>
      <c r="K18" s="1">
        <f>SUM(OSRRefE21_0x_3)</f>
        <v>11817.282770769232</v>
      </c>
      <c r="L18" s="1">
        <f>SUM(OSRRefE21_0x_4)</f>
        <v>11817.282770769232</v>
      </c>
      <c r="M18" s="1">
        <f>SUM(OSRRefE21_0x_5)</f>
        <v>13242.542828461552</v>
      </c>
      <c r="N18" s="1">
        <f>SUM(OSRRefE21_0x_6)</f>
        <v>11816.868590769232</v>
      </c>
      <c r="O18" s="1">
        <f>SUM(OSRRefE21_0x_7)</f>
        <v>11816.040230769233</v>
      </c>
      <c r="Q18" s="2">
        <f>SUM(OSRRefD20_0x)+IFERROR(SUM(OSRRefE20_0x),0)</f>
        <v>150927.28798153848</v>
      </c>
    </row>
    <row r="19" spans="1:17" s="34" customFormat="1" hidden="1" outlineLevel="1" x14ac:dyDescent="0.25">
      <c r="A19" s="35"/>
      <c r="B19" s="13" t="str">
        <f>CONCATENATE("          ","6111", " - ","F.I.C.A.")</f>
        <v xml:space="preserve">          6111 - F.I.C.A.</v>
      </c>
      <c r="C19" s="15"/>
      <c r="D19" s="2">
        <v>1621.35</v>
      </c>
      <c r="E19" s="2">
        <v>1625.77</v>
      </c>
      <c r="F19" s="2">
        <v>1635.95</v>
      </c>
      <c r="G19" s="2">
        <v>3655.26</v>
      </c>
      <c r="H19" s="2">
        <v>1625.37946153846</v>
      </c>
      <c r="I19" s="2">
        <v>1625.37946153846</v>
      </c>
      <c r="J19" s="2">
        <v>2031.7243269230801</v>
      </c>
      <c r="K19" s="2">
        <v>1625.37946153846</v>
      </c>
      <c r="L19" s="2">
        <v>1625.37946153846</v>
      </c>
      <c r="M19" s="2">
        <v>2031.7243269230801</v>
      </c>
      <c r="N19" s="2">
        <v>1625.37946153846</v>
      </c>
      <c r="O19" s="2">
        <v>1625.37946153846</v>
      </c>
      <c r="P19" s="9"/>
      <c r="Q19" s="2">
        <f>SUM(OSRRefD21_0_0x)+IFERROR(SUM(OSRRefE21_0_0x),0)</f>
        <v>22354.055423076919</v>
      </c>
    </row>
    <row r="20" spans="1:17" s="34" customFormat="1" hidden="1" outlineLevel="1" x14ac:dyDescent="0.2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70.03</v>
      </c>
      <c r="E20" s="2">
        <v>69.989999999999995</v>
      </c>
      <c r="F20" s="2">
        <v>70.040000000000006</v>
      </c>
      <c r="G20" s="2">
        <v>70.040000000000006</v>
      </c>
      <c r="H20" s="2">
        <v>70.730423076923103</v>
      </c>
      <c r="I20" s="2">
        <v>70.515923076923102</v>
      </c>
      <c r="J20" s="2">
        <v>88.3036338461539</v>
      </c>
      <c r="K20" s="2">
        <v>70.781903076923101</v>
      </c>
      <c r="L20" s="2">
        <v>70.781903076923101</v>
      </c>
      <c r="M20" s="2">
        <v>88.3036338461539</v>
      </c>
      <c r="N20" s="2">
        <v>70.550243076923095</v>
      </c>
      <c r="O20" s="2">
        <v>70.0869230769231</v>
      </c>
      <c r="P20" s="9"/>
      <c r="Q20" s="2">
        <f>SUM(OSRRefD21_0_1x)+IFERROR(SUM(OSRRefE21_0_1x),0)</f>
        <v>880.15458615384637</v>
      </c>
    </row>
    <row r="21" spans="1:17" s="34" customFormat="1" hidden="1" outlineLevel="1" x14ac:dyDescent="0.25">
      <c r="A21" s="35"/>
      <c r="B21" s="13" t="str">
        <f>CONCATENATE("          ","6113", " - ","GROUP INSURANCE")</f>
        <v xml:space="preserve">          6113 - GROUP INSURANCE</v>
      </c>
      <c r="C21" s="15"/>
      <c r="D21" s="2">
        <v>5567.04</v>
      </c>
      <c r="E21" s="2">
        <v>5567.04</v>
      </c>
      <c r="F21" s="2">
        <v>5567.04</v>
      </c>
      <c r="G21" s="2">
        <v>6246.72</v>
      </c>
      <c r="H21" s="2">
        <v>5415</v>
      </c>
      <c r="I21" s="2">
        <v>5415</v>
      </c>
      <c r="J21" s="2">
        <v>5415</v>
      </c>
      <c r="K21" s="2">
        <v>5415</v>
      </c>
      <c r="L21" s="2">
        <v>5415</v>
      </c>
      <c r="M21" s="2">
        <v>5415</v>
      </c>
      <c r="N21" s="2">
        <v>5415</v>
      </c>
      <c r="O21" s="2">
        <v>5415</v>
      </c>
      <c r="P21" s="9"/>
      <c r="Q21" s="2">
        <f>SUM(OSRRefD21_0_2x)+IFERROR(SUM(OSRRefE21_0_2x),0)</f>
        <v>66267.839999999997</v>
      </c>
    </row>
    <row r="22" spans="1:17" s="34" customFormat="1" hidden="1" outlineLevel="1" x14ac:dyDescent="0.2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55.17</v>
      </c>
      <c r="E22" s="2">
        <v>55.14</v>
      </c>
      <c r="F22" s="2">
        <v>55.18</v>
      </c>
      <c r="G22" s="2">
        <v>55.18</v>
      </c>
      <c r="H22" s="2">
        <v>55.726999999999997</v>
      </c>
      <c r="I22" s="2">
        <v>55.558</v>
      </c>
      <c r="J22" s="2">
        <v>69.572559999999996</v>
      </c>
      <c r="K22" s="2">
        <v>55.767560000000003</v>
      </c>
      <c r="L22" s="2">
        <v>55.767560000000003</v>
      </c>
      <c r="M22" s="2">
        <v>69.572559999999996</v>
      </c>
      <c r="N22" s="2">
        <v>55.585039999999999</v>
      </c>
      <c r="O22" s="2">
        <v>55.22</v>
      </c>
      <c r="P22" s="9"/>
      <c r="Q22" s="2">
        <f>SUM(OSRRefD21_0_3x)+IFERROR(SUM(OSRRefE21_0_3x),0)</f>
        <v>693.44028000000003</v>
      </c>
    </row>
    <row r="23" spans="1:17" s="34" customFormat="1" hidden="1" outlineLevel="1" x14ac:dyDescent="0.25">
      <c r="A23" s="35"/>
      <c r="B23" s="13" t="str">
        <f>CONCATENATE("          ","6115", " - ","P.E.R.S.")</f>
        <v xml:space="preserve">          6115 - P.E.R.S.</v>
      </c>
      <c r="C23" s="15"/>
      <c r="D23" s="2">
        <v>2968.15</v>
      </c>
      <c r="E23" s="2">
        <v>1978.76</v>
      </c>
      <c r="F23" s="2">
        <v>1978.76</v>
      </c>
      <c r="G23" s="2">
        <v>1978.76</v>
      </c>
      <c r="H23" s="2">
        <v>1826.5076923076901</v>
      </c>
      <c r="I23" s="2">
        <v>1826.5076923076901</v>
      </c>
      <c r="J23" s="2">
        <v>2283.1346153846198</v>
      </c>
      <c r="K23" s="2">
        <v>1826.5076923076901</v>
      </c>
      <c r="L23" s="2">
        <v>1826.5076923076901</v>
      </c>
      <c r="M23" s="2">
        <v>2283.1346153846198</v>
      </c>
      <c r="N23" s="2">
        <v>1826.5076923076901</v>
      </c>
      <c r="O23" s="2">
        <v>1826.5076923076901</v>
      </c>
      <c r="P23" s="9"/>
      <c r="Q23" s="2">
        <f>SUM(OSRRefD21_0_4x)+IFERROR(SUM(OSRRefE21_0_4x),0)</f>
        <v>24429.74538461538</v>
      </c>
    </row>
    <row r="24" spans="1:17" s="34" customFormat="1" hidden="1" outlineLevel="1" x14ac:dyDescent="0.25">
      <c r="A24" s="35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3" t="str">
        <f>CONCATENATE("          ","6118", " - ","VACATION")</f>
        <v xml:space="preserve">          6118 - VACATION</v>
      </c>
      <c r="C25" s="15"/>
      <c r="D25" s="2">
        <v>1559.44</v>
      </c>
      <c r="E25" s="2">
        <v>1559.44</v>
      </c>
      <c r="F25" s="2">
        <v>1559.44</v>
      </c>
      <c r="G25" s="2">
        <v>2300.4699999999998</v>
      </c>
      <c r="H25" s="2">
        <v>1061.9230769230799</v>
      </c>
      <c r="I25" s="2">
        <v>1061.9230769230799</v>
      </c>
      <c r="J25" s="2">
        <v>1327.4038461538501</v>
      </c>
      <c r="K25" s="2">
        <v>1061.9230769230799</v>
      </c>
      <c r="L25" s="2">
        <v>1061.9230769230799</v>
      </c>
      <c r="M25" s="2">
        <v>1327.4038461538501</v>
      </c>
      <c r="N25" s="2">
        <v>1061.9230769230799</v>
      </c>
      <c r="O25" s="2">
        <v>1061.9230769230799</v>
      </c>
      <c r="P25" s="9"/>
      <c r="Q25" s="2">
        <f>SUM(OSRRefD21_0_6x)+IFERROR(SUM(OSRRefE21_0_6x),0)</f>
        <v>16005.136153846179</v>
      </c>
    </row>
    <row r="26" spans="1:17" s="34" customFormat="1" hidden="1" outlineLevel="1" x14ac:dyDescent="0.25">
      <c r="A26" s="35"/>
      <c r="B26" s="13" t="str">
        <f>CONCATENATE("          ","6119", " - ","SICK LEAVE")</f>
        <v xml:space="preserve">          6119 - SICK LEAVE</v>
      </c>
      <c r="C26" s="15"/>
      <c r="D26" s="2">
        <v>979.42</v>
      </c>
      <c r="E26" s="2">
        <v>979.42</v>
      </c>
      <c r="F26" s="2">
        <v>979.42</v>
      </c>
      <c r="G26" s="2">
        <v>1469.13</v>
      </c>
      <c r="H26" s="2">
        <v>1061.9230769230799</v>
      </c>
      <c r="I26" s="2">
        <v>1061.9230769230799</v>
      </c>
      <c r="J26" s="2">
        <v>1327.4038461538501</v>
      </c>
      <c r="K26" s="2">
        <v>1061.9230769230799</v>
      </c>
      <c r="L26" s="2">
        <v>1061.9230769230799</v>
      </c>
      <c r="M26" s="2">
        <v>1327.4038461538501</v>
      </c>
      <c r="N26" s="2">
        <v>1061.9230769230799</v>
      </c>
      <c r="O26" s="2">
        <v>1061.9230769230799</v>
      </c>
      <c r="P26" s="9"/>
      <c r="Q26" s="2">
        <f>SUM(OSRRefD21_0_7x)+IFERROR(SUM(OSRRefE21_0_7x),0)</f>
        <v>13433.736153846179</v>
      </c>
    </row>
    <row r="27" spans="1:17" s="34" customFormat="1" hidden="1" outlineLevel="1" x14ac:dyDescent="0.25">
      <c r="A27" s="35"/>
      <c r="B27" s="13" t="str">
        <f>CONCATENATE("          ","6156", " - ","EMPLOYEE MEALS")</f>
        <v xml:space="preserve">          6156 - EMPLOYEE MEALS</v>
      </c>
      <c r="C27" s="15"/>
      <c r="D27" s="2">
        <v>262.86</v>
      </c>
      <c r="E27" s="2">
        <v>328.57</v>
      </c>
      <c r="F27" s="2">
        <v>403.6</v>
      </c>
      <c r="G27" s="2">
        <v>268.14999999999998</v>
      </c>
      <c r="H27" s="2">
        <v>700</v>
      </c>
      <c r="I27" s="2">
        <v>700</v>
      </c>
      <c r="J27" s="2">
        <v>700</v>
      </c>
      <c r="K27" s="2">
        <v>700</v>
      </c>
      <c r="L27" s="2">
        <v>700</v>
      </c>
      <c r="M27" s="2">
        <v>700</v>
      </c>
      <c r="N27" s="2">
        <v>700</v>
      </c>
      <c r="O27" s="2">
        <v>700</v>
      </c>
      <c r="P27" s="9"/>
      <c r="Q27" s="2">
        <f>SUM(OSRRefD21_0_8x)+IFERROR(SUM(OSRRefE21_0_8x),0)</f>
        <v>6863.18</v>
      </c>
    </row>
    <row r="28" spans="1:17" s="34" customFormat="1" collapsed="1" x14ac:dyDescent="0.25">
      <c r="A28" s="35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22976.46</v>
      </c>
      <c r="E28" s="1">
        <f>SUM(OSRRefD21_1x_1)</f>
        <v>19719.280000000002</v>
      </c>
      <c r="F28" s="1">
        <f>SUM(OSRRefD21_1x_2)</f>
        <v>20611.34</v>
      </c>
      <c r="G28" s="1">
        <f>SUM(OSRRefD21_1x_3)</f>
        <v>26165.710000000003</v>
      </c>
      <c r="H28" s="1">
        <f>SUM(OSRRefE21_1x_0)</f>
        <v>19309.61538461543</v>
      </c>
      <c r="I28" s="1">
        <f>SUM(OSRRefE21_1x_1)</f>
        <v>19244.61538461543</v>
      </c>
      <c r="J28" s="1">
        <f>SUM(OSRRefE21_1x_2)</f>
        <v>24103.869230769236</v>
      </c>
      <c r="K28" s="1">
        <f>SUM(OSRRefE21_1x_3)</f>
        <v>19325.215384615429</v>
      </c>
      <c r="L28" s="1">
        <f>SUM(OSRRefE21_1x_4)</f>
        <v>19325.215384615429</v>
      </c>
      <c r="M28" s="1">
        <f>SUM(OSRRefE21_1x_5)</f>
        <v>24103.869230769236</v>
      </c>
      <c r="N28" s="1">
        <f>SUM(OSRRefE21_1x_6)</f>
        <v>19255.015384615432</v>
      </c>
      <c r="O28" s="1">
        <f>SUM(OSRRefE21_1x_7)</f>
        <v>19114.61538461543</v>
      </c>
      <c r="Q28" s="2">
        <f>SUM(OSRRefD20_1x)+IFERROR(SUM(OSRRefE20_1x),0)</f>
        <v>253254.82076923107</v>
      </c>
    </row>
    <row r="29" spans="1:17" s="34" customFormat="1" hidden="1" outlineLevel="1" x14ac:dyDescent="0.25">
      <c r="A29" s="35"/>
      <c r="B29" s="13" t="str">
        <f>CONCATENATE("          ","6001", " - ","ADMINISTRATIVE SALARIES")</f>
        <v xml:space="preserve">          6001 - ADMINISTRATIVE SALARIES</v>
      </c>
      <c r="C29" s="15"/>
      <c r="D29" s="2"/>
      <c r="E29" s="2"/>
      <c r="F29" s="2"/>
      <c r="G29" s="2"/>
      <c r="H29" s="2">
        <v>5420.7692307692296</v>
      </c>
      <c r="I29" s="2">
        <v>5420.7692307692296</v>
      </c>
      <c r="J29" s="2">
        <v>6775.9615384615399</v>
      </c>
      <c r="K29" s="2">
        <v>5420.7692307692296</v>
      </c>
      <c r="L29" s="2">
        <v>5420.7692307692296</v>
      </c>
      <c r="M29" s="2">
        <v>6775.9615384615399</v>
      </c>
      <c r="N29" s="2">
        <v>5420.7692307692296</v>
      </c>
      <c r="O29" s="2">
        <v>5420.7692307692296</v>
      </c>
      <c r="P29" s="9"/>
      <c r="Q29" s="2">
        <f>SUM(OSRRefD21_1_0x)+IFERROR(SUM(OSRRefE21_1_0x),0)</f>
        <v>46076.538461538454</v>
      </c>
    </row>
    <row r="30" spans="1:17" s="34" customFormat="1" hidden="1" outlineLevel="1" x14ac:dyDescent="0.25">
      <c r="A30" s="35"/>
      <c r="B30" s="13" t="str">
        <f>CONCATENATE("          ","6002", " - ","STAFF SALARIES")</f>
        <v xml:space="preserve">          6002 - STAFF SALARIES</v>
      </c>
      <c r="C30" s="15"/>
      <c r="D30" s="2">
        <v>22976.46</v>
      </c>
      <c r="E30" s="2">
        <v>19633.390000000003</v>
      </c>
      <c r="F30" s="2">
        <v>20449.46</v>
      </c>
      <c r="G30" s="2">
        <v>26031.72</v>
      </c>
      <c r="H30" s="2">
        <v>13693.846153846202</v>
      </c>
      <c r="I30" s="2">
        <v>13693.846153846202</v>
      </c>
      <c r="J30" s="2">
        <v>17117.307692307699</v>
      </c>
      <c r="K30" s="2">
        <v>13693.846153846202</v>
      </c>
      <c r="L30" s="2">
        <v>13693.846153846202</v>
      </c>
      <c r="M30" s="2">
        <v>17117.307692307699</v>
      </c>
      <c r="N30" s="2">
        <v>13693.846153846202</v>
      </c>
      <c r="O30" s="2">
        <v>13693.846153846202</v>
      </c>
      <c r="P30" s="9"/>
      <c r="Q30" s="2">
        <f>SUM(OSRRefD21_1_1x)+IFERROR(SUM(OSRRefE21_1_1x),0)</f>
        <v>205488.7223076926</v>
      </c>
    </row>
    <row r="31" spans="1:17" s="34" customFormat="1" hidden="1" outlineLevel="1" x14ac:dyDescent="0.25">
      <c r="A31" s="35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25">
      <c r="A32" s="35"/>
      <c r="B32" s="13" t="str">
        <f>CONCATENATE("          ","6004", " - ","STAFF HOURLY")</f>
        <v xml:space="preserve">          6004 - STAFF HOURLY</v>
      </c>
      <c r="C32" s="15"/>
      <c r="D32" s="2"/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4" customFormat="1" hidden="1" outlineLevel="1" x14ac:dyDescent="0.25">
      <c r="A33" s="35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>
        <v>89.49</v>
      </c>
      <c r="G33" s="2">
        <v>175.99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265.48</v>
      </c>
    </row>
    <row r="34" spans="1:17" s="34" customFormat="1" hidden="1" outlineLevel="1" x14ac:dyDescent="0.25">
      <c r="A34" s="35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25">
      <c r="A35" s="35"/>
      <c r="B35" s="13" t="str">
        <f>CONCATENATE("          ","6007", " - ","STUDENT HOURLY")</f>
        <v xml:space="preserve">          6007 - STUDENT HOURLY</v>
      </c>
      <c r="C35" s="15"/>
      <c r="D35" s="2"/>
      <c r="E35" s="2">
        <v>85.89</v>
      </c>
      <c r="F35" s="2">
        <v>72.39</v>
      </c>
      <c r="G35" s="2">
        <v>-42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116.28</v>
      </c>
    </row>
    <row r="36" spans="1:17" s="34" customFormat="1" hidden="1" outlineLevel="1" x14ac:dyDescent="0.25">
      <c r="A36" s="35"/>
      <c r="B36" s="13" t="str">
        <f>CONCATENATE("          ","6008", " - ","STUDENT HOURLY-FICA EXEMPT")</f>
        <v xml:space="preserve">          6008 - STUDENT HOURLY-FICA EXEMPT</v>
      </c>
      <c r="C36" s="15"/>
      <c r="D36" s="2"/>
      <c r="E36" s="2"/>
      <c r="F36" s="2"/>
      <c r="G36" s="2"/>
      <c r="H36" s="2">
        <v>195</v>
      </c>
      <c r="I36" s="2">
        <v>130</v>
      </c>
      <c r="J36" s="2">
        <v>210.6</v>
      </c>
      <c r="K36" s="2">
        <v>210.6</v>
      </c>
      <c r="L36" s="2">
        <v>210.6</v>
      </c>
      <c r="M36" s="2">
        <v>210.6</v>
      </c>
      <c r="N36" s="2">
        <v>140.4</v>
      </c>
      <c r="O36" s="2">
        <v>0</v>
      </c>
      <c r="P36" s="9"/>
      <c r="Q36" s="2">
        <f>SUM(OSRRefD21_1_7x)+IFERROR(SUM(OSRRefE21_1_7x),0)</f>
        <v>1307.8000000000002</v>
      </c>
    </row>
    <row r="37" spans="1:17" s="34" customFormat="1" hidden="1" outlineLevel="1" x14ac:dyDescent="0.25">
      <c r="A37" s="35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25">
      <c r="A38" s="35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25">
      <c r="A39" s="35"/>
      <c r="B39" s="15" t="str">
        <f>CONCATENATE("     ","Depreciation                                      ")</f>
        <v xml:space="preserve">     Depreciation                                      </v>
      </c>
      <c r="C39" s="15"/>
      <c r="D39" s="1">
        <f>SUM(OSRRefD21_2x_0)</f>
        <v>1558.88</v>
      </c>
      <c r="E39" s="1">
        <f>SUM(OSRRefD21_2x_1)</f>
        <v>1558.88</v>
      </c>
      <c r="F39" s="1">
        <f>SUM(OSRRefD21_2x_2)</f>
        <v>1558.88</v>
      </c>
      <c r="G39" s="1">
        <f>SUM(OSRRefD21_2x_3)</f>
        <v>1558.88</v>
      </c>
      <c r="H39" s="1">
        <f>SUM(OSRRefE21_2x_0)</f>
        <v>1559</v>
      </c>
      <c r="I39" s="1">
        <f>SUM(OSRRefE21_2x_1)</f>
        <v>1559</v>
      </c>
      <c r="J39" s="1">
        <f>SUM(OSRRefE21_2x_2)</f>
        <v>1559</v>
      </c>
      <c r="K39" s="1">
        <f>SUM(OSRRefE21_2x_3)</f>
        <v>1559</v>
      </c>
      <c r="L39" s="1">
        <f>SUM(OSRRefE21_2x_4)</f>
        <v>1559</v>
      </c>
      <c r="M39" s="1">
        <f>SUM(OSRRefE21_2x_5)</f>
        <v>1559</v>
      </c>
      <c r="N39" s="1">
        <f>SUM(OSRRefE21_2x_6)</f>
        <v>1559</v>
      </c>
      <c r="O39" s="1">
        <f>SUM(OSRRefE21_2x_7)</f>
        <v>1559</v>
      </c>
      <c r="Q39" s="2">
        <f>SUM(OSRRefD20_2x)+IFERROR(SUM(OSRRefE20_2x),0)</f>
        <v>18707.52</v>
      </c>
    </row>
    <row r="40" spans="1:17" s="34" customFormat="1" hidden="1" outlineLevel="1" x14ac:dyDescent="0.25">
      <c r="A40" s="35"/>
      <c r="B40" s="13" t="str">
        <f>CONCATENATE("          ","6322", " - ","EQUIPMENT DEPRECIATION EXPENSE")</f>
        <v xml:space="preserve">          6322 - EQUIPMENT DEPRECIATION EXPENSE</v>
      </c>
      <c r="C40" s="15"/>
      <c r="D40" s="2">
        <v>1558.88</v>
      </c>
      <c r="E40" s="2">
        <v>1558.88</v>
      </c>
      <c r="F40" s="2">
        <v>1558.88</v>
      </c>
      <c r="G40" s="2">
        <v>1558.88</v>
      </c>
      <c r="H40" s="2">
        <v>1559</v>
      </c>
      <c r="I40" s="2">
        <v>1559</v>
      </c>
      <c r="J40" s="2">
        <v>1559</v>
      </c>
      <c r="K40" s="2">
        <v>1559</v>
      </c>
      <c r="L40" s="2">
        <v>1559</v>
      </c>
      <c r="M40" s="2">
        <v>1559</v>
      </c>
      <c r="N40" s="2">
        <v>1559</v>
      </c>
      <c r="O40" s="2">
        <v>1559</v>
      </c>
      <c r="P40" s="9"/>
      <c r="Q40" s="2">
        <f>SUM(OSRRefD21_2_0x)+IFERROR(SUM(OSRRefE21_2_0x),0)</f>
        <v>18707.52</v>
      </c>
    </row>
    <row r="41" spans="1:17" s="34" customFormat="1" collapsed="1" x14ac:dyDescent="0.25">
      <c r="A41" s="35"/>
      <c r="B41" s="15" t="str">
        <f>CONCATENATE("     ","Equipment Rental                                  ")</f>
        <v xml:space="preserve">     Equipment Rental                                  </v>
      </c>
      <c r="C41" s="15"/>
      <c r="D41" s="1">
        <f>SUM(OSRRefD21_3x_0)</f>
        <v>91.26</v>
      </c>
      <c r="E41" s="1">
        <f>SUM(OSRRefD21_3x_1)</f>
        <v>91.26</v>
      </c>
      <c r="F41" s="1">
        <f>SUM(OSRRefD21_3x_2)</f>
        <v>91.26</v>
      </c>
      <c r="G41" s="1">
        <f>SUM(OSRRefD21_3x_3)</f>
        <v>91.26</v>
      </c>
      <c r="H41" s="1">
        <f>SUM(OSRRefE21_3x_0)</f>
        <v>91</v>
      </c>
      <c r="I41" s="1">
        <f>SUM(OSRRefE21_3x_1)</f>
        <v>91</v>
      </c>
      <c r="J41" s="1">
        <f>SUM(OSRRefE21_3x_2)</f>
        <v>91</v>
      </c>
      <c r="K41" s="1">
        <f>SUM(OSRRefE21_3x_3)</f>
        <v>91</v>
      </c>
      <c r="L41" s="1">
        <f>SUM(OSRRefE21_3x_4)</f>
        <v>91</v>
      </c>
      <c r="M41" s="1">
        <f>SUM(OSRRefE21_3x_5)</f>
        <v>91</v>
      </c>
      <c r="N41" s="1">
        <f>SUM(OSRRefE21_3x_6)</f>
        <v>91</v>
      </c>
      <c r="O41" s="1">
        <f>SUM(OSRRefE21_3x_7)</f>
        <v>91</v>
      </c>
      <c r="Q41" s="2">
        <f>SUM(OSRRefD20_3x)+IFERROR(SUM(OSRRefE20_3x),0)</f>
        <v>1093.04</v>
      </c>
    </row>
    <row r="42" spans="1:17" s="34" customFormat="1" hidden="1" outlineLevel="1" x14ac:dyDescent="0.25">
      <c r="A42" s="35"/>
      <c r="B42" s="13" t="str">
        <f>CONCATENATE("          ","6351", " - ","EQUIPMENT RENTAL")</f>
        <v xml:space="preserve">          6351 - EQUIPMENT RENTAL</v>
      </c>
      <c r="C42" s="15"/>
      <c r="D42" s="2">
        <v>91.26</v>
      </c>
      <c r="E42" s="2">
        <v>91.26</v>
      </c>
      <c r="F42" s="2">
        <v>91.26</v>
      </c>
      <c r="G42" s="2">
        <v>91.26</v>
      </c>
      <c r="H42" s="2">
        <v>91</v>
      </c>
      <c r="I42" s="2">
        <v>91</v>
      </c>
      <c r="J42" s="2">
        <v>91</v>
      </c>
      <c r="K42" s="2">
        <v>91</v>
      </c>
      <c r="L42" s="2">
        <v>91</v>
      </c>
      <c r="M42" s="2">
        <v>91</v>
      </c>
      <c r="N42" s="2">
        <v>91</v>
      </c>
      <c r="O42" s="2">
        <v>91</v>
      </c>
      <c r="P42" s="9"/>
      <c r="Q42" s="2">
        <f>SUM(OSRRefD21_3_0x)+IFERROR(SUM(OSRRefE21_3_0x),0)</f>
        <v>1093.04</v>
      </c>
    </row>
    <row r="43" spans="1:17" s="34" customFormat="1" collapsed="1" x14ac:dyDescent="0.25">
      <c r="A43" s="35"/>
      <c r="B43" s="15" t="str">
        <f>CONCATENATE("     ","Freight out/Postage                               ")</f>
        <v xml:space="preserve">     Freight out/Postage                               </v>
      </c>
      <c r="C43" s="15"/>
      <c r="D43" s="1">
        <f>SUM(OSRRefD21_4x_0)</f>
        <v>80.5</v>
      </c>
      <c r="E43" s="1">
        <f>SUM(OSRRefD21_4x_1)</f>
        <v>137.85999999999999</v>
      </c>
      <c r="F43" s="1">
        <f>SUM(OSRRefD21_4x_2)</f>
        <v>104</v>
      </c>
      <c r="G43" s="1">
        <f>SUM(OSRRefD21_4x_3)</f>
        <v>137.5</v>
      </c>
      <c r="H43" s="1">
        <f>SUM(OSRRefE21_4x_0)</f>
        <v>100</v>
      </c>
      <c r="I43" s="1">
        <f>SUM(OSRRefE21_4x_1)</f>
        <v>100</v>
      </c>
      <c r="J43" s="1">
        <f>SUM(OSRRefE21_4x_2)</f>
        <v>100</v>
      </c>
      <c r="K43" s="1">
        <f>SUM(OSRRefE21_4x_3)</f>
        <v>100</v>
      </c>
      <c r="L43" s="1">
        <f>SUM(OSRRefE21_4x_4)</f>
        <v>100</v>
      </c>
      <c r="M43" s="1">
        <f>SUM(OSRRefE21_4x_5)</f>
        <v>100</v>
      </c>
      <c r="N43" s="1">
        <f>SUM(OSRRefE21_4x_6)</f>
        <v>100</v>
      </c>
      <c r="O43" s="1">
        <f>SUM(OSRRefE21_4x_7)</f>
        <v>100</v>
      </c>
      <c r="Q43" s="2">
        <f>SUM(OSRRefD20_4x)+IFERROR(SUM(OSRRefE20_4x),0)</f>
        <v>1259.8600000000001</v>
      </c>
    </row>
    <row r="44" spans="1:17" s="34" customFormat="1" hidden="1" outlineLevel="1" x14ac:dyDescent="0.25">
      <c r="A44" s="35"/>
      <c r="B44" s="13" t="str">
        <f>CONCATENATE("          ","6305", " - ","FREIGHT OUT")</f>
        <v xml:space="preserve">          6305 - FREIGHT OUT</v>
      </c>
      <c r="C44" s="15"/>
      <c r="D44" s="2"/>
      <c r="E44" s="2">
        <v>5.41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9"/>
      <c r="Q44" s="2">
        <f>SUM(OSRRefD21_4_0x)+IFERROR(SUM(OSRRefE21_4_0x),0)</f>
        <v>5.41</v>
      </c>
    </row>
    <row r="45" spans="1:17" s="34" customFormat="1" hidden="1" outlineLevel="1" x14ac:dyDescent="0.25">
      <c r="A45" s="35"/>
      <c r="B45" s="13" t="str">
        <f>CONCATENATE("          ","6307", " - ","POSTAGE")</f>
        <v xml:space="preserve">          6307 - POSTAGE</v>
      </c>
      <c r="C45" s="15"/>
      <c r="D45" s="2">
        <v>80.5</v>
      </c>
      <c r="E45" s="2">
        <v>132.44999999999999</v>
      </c>
      <c r="F45" s="2">
        <v>104</v>
      </c>
      <c r="G45" s="2">
        <v>137.5</v>
      </c>
      <c r="H45" s="2">
        <v>100</v>
      </c>
      <c r="I45" s="2">
        <v>100</v>
      </c>
      <c r="J45" s="2">
        <v>100</v>
      </c>
      <c r="K45" s="2">
        <v>100</v>
      </c>
      <c r="L45" s="2">
        <v>100</v>
      </c>
      <c r="M45" s="2">
        <v>100</v>
      </c>
      <c r="N45" s="2">
        <v>100</v>
      </c>
      <c r="O45" s="2">
        <v>100</v>
      </c>
      <c r="P45" s="9"/>
      <c r="Q45" s="2">
        <f>SUM(OSRRefD21_4_1x)+IFERROR(SUM(OSRRefE21_4_1x),0)</f>
        <v>1254.45</v>
      </c>
    </row>
    <row r="46" spans="1:17" s="34" customFormat="1" collapsed="1" x14ac:dyDescent="0.25">
      <c r="A46" s="35"/>
      <c r="B46" s="15" t="str">
        <f>CONCATENATE("     ","Insurance                                         ")</f>
        <v xml:space="preserve">     Insurance                                         </v>
      </c>
      <c r="C46" s="15"/>
      <c r="D46" s="1">
        <f>SUM(OSRRefD21_5x_0)</f>
        <v>132.16999999999999</v>
      </c>
      <c r="E46" s="1">
        <f>SUM(OSRRefD21_5x_1)</f>
        <v>132.16999999999999</v>
      </c>
      <c r="F46" s="1">
        <f>SUM(OSRRefD21_5x_2)</f>
        <v>132.16999999999999</v>
      </c>
      <c r="G46" s="1">
        <f>SUM(OSRRefD21_5x_3)</f>
        <v>132.16999999999999</v>
      </c>
      <c r="H46" s="1">
        <f>SUM(OSRRefE21_5x_0)</f>
        <v>135</v>
      </c>
      <c r="I46" s="1">
        <f>SUM(OSRRefE21_5x_1)</f>
        <v>135</v>
      </c>
      <c r="J46" s="1">
        <f>SUM(OSRRefE21_5x_2)</f>
        <v>135</v>
      </c>
      <c r="K46" s="1">
        <f>SUM(OSRRefE21_5x_3)</f>
        <v>135</v>
      </c>
      <c r="L46" s="1">
        <f>SUM(OSRRefE21_5x_4)</f>
        <v>135</v>
      </c>
      <c r="M46" s="1">
        <f>SUM(OSRRefE21_5x_5)</f>
        <v>135</v>
      </c>
      <c r="N46" s="1">
        <f>SUM(OSRRefE21_5x_6)</f>
        <v>135</v>
      </c>
      <c r="O46" s="1">
        <f>SUM(OSRRefE21_5x_7)</f>
        <v>135</v>
      </c>
      <c r="Q46" s="2">
        <f>SUM(OSRRefD20_5x)+IFERROR(SUM(OSRRefE20_5x),0)</f>
        <v>1608.6799999999998</v>
      </c>
    </row>
    <row r="47" spans="1:17" s="34" customFormat="1" hidden="1" outlineLevel="1" x14ac:dyDescent="0.25">
      <c r="A47" s="35"/>
      <c r="B47" s="13" t="str">
        <f>CONCATENATE("          ","6314", " - ","LIABILITY INSURANCE")</f>
        <v xml:space="preserve">          6314 - LIABILITY INSURANCE</v>
      </c>
      <c r="C47" s="15"/>
      <c r="D47" s="2">
        <v>132.16999999999999</v>
      </c>
      <c r="E47" s="2">
        <v>132.16999999999999</v>
      </c>
      <c r="F47" s="2">
        <v>132.16999999999999</v>
      </c>
      <c r="G47" s="2">
        <v>132.16999999999999</v>
      </c>
      <c r="H47" s="2">
        <v>135</v>
      </c>
      <c r="I47" s="2">
        <v>135</v>
      </c>
      <c r="J47" s="2">
        <v>135</v>
      </c>
      <c r="K47" s="2">
        <v>135</v>
      </c>
      <c r="L47" s="2">
        <v>135</v>
      </c>
      <c r="M47" s="2">
        <v>135</v>
      </c>
      <c r="N47" s="2">
        <v>135</v>
      </c>
      <c r="O47" s="2">
        <v>135</v>
      </c>
      <c r="P47" s="9"/>
      <c r="Q47" s="2">
        <f>SUM(OSRRefD21_5_0x)+IFERROR(SUM(OSRRefE21_5_0x),0)</f>
        <v>1608.6799999999998</v>
      </c>
    </row>
    <row r="48" spans="1:17" s="34" customFormat="1" collapsed="1" x14ac:dyDescent="0.25">
      <c r="A48" s="35"/>
      <c r="B48" s="15" t="str">
        <f>CONCATENATE("     ","Professional Services                             ")</f>
        <v xml:space="preserve">     Professional Services                             </v>
      </c>
      <c r="C48" s="15"/>
      <c r="D48" s="1">
        <f>SUM(OSRRefD21_6x_0)</f>
        <v>0</v>
      </c>
      <c r="E48" s="1">
        <f>SUM(OSRRefD21_6x_1)</f>
        <v>0</v>
      </c>
      <c r="F48" s="1">
        <f>SUM(OSRRefD21_6x_2)</f>
        <v>0</v>
      </c>
      <c r="G48" s="1">
        <f>SUM(OSRRefD21_6x_3)</f>
        <v>0</v>
      </c>
      <c r="H48" s="1">
        <f>SUM(OSRRefE21_6x_0)</f>
        <v>150</v>
      </c>
      <c r="I48" s="1">
        <f>SUM(OSRRefE21_6x_1)</f>
        <v>150</v>
      </c>
      <c r="J48" s="1">
        <f>SUM(OSRRefE21_6x_2)</f>
        <v>150</v>
      </c>
      <c r="K48" s="1">
        <f>SUM(OSRRefE21_6x_3)</f>
        <v>150</v>
      </c>
      <c r="L48" s="1">
        <f>SUM(OSRRefE21_6x_4)</f>
        <v>150</v>
      </c>
      <c r="M48" s="1">
        <f>SUM(OSRRefE21_6x_5)</f>
        <v>150</v>
      </c>
      <c r="N48" s="1">
        <f>SUM(OSRRefE21_6x_6)</f>
        <v>150</v>
      </c>
      <c r="O48" s="1">
        <f>SUM(OSRRefE21_6x_7)</f>
        <v>150</v>
      </c>
      <c r="Q48" s="2">
        <f>SUM(OSRRefD20_6x)+IFERROR(SUM(OSRRefE20_6x),0)</f>
        <v>1200</v>
      </c>
    </row>
    <row r="49" spans="1:17" s="34" customFormat="1" hidden="1" outlineLevel="1" x14ac:dyDescent="0.25">
      <c r="A49" s="35"/>
      <c r="B49" s="13" t="str">
        <f>CONCATENATE("          ","6332", " - ","CONSULTANT FEES")</f>
        <v xml:space="preserve">          6332 - CONSULTANT FEES</v>
      </c>
      <c r="C49" s="15"/>
      <c r="D49" s="2"/>
      <c r="E49" s="2"/>
      <c r="F49" s="2"/>
      <c r="G49" s="2"/>
      <c r="H49" s="2">
        <v>150</v>
      </c>
      <c r="I49" s="2">
        <v>150</v>
      </c>
      <c r="J49" s="2">
        <v>150</v>
      </c>
      <c r="K49" s="2">
        <v>150</v>
      </c>
      <c r="L49" s="2">
        <v>150</v>
      </c>
      <c r="M49" s="2">
        <v>150</v>
      </c>
      <c r="N49" s="2">
        <v>150</v>
      </c>
      <c r="O49" s="2">
        <v>150</v>
      </c>
      <c r="P49" s="9"/>
      <c r="Q49" s="2">
        <f>SUM(OSRRefD21_6_0x)+IFERROR(SUM(OSRRefE21_6_0x),0)</f>
        <v>1200</v>
      </c>
    </row>
    <row r="50" spans="1:17" s="34" customFormat="1" collapsed="1" x14ac:dyDescent="0.25">
      <c r="A50" s="35"/>
      <c r="B50" s="15" t="str">
        <f>CONCATENATE("     ","Repair and Maintenance                            ")</f>
        <v xml:space="preserve">     Repair and Maintenance                            </v>
      </c>
      <c r="C50" s="15"/>
      <c r="D50" s="1">
        <f>SUM(OSRRefD21_7x_0)</f>
        <v>69.84</v>
      </c>
      <c r="E50" s="1">
        <f>SUM(OSRRefD21_7x_1)</f>
        <v>266.2</v>
      </c>
      <c r="F50" s="1">
        <f>SUM(OSRRefD21_7x_2)</f>
        <v>81.44</v>
      </c>
      <c r="G50" s="1">
        <f>SUM(OSRRefD21_7x_3)</f>
        <v>235.60999999999999</v>
      </c>
      <c r="H50" s="1">
        <f>SUM(OSRRefE21_7x_0)</f>
        <v>60</v>
      </c>
      <c r="I50" s="1">
        <f>SUM(OSRRefE21_7x_1)</f>
        <v>4510</v>
      </c>
      <c r="J50" s="1">
        <f>SUM(OSRRefE21_7x_2)</f>
        <v>60</v>
      </c>
      <c r="K50" s="1">
        <f>SUM(OSRRefE21_7x_3)</f>
        <v>11360</v>
      </c>
      <c r="L50" s="1">
        <f>SUM(OSRRefE21_7x_4)</f>
        <v>15160</v>
      </c>
      <c r="M50" s="1">
        <f>SUM(OSRRefE21_7x_5)</f>
        <v>60</v>
      </c>
      <c r="N50" s="1">
        <f>SUM(OSRRefE21_7x_6)</f>
        <v>60</v>
      </c>
      <c r="O50" s="1">
        <f>SUM(OSRRefE21_7x_7)</f>
        <v>60</v>
      </c>
      <c r="Q50" s="2">
        <f>SUM(OSRRefD20_7x)+IFERROR(SUM(OSRRefE20_7x),0)</f>
        <v>31983.09</v>
      </c>
    </row>
    <row r="51" spans="1:17" s="34" customFormat="1" hidden="1" outlineLevel="1" x14ac:dyDescent="0.25">
      <c r="A51" s="35"/>
      <c r="B51" s="13" t="str">
        <f>CONCATENATE("          ","6371", " - ","COMPUTER SOFTWARE MAINTENANCE")</f>
        <v xml:space="preserve">          6371 - COMPUTER SOFTWARE MAINTENANCE</v>
      </c>
      <c r="C51" s="15"/>
      <c r="D51" s="2">
        <v>59.95</v>
      </c>
      <c r="E51" s="2">
        <v>266.2</v>
      </c>
      <c r="F51" s="2">
        <v>59.95</v>
      </c>
      <c r="G51" s="2">
        <v>224.95</v>
      </c>
      <c r="H51" s="2">
        <v>60</v>
      </c>
      <c r="I51" s="2">
        <v>60</v>
      </c>
      <c r="J51" s="2">
        <v>60</v>
      </c>
      <c r="K51" s="2">
        <v>11360</v>
      </c>
      <c r="L51" s="2">
        <v>15160</v>
      </c>
      <c r="M51" s="2">
        <v>60</v>
      </c>
      <c r="N51" s="2">
        <v>60</v>
      </c>
      <c r="O51" s="2">
        <v>60</v>
      </c>
      <c r="P51" s="9"/>
      <c r="Q51" s="2">
        <f>SUM(OSRRefD21_7_0x)+IFERROR(SUM(OSRRefE21_7_0x),0)</f>
        <v>27491.05</v>
      </c>
    </row>
    <row r="52" spans="1:17" s="34" customFormat="1" hidden="1" outlineLevel="1" x14ac:dyDescent="0.25">
      <c r="A52" s="35"/>
      <c r="B52" s="13" t="str">
        <f>CONCATENATE("          ","6373", " - ","MAINTENANCE CONTRACTS")</f>
        <v xml:space="preserve">          6373 - MAINTENANCE CONTRACTS</v>
      </c>
      <c r="C52" s="15"/>
      <c r="D52" s="2">
        <v>9.89</v>
      </c>
      <c r="E52" s="2"/>
      <c r="F52" s="2">
        <v>21.49</v>
      </c>
      <c r="G52" s="2">
        <v>10.66</v>
      </c>
      <c r="H52" s="2"/>
      <c r="I52" s="2">
        <v>4450</v>
      </c>
      <c r="J52" s="2"/>
      <c r="K52" s="2"/>
      <c r="L52" s="2"/>
      <c r="M52" s="2"/>
      <c r="N52" s="2"/>
      <c r="O52" s="2"/>
      <c r="P52" s="9"/>
      <c r="Q52" s="2">
        <f>SUM(OSRRefD21_7_1x)+IFERROR(SUM(OSRRefE21_7_1x),0)</f>
        <v>4492.04</v>
      </c>
    </row>
    <row r="53" spans="1:17" s="34" customFormat="1" collapsed="1" x14ac:dyDescent="0.25">
      <c r="A53" s="35"/>
      <c r="B53" s="15" t="str">
        <f>CONCATENATE("     ","Services                                          ")</f>
        <v xml:space="preserve">     Services                                          </v>
      </c>
      <c r="C53" s="15"/>
      <c r="D53" s="1">
        <f>SUM(OSRRefD21_8x_0)</f>
        <v>512.48</v>
      </c>
      <c r="E53" s="1">
        <f>SUM(OSRRefD21_8x_1)</f>
        <v>0</v>
      </c>
      <c r="F53" s="1">
        <f>SUM(OSRRefD21_8x_2)</f>
        <v>512.48</v>
      </c>
      <c r="G53" s="1">
        <f>SUM(OSRRefD21_8x_3)</f>
        <v>1024.96</v>
      </c>
      <c r="H53" s="1">
        <f>SUM(OSRRefE21_8x_0)</f>
        <v>512</v>
      </c>
      <c r="I53" s="1">
        <f>SUM(OSRRefE21_8x_1)</f>
        <v>512</v>
      </c>
      <c r="J53" s="1">
        <f>SUM(OSRRefE21_8x_2)</f>
        <v>512</v>
      </c>
      <c r="K53" s="1">
        <f>SUM(OSRRefE21_8x_3)</f>
        <v>512</v>
      </c>
      <c r="L53" s="1">
        <f>SUM(OSRRefE21_8x_4)</f>
        <v>512</v>
      </c>
      <c r="M53" s="1">
        <f>SUM(OSRRefE21_8x_5)</f>
        <v>512</v>
      </c>
      <c r="N53" s="1">
        <f>SUM(OSRRefE21_8x_6)</f>
        <v>512</v>
      </c>
      <c r="O53" s="1">
        <f>SUM(OSRRefE21_8x_7)</f>
        <v>512</v>
      </c>
      <c r="Q53" s="2">
        <f>SUM(OSRRefD20_8x)+IFERROR(SUM(OSRRefE20_8x),0)</f>
        <v>6145.92</v>
      </c>
    </row>
    <row r="54" spans="1:17" s="34" customFormat="1" hidden="1" outlineLevel="1" x14ac:dyDescent="0.25">
      <c r="A54" s="35"/>
      <c r="B54" s="13" t="str">
        <f>CONCATENATE("          ","6281", " - ","STORAGE FEE")</f>
        <v xml:space="preserve">          6281 - STORAGE FEE</v>
      </c>
      <c r="C54" s="15"/>
      <c r="D54" s="2">
        <v>512.48</v>
      </c>
      <c r="E54" s="2"/>
      <c r="F54" s="2">
        <v>512.48</v>
      </c>
      <c r="G54" s="2">
        <v>1024.96</v>
      </c>
      <c r="H54" s="2">
        <v>512</v>
      </c>
      <c r="I54" s="2">
        <v>512</v>
      </c>
      <c r="J54" s="2">
        <v>512</v>
      </c>
      <c r="K54" s="2">
        <v>512</v>
      </c>
      <c r="L54" s="2">
        <v>512</v>
      </c>
      <c r="M54" s="2">
        <v>512</v>
      </c>
      <c r="N54" s="2">
        <v>512</v>
      </c>
      <c r="O54" s="2">
        <v>512</v>
      </c>
      <c r="P54" s="9"/>
      <c r="Q54" s="2">
        <f>SUM(OSRRefD21_8_0x)+IFERROR(SUM(OSRRefE21_8_0x),0)</f>
        <v>6145.92</v>
      </c>
    </row>
    <row r="55" spans="1:17" s="34" customFormat="1" collapsed="1" x14ac:dyDescent="0.25">
      <c r="A55" s="35"/>
      <c r="B55" s="15" t="str">
        <f>CONCATENATE("     ","Supplies                                          ")</f>
        <v xml:space="preserve">     Supplies                                          </v>
      </c>
      <c r="C55" s="15"/>
      <c r="D55" s="1">
        <f>SUM(OSRRefD21_9x_0)</f>
        <v>461.94000000000005</v>
      </c>
      <c r="E55" s="1">
        <f>SUM(OSRRefD21_9x_1)</f>
        <v>96.12</v>
      </c>
      <c r="F55" s="1">
        <f>SUM(OSRRefD21_9x_2)</f>
        <v>89.4</v>
      </c>
      <c r="G55" s="1">
        <f>SUM(OSRRefD21_9x_3)</f>
        <v>66.58</v>
      </c>
      <c r="H55" s="1">
        <f>SUM(OSRRefE21_9x_0)</f>
        <v>150</v>
      </c>
      <c r="I55" s="1">
        <f>SUM(OSRRefE21_9x_1)</f>
        <v>150</v>
      </c>
      <c r="J55" s="1">
        <f>SUM(OSRRefE21_9x_2)</f>
        <v>150</v>
      </c>
      <c r="K55" s="1">
        <f>SUM(OSRRefE21_9x_3)</f>
        <v>150</v>
      </c>
      <c r="L55" s="1">
        <f>SUM(OSRRefE21_9x_4)</f>
        <v>150</v>
      </c>
      <c r="M55" s="1">
        <f>SUM(OSRRefE21_9x_5)</f>
        <v>150</v>
      </c>
      <c r="N55" s="1">
        <f>SUM(OSRRefE21_9x_6)</f>
        <v>150</v>
      </c>
      <c r="O55" s="1">
        <f>SUM(OSRRefE21_9x_7)</f>
        <v>150</v>
      </c>
      <c r="Q55" s="2">
        <f>SUM(OSRRefD20_9x)+IFERROR(SUM(OSRRefE20_9x),0)</f>
        <v>1914.04</v>
      </c>
    </row>
    <row r="56" spans="1:17" s="34" customFormat="1" hidden="1" outlineLevel="1" x14ac:dyDescent="0.25">
      <c r="A56" s="35"/>
      <c r="B56" s="13" t="str">
        <f>CONCATENATE("          ","6235", " - ","COVID-19 EXPENSES")</f>
        <v xml:space="preserve">          6235 - COVID-19 EXPENSES</v>
      </c>
      <c r="C56" s="15"/>
      <c r="D56" s="2">
        <v>426.66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SUM(OSRRefD21_9_0x)+IFERROR(SUM(OSRRefE21_9_0x),0)</f>
        <v>426.66</v>
      </c>
    </row>
    <row r="57" spans="1:17" s="34" customFormat="1" hidden="1" outlineLevel="1" x14ac:dyDescent="0.25">
      <c r="A57" s="35"/>
      <c r="B57" s="13" t="str">
        <f>CONCATENATE("          ","6241", " - ","OFFICE EXPENSE")</f>
        <v xml:space="preserve">          6241 - OFFICE EXPENSE</v>
      </c>
      <c r="C57" s="15"/>
      <c r="D57" s="2">
        <v>35.28</v>
      </c>
      <c r="E57" s="2">
        <v>96.12</v>
      </c>
      <c r="F57" s="2">
        <v>89.4</v>
      </c>
      <c r="G57" s="2">
        <v>66.58</v>
      </c>
      <c r="H57" s="2">
        <v>150</v>
      </c>
      <c r="I57" s="2">
        <v>150</v>
      </c>
      <c r="J57" s="2">
        <v>150</v>
      </c>
      <c r="K57" s="2">
        <v>150</v>
      </c>
      <c r="L57" s="2">
        <v>150</v>
      </c>
      <c r="M57" s="2">
        <v>150</v>
      </c>
      <c r="N57" s="2">
        <v>150</v>
      </c>
      <c r="O57" s="2">
        <v>150</v>
      </c>
      <c r="P57" s="9"/>
      <c r="Q57" s="2">
        <f>SUM(OSRRefD21_9_1x)+IFERROR(SUM(OSRRefE21_9_1x),0)</f>
        <v>1487.38</v>
      </c>
    </row>
    <row r="58" spans="1:17" s="34" customFormat="1" collapsed="1" x14ac:dyDescent="0.25">
      <c r="A58" s="35"/>
      <c r="B58" s="15" t="str">
        <f>CONCATENATE("     ","Telephone/Data Lines                              ")</f>
        <v xml:space="preserve">     Telephone/Data Lines                              </v>
      </c>
      <c r="C58" s="15"/>
      <c r="D58" s="1">
        <f>SUM(OSRRefD21_10x_0)</f>
        <v>421.3</v>
      </c>
      <c r="E58" s="1">
        <f>SUM(OSRRefD21_10x_1)</f>
        <v>420.15</v>
      </c>
      <c r="F58" s="1">
        <f>SUM(OSRRefD21_10x_2)</f>
        <v>425</v>
      </c>
      <c r="G58" s="1">
        <f>SUM(OSRRefD21_10x_3)</f>
        <v>425.8</v>
      </c>
      <c r="H58" s="1">
        <f>SUM(OSRRefE21_10x_0)</f>
        <v>425</v>
      </c>
      <c r="I58" s="1">
        <f>SUM(OSRRefE21_10x_1)</f>
        <v>425</v>
      </c>
      <c r="J58" s="1">
        <f>SUM(OSRRefE21_10x_2)</f>
        <v>425</v>
      </c>
      <c r="K58" s="1">
        <f>SUM(OSRRefE21_10x_3)</f>
        <v>425</v>
      </c>
      <c r="L58" s="1">
        <f>SUM(OSRRefE21_10x_4)</f>
        <v>425</v>
      </c>
      <c r="M58" s="1">
        <f>SUM(OSRRefE21_10x_5)</f>
        <v>425</v>
      </c>
      <c r="N58" s="1">
        <f>SUM(OSRRefE21_10x_6)</f>
        <v>425</v>
      </c>
      <c r="O58" s="1">
        <f>SUM(OSRRefE21_10x_7)</f>
        <v>425</v>
      </c>
      <c r="Q58" s="2">
        <f>SUM(OSRRefD20_10x)+IFERROR(SUM(OSRRefE20_10x),0)</f>
        <v>5092.25</v>
      </c>
    </row>
    <row r="59" spans="1:17" s="34" customFormat="1" hidden="1" outlineLevel="1" x14ac:dyDescent="0.25">
      <c r="A59" s="35"/>
      <c r="B59" s="13" t="str">
        <f>CONCATENATE("          ","6309", " - ","TELEPHONE")</f>
        <v xml:space="preserve">          6309 - TELEPHONE</v>
      </c>
      <c r="C59" s="15"/>
      <c r="D59" s="2">
        <v>421.3</v>
      </c>
      <c r="E59" s="2">
        <v>420.15</v>
      </c>
      <c r="F59" s="2">
        <v>425</v>
      </c>
      <c r="G59" s="2">
        <v>425.8</v>
      </c>
      <c r="H59" s="2">
        <v>425</v>
      </c>
      <c r="I59" s="2">
        <v>425</v>
      </c>
      <c r="J59" s="2">
        <v>425</v>
      </c>
      <c r="K59" s="2">
        <v>425</v>
      </c>
      <c r="L59" s="2">
        <v>425</v>
      </c>
      <c r="M59" s="2">
        <v>425</v>
      </c>
      <c r="N59" s="2">
        <v>425</v>
      </c>
      <c r="O59" s="2">
        <v>425</v>
      </c>
      <c r="P59" s="9"/>
      <c r="Q59" s="2">
        <f>SUM(OSRRefD21_10_0x)+IFERROR(SUM(OSRRefE21_10_0x),0)</f>
        <v>5092.25</v>
      </c>
    </row>
    <row r="60" spans="1:17" s="34" customFormat="1" collapsed="1" x14ac:dyDescent="0.25">
      <c r="A60" s="35"/>
      <c r="B60" s="15" t="str">
        <f>CONCATENATE("     ","Training                                          ")</f>
        <v xml:space="preserve">     Training                                          </v>
      </c>
      <c r="C60" s="15"/>
      <c r="D60" s="1">
        <f>SUM(OSRRefD21_11x_0)</f>
        <v>0</v>
      </c>
      <c r="E60" s="1">
        <f>SUM(OSRRefD21_11x_1)</f>
        <v>0</v>
      </c>
      <c r="F60" s="1">
        <f>SUM(OSRRefD21_11x_2)</f>
        <v>199</v>
      </c>
      <c r="G60" s="1">
        <f>SUM(OSRRefD21_11x_3)</f>
        <v>199</v>
      </c>
      <c r="H60" s="1">
        <f>SUM(OSRRefE21_11x_0)</f>
        <v>200</v>
      </c>
      <c r="I60" s="1">
        <f>SUM(OSRRefE21_11x_1)</f>
        <v>200</v>
      </c>
      <c r="J60" s="1">
        <f>SUM(OSRRefE21_11x_2)</f>
        <v>200</v>
      </c>
      <c r="K60" s="1">
        <f>SUM(OSRRefE21_11x_3)</f>
        <v>200</v>
      </c>
      <c r="L60" s="1">
        <f>SUM(OSRRefE21_11x_4)</f>
        <v>200</v>
      </c>
      <c r="M60" s="1">
        <f>SUM(OSRRefE21_11x_5)</f>
        <v>200</v>
      </c>
      <c r="N60" s="1">
        <f>SUM(OSRRefE21_11x_6)</f>
        <v>200</v>
      </c>
      <c r="O60" s="1">
        <f>SUM(OSRRefE21_11x_7)</f>
        <v>200</v>
      </c>
      <c r="Q60" s="2">
        <f>SUM(OSRRefD20_11x)+IFERROR(SUM(OSRRefE20_11x),0)</f>
        <v>1998</v>
      </c>
    </row>
    <row r="61" spans="1:17" s="34" customFormat="1" hidden="1" outlineLevel="1" x14ac:dyDescent="0.25">
      <c r="A61" s="35"/>
      <c r="B61" s="13" t="str">
        <f>CONCATENATE("          ","6376", " - ","TRAINING")</f>
        <v xml:space="preserve">          6376 - TRAINING</v>
      </c>
      <c r="C61" s="15"/>
      <c r="D61" s="2"/>
      <c r="E61" s="2"/>
      <c r="F61" s="2">
        <v>199</v>
      </c>
      <c r="G61" s="2">
        <v>199</v>
      </c>
      <c r="H61" s="2">
        <v>200</v>
      </c>
      <c r="I61" s="2">
        <v>200</v>
      </c>
      <c r="J61" s="2">
        <v>200</v>
      </c>
      <c r="K61" s="2">
        <v>200</v>
      </c>
      <c r="L61" s="2">
        <v>200</v>
      </c>
      <c r="M61" s="2">
        <v>200</v>
      </c>
      <c r="N61" s="2">
        <v>200</v>
      </c>
      <c r="O61" s="2">
        <v>200</v>
      </c>
      <c r="P61" s="9"/>
      <c r="Q61" s="2">
        <f>SUM(OSRRefD21_11_0x)+IFERROR(SUM(OSRRefE21_11_0x),0)</f>
        <v>1998</v>
      </c>
    </row>
    <row r="62" spans="1:17" s="34" customFormat="1" collapsed="1" x14ac:dyDescent="0.25">
      <c r="A62" s="35"/>
      <c r="B62" s="15" t="str">
        <f>CONCATENATE("     ","Travel                                            ")</f>
        <v xml:space="preserve">     Travel                                            </v>
      </c>
      <c r="C62" s="15"/>
      <c r="D62" s="1">
        <f>SUM(OSRRefD21_12x_0)</f>
        <v>9.75</v>
      </c>
      <c r="E62" s="1">
        <f>SUM(OSRRefD21_12x_1)</f>
        <v>7.8</v>
      </c>
      <c r="F62" s="1">
        <f>SUM(OSRRefD21_12x_2)</f>
        <v>0</v>
      </c>
      <c r="G62" s="1">
        <f>SUM(OSRRefD21_12x_3)</f>
        <v>29.07</v>
      </c>
      <c r="H62" s="1">
        <f>SUM(OSRRefE21_12x_0)</f>
        <v>0</v>
      </c>
      <c r="I62" s="1">
        <f>SUM(OSRRefE21_12x_1)</f>
        <v>0</v>
      </c>
      <c r="J62" s="1">
        <f>SUM(OSRRefE21_12x_2)</f>
        <v>0</v>
      </c>
      <c r="K62" s="1">
        <f>SUM(OSRRefE21_12x_3)</f>
        <v>0</v>
      </c>
      <c r="L62" s="1">
        <f>SUM(OSRRefE21_12x_4)</f>
        <v>0</v>
      </c>
      <c r="M62" s="1">
        <f>SUM(OSRRefE21_12x_5)</f>
        <v>0</v>
      </c>
      <c r="N62" s="1">
        <f>SUM(OSRRefE21_12x_6)</f>
        <v>0</v>
      </c>
      <c r="O62" s="1">
        <f>SUM(OSRRefE21_12x_7)</f>
        <v>0</v>
      </c>
      <c r="Q62" s="2">
        <f>SUM(OSRRefD20_12x)+IFERROR(SUM(OSRRefE20_12x),0)</f>
        <v>46.620000000000005</v>
      </c>
    </row>
    <row r="63" spans="1:17" s="34" customFormat="1" hidden="1" outlineLevel="1" x14ac:dyDescent="0.25">
      <c r="A63" s="35"/>
      <c r="B63" s="13" t="str">
        <f>CONCATENATE("          ","6294", " - ","TRAVEL OPERATIONAL")</f>
        <v xml:space="preserve">          6294 - TRAVEL OPERATIONAL</v>
      </c>
      <c r="C63" s="15"/>
      <c r="D63" s="2">
        <v>9.75</v>
      </c>
      <c r="E63" s="2">
        <v>7.8</v>
      </c>
      <c r="F63" s="2"/>
      <c r="G63" s="2">
        <v>29.07</v>
      </c>
      <c r="H63" s="2"/>
      <c r="I63" s="2"/>
      <c r="J63" s="2"/>
      <c r="K63" s="2"/>
      <c r="L63" s="2"/>
      <c r="M63" s="2"/>
      <c r="N63" s="2"/>
      <c r="O63" s="2"/>
      <c r="P63" s="9"/>
      <c r="Q63" s="2">
        <f>SUM(OSRRefD21_12_0x)+IFERROR(SUM(OSRRefE21_12_0x),0)</f>
        <v>46.620000000000005</v>
      </c>
    </row>
    <row r="64" spans="1:17" s="28" customFormat="1" x14ac:dyDescent="0.25">
      <c r="A64" s="20"/>
      <c r="B64" s="20"/>
      <c r="C64" s="20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Q64" s="1"/>
    </row>
    <row r="65" spans="1:17" s="9" customFormat="1" x14ac:dyDescent="0.25">
      <c r="A65" s="22"/>
      <c r="B65" s="16" t="s">
        <v>0</v>
      </c>
      <c r="C65" s="23"/>
      <c r="D65" s="3">
        <f t="shared" ref="D65:G65" si="4">0</f>
        <v>0</v>
      </c>
      <c r="E65" s="3">
        <f t="shared" si="4"/>
        <v>0</v>
      </c>
      <c r="F65" s="3">
        <f t="shared" si="4"/>
        <v>0</v>
      </c>
      <c r="G65" s="3">
        <f t="shared" si="4"/>
        <v>0</v>
      </c>
      <c r="H65" s="3"/>
      <c r="I65" s="3"/>
      <c r="J65" s="3"/>
      <c r="K65" s="3"/>
      <c r="L65" s="3"/>
      <c r="M65" s="3"/>
      <c r="N65" s="3"/>
      <c r="O65" s="3"/>
      <c r="Q65" s="2">
        <f>SUM(OSRRefD23_0x)+IFERROR(SUM(OSRRefE23_0x),0)</f>
        <v>0</v>
      </c>
    </row>
    <row r="66" spans="1:17" x14ac:dyDescent="0.25">
      <c r="A66" s="5"/>
      <c r="B66" s="8"/>
      <c r="C66" s="8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4" customFormat="1" x14ac:dyDescent="0.25">
      <c r="A67" s="8"/>
      <c r="B67" s="17" t="s">
        <v>3</v>
      </c>
      <c r="C67" s="17"/>
      <c r="D67" s="6">
        <f t="shared" ref="D67:O67" si="5">IFERROR(+D14-D17+D65, 0)</f>
        <v>-39398.04</v>
      </c>
      <c r="E67" s="6">
        <f t="shared" si="5"/>
        <v>-34593.850000000006</v>
      </c>
      <c r="F67" s="6">
        <f t="shared" si="5"/>
        <v>-36054.400000000009</v>
      </c>
      <c r="G67" s="6">
        <f t="shared" si="5"/>
        <v>-46110.250000000007</v>
      </c>
      <c r="H67" s="6">
        <f t="shared" si="5"/>
        <v>-34508.806115384665</v>
      </c>
      <c r="I67" s="6">
        <f t="shared" si="5"/>
        <v>-38893.422615384661</v>
      </c>
      <c r="J67" s="6">
        <f t="shared" si="5"/>
        <v>-40728.412059230788</v>
      </c>
      <c r="K67" s="6">
        <f t="shared" si="5"/>
        <v>-45824.498155384659</v>
      </c>
      <c r="L67" s="6">
        <f t="shared" si="5"/>
        <v>-49624.498155384659</v>
      </c>
      <c r="M67" s="6">
        <f t="shared" si="5"/>
        <v>-40728.412059230788</v>
      </c>
      <c r="N67" s="6">
        <f t="shared" si="5"/>
        <v>-34453.883975384662</v>
      </c>
      <c r="O67" s="6">
        <f t="shared" si="5"/>
        <v>-34312.655615384661</v>
      </c>
      <c r="Q67" s="6">
        <f>IFERROR(+Q14-Q17+Q65, 0)</f>
        <v>-475231.12875076948</v>
      </c>
    </row>
    <row r="68" spans="1:17" s="8" customFormat="1" x14ac:dyDescent="0.25">
      <c r="B68" s="16"/>
      <c r="C68" s="16"/>
      <c r="D68" s="4">
        <f t="shared" ref="D68:O68" si="6">IFERROR(D67/D10, 0)</f>
        <v>0</v>
      </c>
      <c r="E68" s="4">
        <f t="shared" si="6"/>
        <v>0</v>
      </c>
      <c r="F68" s="4">
        <f t="shared" si="6"/>
        <v>0</v>
      </c>
      <c r="G68" s="4">
        <f t="shared" si="6"/>
        <v>0</v>
      </c>
      <c r="H68" s="4">
        <f t="shared" si="6"/>
        <v>0</v>
      </c>
      <c r="I68" s="4">
        <f t="shared" si="6"/>
        <v>0</v>
      </c>
      <c r="J68" s="4">
        <f t="shared" si="6"/>
        <v>0</v>
      </c>
      <c r="K68" s="4">
        <f t="shared" si="6"/>
        <v>0</v>
      </c>
      <c r="L68" s="4">
        <f t="shared" si="6"/>
        <v>0</v>
      </c>
      <c r="M68" s="4">
        <f t="shared" si="6"/>
        <v>0</v>
      </c>
      <c r="N68" s="4">
        <f t="shared" si="6"/>
        <v>0</v>
      </c>
      <c r="O68" s="4">
        <f t="shared" si="6"/>
        <v>0</v>
      </c>
      <c r="P68" s="18"/>
      <c r="Q68" s="4">
        <f>IFERROR(Q67/Q10, 0)</f>
        <v>0</v>
      </c>
    </row>
    <row r="69" spans="1:17" x14ac:dyDescent="0.25">
      <c r="A69" s="5"/>
      <c r="B69" s="8"/>
      <c r="C69" s="5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3"/>
    </row>
    <row r="70" spans="1:17" s="14" customFormat="1" x14ac:dyDescent="0.25">
      <c r="A70" s="25"/>
      <c r="B70" s="8" t="s">
        <v>8</v>
      </c>
      <c r="C70" s="8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2">
        <f>SUM(OSRRefD28_0x)+IFERROR(SUM(OSRRefE28_0x),0)</f>
        <v>0</v>
      </c>
    </row>
    <row r="71" spans="1:17" x14ac:dyDescent="0.25">
      <c r="A71" s="5"/>
      <c r="B71" s="8"/>
      <c r="C71" s="8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4" customFormat="1" ht="15.75" thickBot="1" x14ac:dyDescent="0.3">
      <c r="A72" s="8"/>
      <c r="B72" s="17" t="s">
        <v>4</v>
      </c>
      <c r="C72" s="17"/>
      <c r="D72" s="7">
        <f t="shared" ref="D72:O72" si="7">IFERROR(+D67-D70, 0)</f>
        <v>-39398.04</v>
      </c>
      <c r="E72" s="7">
        <f t="shared" si="7"/>
        <v>-34593.850000000006</v>
      </c>
      <c r="F72" s="7">
        <f t="shared" si="7"/>
        <v>-36054.400000000009</v>
      </c>
      <c r="G72" s="7">
        <f t="shared" si="7"/>
        <v>-46110.250000000007</v>
      </c>
      <c r="H72" s="7">
        <f t="shared" si="7"/>
        <v>-34508.806115384665</v>
      </c>
      <c r="I72" s="7">
        <f t="shared" si="7"/>
        <v>-38893.422615384661</v>
      </c>
      <c r="J72" s="7">
        <f t="shared" si="7"/>
        <v>-40728.412059230788</v>
      </c>
      <c r="K72" s="7">
        <f t="shared" si="7"/>
        <v>-45824.498155384659</v>
      </c>
      <c r="L72" s="7">
        <f t="shared" si="7"/>
        <v>-49624.498155384659</v>
      </c>
      <c r="M72" s="7">
        <f t="shared" si="7"/>
        <v>-40728.412059230788</v>
      </c>
      <c r="N72" s="7">
        <f t="shared" si="7"/>
        <v>-34453.883975384662</v>
      </c>
      <c r="O72" s="7">
        <f t="shared" si="7"/>
        <v>-34312.655615384661</v>
      </c>
      <c r="Q72" s="7">
        <f>IFERROR(+Q67-Q70, 0)</f>
        <v>-475231.12875076948</v>
      </c>
    </row>
    <row r="73" spans="1:17" ht="15.75" thickTop="1" x14ac:dyDescent="0.25">
      <c r="A73" s="5"/>
      <c r="B73" s="5"/>
      <c r="C73" s="5"/>
      <c r="D73" s="4">
        <f t="shared" ref="D73:O73" si="8">IFERROR(D72/D10, 0)</f>
        <v>0</v>
      </c>
      <c r="E73" s="4">
        <f t="shared" si="8"/>
        <v>0</v>
      </c>
      <c r="F73" s="4">
        <f t="shared" si="8"/>
        <v>0</v>
      </c>
      <c r="G73" s="4">
        <f t="shared" si="8"/>
        <v>0</v>
      </c>
      <c r="H73" s="4">
        <f t="shared" si="8"/>
        <v>0</v>
      </c>
      <c r="I73" s="4">
        <f t="shared" si="8"/>
        <v>0</v>
      </c>
      <c r="J73" s="4">
        <f t="shared" si="8"/>
        <v>0</v>
      </c>
      <c r="K73" s="4">
        <f t="shared" si="8"/>
        <v>0</v>
      </c>
      <c r="L73" s="4">
        <f t="shared" si="8"/>
        <v>0</v>
      </c>
      <c r="M73" s="4">
        <f t="shared" si="8"/>
        <v>0</v>
      </c>
      <c r="N73" s="4">
        <f t="shared" si="8"/>
        <v>0</v>
      </c>
      <c r="O73" s="4">
        <f t="shared" si="8"/>
        <v>0</v>
      </c>
      <c r="P73" s="18"/>
      <c r="Q73" s="4">
        <f>IFERROR(Q72/Q10, 0)</f>
        <v>0</v>
      </c>
    </row>
    <row r="74" spans="1:17" x14ac:dyDescent="0.25">
      <c r="A74" s="5"/>
      <c r="B74" s="5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x14ac:dyDescent="0.25">
      <c r="A75" s="5"/>
      <c r="B75" s="5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4" customFormat="1" ht="15.75" thickBot="1" x14ac:dyDescent="0.3">
      <c r="A76" s="8"/>
      <c r="B76" s="17" t="s">
        <v>5</v>
      </c>
      <c r="C76" s="17"/>
      <c r="D76" s="7">
        <f t="shared" ref="D76:O76" si="9">IFERROR(SUM(D72:D75), 0)</f>
        <v>-39398.04</v>
      </c>
      <c r="E76" s="7">
        <f t="shared" si="9"/>
        <v>-34593.850000000006</v>
      </c>
      <c r="F76" s="7">
        <f t="shared" si="9"/>
        <v>-36054.400000000009</v>
      </c>
      <c r="G76" s="7">
        <f t="shared" si="9"/>
        <v>-46110.250000000007</v>
      </c>
      <c r="H76" s="7">
        <f t="shared" si="9"/>
        <v>-34508.806115384665</v>
      </c>
      <c r="I76" s="7">
        <f t="shared" si="9"/>
        <v>-38893.422615384661</v>
      </c>
      <c r="J76" s="7">
        <f t="shared" si="9"/>
        <v>-40728.412059230788</v>
      </c>
      <c r="K76" s="7">
        <f t="shared" si="9"/>
        <v>-45824.498155384659</v>
      </c>
      <c r="L76" s="7">
        <f t="shared" si="9"/>
        <v>-49624.498155384659</v>
      </c>
      <c r="M76" s="7">
        <f t="shared" si="9"/>
        <v>-40728.412059230788</v>
      </c>
      <c r="N76" s="7">
        <f t="shared" si="9"/>
        <v>-34453.883975384662</v>
      </c>
      <c r="O76" s="7">
        <f t="shared" si="9"/>
        <v>-34312.655615384661</v>
      </c>
      <c r="Q76" s="7">
        <f>IFERROR(SUM(Q72:Q75), 0)</f>
        <v>-475231.12875076948</v>
      </c>
    </row>
    <row r="77" spans="1:17" ht="15.75" thickTop="1" x14ac:dyDescent="0.25">
      <c r="A77" s="5"/>
      <c r="C77" s="5"/>
      <c r="D77" s="4">
        <f t="shared" ref="D77:O77" si="10">IFERROR(D76/D10, 0)</f>
        <v>0</v>
      </c>
      <c r="E77" s="4">
        <f t="shared" si="10"/>
        <v>0</v>
      </c>
      <c r="F77" s="4">
        <f t="shared" si="10"/>
        <v>0</v>
      </c>
      <c r="G77" s="4">
        <f t="shared" si="10"/>
        <v>0</v>
      </c>
      <c r="H77" s="4">
        <f t="shared" si="10"/>
        <v>0</v>
      </c>
      <c r="I77" s="4">
        <f t="shared" si="10"/>
        <v>0</v>
      </c>
      <c r="J77" s="4">
        <f t="shared" si="10"/>
        <v>0</v>
      </c>
      <c r="K77" s="4">
        <f t="shared" si="10"/>
        <v>0</v>
      </c>
      <c r="L77" s="4">
        <f t="shared" si="10"/>
        <v>0</v>
      </c>
      <c r="M77" s="4">
        <f t="shared" si="10"/>
        <v>0</v>
      </c>
      <c r="N77" s="4">
        <f t="shared" si="10"/>
        <v>0</v>
      </c>
      <c r="O77" s="4">
        <f t="shared" si="10"/>
        <v>0</v>
      </c>
      <c r="P77" s="18"/>
      <c r="Q77" s="4">
        <f>IFERROR(Q76/Q10, 0)</f>
        <v>0</v>
      </c>
    </row>
    <row r="78" spans="1:17" x14ac:dyDescent="0.25">
      <c r="A78" s="5"/>
      <c r="B78" s="26">
        <v>44151.564720752314</v>
      </c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Q78" s="12"/>
    </row>
    <row r="79" spans="1:17" x14ac:dyDescent="0.25">
      <c r="A79" s="5"/>
      <c r="B79" s="30" t="s">
        <v>311</v>
      </c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Q79" s="12"/>
    </row>
    <row r="80" spans="1:17" x14ac:dyDescent="0.25">
      <c r="A80" s="5"/>
      <c r="B80" s="31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Q80" s="12"/>
    </row>
    <row r="81" spans="4:17" x14ac:dyDescent="0.25"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Q8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","203", " - ", "Human Resources")</f>
        <v>Department 203 - Human Resources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0">
        <f>SUM(OSRRefD20x_0)</f>
        <v>51043.51</v>
      </c>
      <c r="E17" s="10">
        <f>SUM(OSRRefD20x_1)</f>
        <v>41292.079999999994</v>
      </c>
      <c r="F17" s="10">
        <f>SUM(OSRRefD20x_2)</f>
        <v>42643.45</v>
      </c>
      <c r="G17" s="10">
        <f>SUM(OSRRefD20x_3)</f>
        <v>53720.339999999989</v>
      </c>
      <c r="H17" s="10">
        <f>SUM(OSRRefE20x_0)</f>
        <v>49905.525784615391</v>
      </c>
      <c r="I17" s="10">
        <f>SUM(OSRRefE20x_1)</f>
        <v>50605.525784615391</v>
      </c>
      <c r="J17" s="10">
        <f>SUM(OSRRefE20x_2)</f>
        <v>58415.15723076927</v>
      </c>
      <c r="K17" s="10">
        <f>SUM(OSRRefE20x_3)</f>
        <v>49905.525784615391</v>
      </c>
      <c r="L17" s="10">
        <f>SUM(OSRRefE20x_4)</f>
        <v>49905.525784615391</v>
      </c>
      <c r="M17" s="10">
        <f>SUM(OSRRefE20x_5)</f>
        <v>69265.15723076927</v>
      </c>
      <c r="N17" s="10">
        <f>SUM(OSRRefE20x_6)</f>
        <v>49905.525784615391</v>
      </c>
      <c r="O17" s="10">
        <f>SUM(OSRRefE20x_7)</f>
        <v>49916.525784615391</v>
      </c>
      <c r="Q17" s="10">
        <f>SUM(OSRRefG20x)</f>
        <v>616523.8491692309</v>
      </c>
    </row>
    <row r="18" spans="1:17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12511.789999999999</v>
      </c>
      <c r="E18" s="1">
        <f>SUM(OSRRefD21_0x_1)</f>
        <v>11866.3</v>
      </c>
      <c r="F18" s="1">
        <f>SUM(OSRRefD21_0x_2)</f>
        <v>12403.79</v>
      </c>
      <c r="G18" s="1">
        <f>SUM(OSRRefD21_0x_3)</f>
        <v>15219.369999999999</v>
      </c>
      <c r="H18" s="1">
        <f>SUM(OSRRefE21_0x_0)</f>
        <v>10515.895015384624</v>
      </c>
      <c r="I18" s="1">
        <f>SUM(OSRRefE21_0x_1)</f>
        <v>10515.895015384624</v>
      </c>
      <c r="J18" s="1">
        <f>SUM(OSRRefE21_0x_2)</f>
        <v>12518.618769230772</v>
      </c>
      <c r="K18" s="1">
        <f>SUM(OSRRefE21_0x_3)</f>
        <v>10515.895015384624</v>
      </c>
      <c r="L18" s="1">
        <f>SUM(OSRRefE21_0x_4)</f>
        <v>10515.895015384624</v>
      </c>
      <c r="M18" s="1">
        <f>SUM(OSRRefE21_0x_5)</f>
        <v>12518.618769230772</v>
      </c>
      <c r="N18" s="1">
        <f>SUM(OSRRefE21_0x_6)</f>
        <v>10515.895015384624</v>
      </c>
      <c r="O18" s="1">
        <f>SUM(OSRRefE21_0x_7)</f>
        <v>10515.895015384624</v>
      </c>
      <c r="Q18" s="2">
        <f>SUM(OSRRefD20_0x)+IFERROR(SUM(OSRRefE20_0x),0)</f>
        <v>140133.85763076929</v>
      </c>
    </row>
    <row r="19" spans="1:17" s="34" customFormat="1" hidden="1" outlineLevel="1" x14ac:dyDescent="0.25">
      <c r="A19" s="35"/>
      <c r="B19" s="13" t="str">
        <f>CONCATENATE("          ","6111", " - ","F.I.C.A.")</f>
        <v xml:space="preserve">          6111 - F.I.C.A.</v>
      </c>
      <c r="C19" s="15"/>
      <c r="D19" s="2">
        <v>1951.71</v>
      </c>
      <c r="E19" s="2">
        <v>1951.62</v>
      </c>
      <c r="F19" s="2">
        <v>2070.71</v>
      </c>
      <c r="G19" s="2">
        <v>3822.22</v>
      </c>
      <c r="H19" s="2">
        <v>1518.5906769230799</v>
      </c>
      <c r="I19" s="2">
        <v>1518.5906769230799</v>
      </c>
      <c r="J19" s="2">
        <v>1898.23834615385</v>
      </c>
      <c r="K19" s="2">
        <v>1518.5906769230799</v>
      </c>
      <c r="L19" s="2">
        <v>1518.5906769230799</v>
      </c>
      <c r="M19" s="2">
        <v>1898.23834615385</v>
      </c>
      <c r="N19" s="2">
        <v>1518.5906769230799</v>
      </c>
      <c r="O19" s="2">
        <v>1518.5906769230799</v>
      </c>
      <c r="P19" s="9"/>
      <c r="Q19" s="2">
        <f>SUM(OSRRefD21_0_0x)+IFERROR(SUM(OSRRefE21_0_0x),0)</f>
        <v>22704.280753846178</v>
      </c>
    </row>
    <row r="20" spans="1:17" s="34" customFormat="1" hidden="1" outlineLevel="1" x14ac:dyDescent="0.2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83.99</v>
      </c>
      <c r="E20" s="2">
        <v>84.08</v>
      </c>
      <c r="F20" s="2">
        <v>87.64</v>
      </c>
      <c r="G20" s="2">
        <v>84.73</v>
      </c>
      <c r="H20" s="2">
        <v>91.129753846153889</v>
      </c>
      <c r="I20" s="2">
        <v>91.129753846153889</v>
      </c>
      <c r="J20" s="2">
        <v>113.91219230769201</v>
      </c>
      <c r="K20" s="2">
        <v>91.129753846153889</v>
      </c>
      <c r="L20" s="2">
        <v>91.129753846153889</v>
      </c>
      <c r="M20" s="2">
        <v>113.91219230769201</v>
      </c>
      <c r="N20" s="2">
        <v>91.129753846153889</v>
      </c>
      <c r="O20" s="2">
        <v>91.129753846153889</v>
      </c>
      <c r="P20" s="9"/>
      <c r="Q20" s="2">
        <f>SUM(OSRRefD21_0_1x)+IFERROR(SUM(OSRRefE21_0_1x),0)</f>
        <v>1115.0429076923074</v>
      </c>
    </row>
    <row r="21" spans="1:17" s="34" customFormat="1" hidden="1" outlineLevel="1" x14ac:dyDescent="0.25">
      <c r="A21" s="35"/>
      <c r="B21" s="13" t="str">
        <f>CONCATENATE("          ","6113", " - ","GROUP INSURANCE")</f>
        <v xml:space="preserve">          6113 - GROUP INSURANCE</v>
      </c>
      <c r="C21" s="15"/>
      <c r="D21" s="2">
        <v>6091.67</v>
      </c>
      <c r="E21" s="2">
        <v>6091.67</v>
      </c>
      <c r="F21" s="2">
        <v>6091.67</v>
      </c>
      <c r="G21" s="2">
        <v>6091.67</v>
      </c>
      <c r="H21" s="2">
        <v>5635.3846153846198</v>
      </c>
      <c r="I21" s="2">
        <v>5635.3846153846198</v>
      </c>
      <c r="J21" s="2">
        <v>6549.2307692307704</v>
      </c>
      <c r="K21" s="2">
        <v>5635.3846153846198</v>
      </c>
      <c r="L21" s="2">
        <v>5635.3846153846198</v>
      </c>
      <c r="M21" s="2">
        <v>6549.2307692307704</v>
      </c>
      <c r="N21" s="2">
        <v>5635.3846153846198</v>
      </c>
      <c r="O21" s="2">
        <v>5635.3846153846198</v>
      </c>
      <c r="P21" s="9"/>
      <c r="Q21" s="2">
        <f>SUM(OSRRefD21_0_2x)+IFERROR(SUM(OSRRefE21_0_2x),0)</f>
        <v>71277.449230769256</v>
      </c>
    </row>
    <row r="22" spans="1:17" s="34" customFormat="1" hidden="1" outlineLevel="1" x14ac:dyDescent="0.2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66.17</v>
      </c>
      <c r="E22" s="2">
        <v>66.25</v>
      </c>
      <c r="F22" s="2">
        <v>69.05</v>
      </c>
      <c r="G22" s="2">
        <v>66.760000000000005</v>
      </c>
      <c r="H22" s="2">
        <v>71.799199999999999</v>
      </c>
      <c r="I22" s="2">
        <v>71.799199999999999</v>
      </c>
      <c r="J22" s="2">
        <v>89.748999999999995</v>
      </c>
      <c r="K22" s="2">
        <v>71.799199999999999</v>
      </c>
      <c r="L22" s="2">
        <v>71.799199999999999</v>
      </c>
      <c r="M22" s="2">
        <v>89.748999999999995</v>
      </c>
      <c r="N22" s="2">
        <v>71.799199999999999</v>
      </c>
      <c r="O22" s="2">
        <v>71.799199999999999</v>
      </c>
      <c r="P22" s="9"/>
      <c r="Q22" s="2">
        <f>SUM(OSRRefD21_0_3x)+IFERROR(SUM(OSRRefE21_0_3x),0)</f>
        <v>878.52320000000009</v>
      </c>
    </row>
    <row r="23" spans="1:17" s="34" customFormat="1" hidden="1" outlineLevel="1" x14ac:dyDescent="0.25">
      <c r="A23" s="35"/>
      <c r="B23" s="13" t="str">
        <f>CONCATENATE("          ","6115", " - ","P.E.R.S.")</f>
        <v xml:space="preserve">          6115 - P.E.R.S.</v>
      </c>
      <c r="C23" s="15"/>
      <c r="D23" s="2">
        <v>1637.22</v>
      </c>
      <c r="E23" s="2">
        <v>1091.48</v>
      </c>
      <c r="F23" s="2">
        <v>1091.48</v>
      </c>
      <c r="G23" s="2">
        <v>1091.48</v>
      </c>
      <c r="H23" s="2">
        <v>853.38461538461502</v>
      </c>
      <c r="I23" s="2">
        <v>853.38461538461502</v>
      </c>
      <c r="J23" s="2">
        <v>1066.73076923077</v>
      </c>
      <c r="K23" s="2">
        <v>853.38461538461502</v>
      </c>
      <c r="L23" s="2">
        <v>853.38461538461502</v>
      </c>
      <c r="M23" s="2">
        <v>1066.73076923077</v>
      </c>
      <c r="N23" s="2">
        <v>853.38461538461502</v>
      </c>
      <c r="O23" s="2">
        <v>853.38461538461502</v>
      </c>
      <c r="P23" s="9"/>
      <c r="Q23" s="2">
        <f>SUM(OSRRefD21_0_4x)+IFERROR(SUM(OSRRefE21_0_4x),0)</f>
        <v>12165.42923076923</v>
      </c>
    </row>
    <row r="24" spans="1:17" s="34" customFormat="1" hidden="1" outlineLevel="1" x14ac:dyDescent="0.25">
      <c r="A24" s="35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3" t="str">
        <f>CONCATENATE("          ","6117", " - ","RETIREMENT STAFF HOURLY")</f>
        <v xml:space="preserve">          6117 - RETIREMENT STAFF HOURLY</v>
      </c>
      <c r="C25" s="15"/>
      <c r="D25" s="2">
        <v>829.22</v>
      </c>
      <c r="E25" s="2">
        <v>607.24</v>
      </c>
      <c r="F25" s="2">
        <v>640.66999999999996</v>
      </c>
      <c r="G25" s="2">
        <v>592.51</v>
      </c>
      <c r="H25" s="2"/>
      <c r="I25" s="2"/>
      <c r="J25" s="2"/>
      <c r="K25" s="2"/>
      <c r="L25" s="2"/>
      <c r="M25" s="2"/>
      <c r="N25" s="2"/>
      <c r="O25" s="2"/>
      <c r="P25" s="9"/>
      <c r="Q25" s="2">
        <f>SUM(OSRRefD21_0_6x)+IFERROR(SUM(OSRRefE21_0_6x),0)</f>
        <v>2669.6400000000003</v>
      </c>
    </row>
    <row r="26" spans="1:17" s="34" customFormat="1" hidden="1" outlineLevel="1" x14ac:dyDescent="0.25">
      <c r="A26" s="35"/>
      <c r="B26" s="13" t="str">
        <f>CONCATENATE("          ","6118", " - ","VACATION")</f>
        <v xml:space="preserve">          6118 - VACATION</v>
      </c>
      <c r="C26" s="15"/>
      <c r="D26" s="2">
        <v>935.69</v>
      </c>
      <c r="E26" s="2">
        <v>1011.14</v>
      </c>
      <c r="F26" s="2">
        <v>1392.7</v>
      </c>
      <c r="G26" s="2">
        <v>2089.0500000000002</v>
      </c>
      <c r="H26" s="2">
        <v>992.15384615384596</v>
      </c>
      <c r="I26" s="2">
        <v>992.15384615384596</v>
      </c>
      <c r="J26" s="2">
        <v>1240.1923076923101</v>
      </c>
      <c r="K26" s="2">
        <v>992.15384615384596</v>
      </c>
      <c r="L26" s="2">
        <v>992.15384615384596</v>
      </c>
      <c r="M26" s="2">
        <v>1240.1923076923101</v>
      </c>
      <c r="N26" s="2">
        <v>992.15384615384596</v>
      </c>
      <c r="O26" s="2">
        <v>992.15384615384596</v>
      </c>
      <c r="P26" s="9"/>
      <c r="Q26" s="2">
        <f>SUM(OSRRefD21_0_7x)+IFERROR(SUM(OSRRefE21_0_7x),0)</f>
        <v>13861.887692307695</v>
      </c>
    </row>
    <row r="27" spans="1:17" s="34" customFormat="1" hidden="1" outlineLevel="1" x14ac:dyDescent="0.25">
      <c r="A27" s="35"/>
      <c r="B27" s="13" t="str">
        <f>CONCATENATE("          ","6119", " - ","SICK LEAVE")</f>
        <v xml:space="preserve">          6119 - SICK LEAVE</v>
      </c>
      <c r="C27" s="15"/>
      <c r="D27" s="2">
        <v>908.12</v>
      </c>
      <c r="E27" s="2">
        <v>908.12</v>
      </c>
      <c r="F27" s="2">
        <v>908.12</v>
      </c>
      <c r="G27" s="2">
        <v>1362.18</v>
      </c>
      <c r="H27" s="2">
        <v>828.45230769230795</v>
      </c>
      <c r="I27" s="2">
        <v>828.45230769230795</v>
      </c>
      <c r="J27" s="2">
        <v>1035.56538461538</v>
      </c>
      <c r="K27" s="2">
        <v>828.45230769230795</v>
      </c>
      <c r="L27" s="2">
        <v>828.45230769230795</v>
      </c>
      <c r="M27" s="2">
        <v>1035.56538461538</v>
      </c>
      <c r="N27" s="2">
        <v>828.45230769230795</v>
      </c>
      <c r="O27" s="2">
        <v>828.45230769230795</v>
      </c>
      <c r="P27" s="9"/>
      <c r="Q27" s="2">
        <f>SUM(OSRRefD21_0_8x)+IFERROR(SUM(OSRRefE21_0_8x),0)</f>
        <v>11128.384615384606</v>
      </c>
    </row>
    <row r="28" spans="1:17" s="34" customFormat="1" hidden="1" outlineLevel="1" x14ac:dyDescent="0.25">
      <c r="A28" s="35"/>
      <c r="B28" s="13" t="str">
        <f>CONCATENATE("          ","6156", " - ","EMPLOYEE MEALS")</f>
        <v xml:space="preserve">          6156 - EMPLOYEE MEALS</v>
      </c>
      <c r="C28" s="15"/>
      <c r="D28" s="2">
        <v>8</v>
      </c>
      <c r="E28" s="2">
        <v>54.7</v>
      </c>
      <c r="F28" s="2">
        <v>51.75</v>
      </c>
      <c r="G28" s="2">
        <v>18.77</v>
      </c>
      <c r="H28" s="2">
        <v>525</v>
      </c>
      <c r="I28" s="2">
        <v>525</v>
      </c>
      <c r="J28" s="2">
        <v>525</v>
      </c>
      <c r="K28" s="2">
        <v>525</v>
      </c>
      <c r="L28" s="2">
        <v>525</v>
      </c>
      <c r="M28" s="2">
        <v>525</v>
      </c>
      <c r="N28" s="2">
        <v>525</v>
      </c>
      <c r="O28" s="2">
        <v>525</v>
      </c>
      <c r="P28" s="9"/>
      <c r="Q28" s="2">
        <f>SUM(OSRRefD21_0_9x)+IFERROR(SUM(OSRRefE21_0_9x),0)</f>
        <v>4333.22</v>
      </c>
    </row>
    <row r="29" spans="1:17" s="34" customFormat="1" collapsed="1" x14ac:dyDescent="0.25">
      <c r="A29" s="35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31451</v>
      </c>
      <c r="E29" s="1">
        <f>SUM(OSRRefD21_1x_1)</f>
        <v>25084.33</v>
      </c>
      <c r="F29" s="1">
        <f>SUM(OSRRefD21_1x_2)</f>
        <v>24815.739999999998</v>
      </c>
      <c r="G29" s="1">
        <f>SUM(OSRRefD21_1x_3)</f>
        <v>31051.64</v>
      </c>
      <c r="H29" s="1">
        <f>SUM(OSRRefE21_1x_0)</f>
        <v>26027.630769230767</v>
      </c>
      <c r="I29" s="1">
        <f>SUM(OSRRefE21_1x_1)</f>
        <v>26027.630769230767</v>
      </c>
      <c r="J29" s="1">
        <f>SUM(OSRRefE21_1x_2)</f>
        <v>32534.538461538501</v>
      </c>
      <c r="K29" s="1">
        <f>SUM(OSRRefE21_1x_3)</f>
        <v>26027.630769230767</v>
      </c>
      <c r="L29" s="1">
        <f>SUM(OSRRefE21_1x_4)</f>
        <v>26027.630769230767</v>
      </c>
      <c r="M29" s="1">
        <f>SUM(OSRRefE21_1x_5)</f>
        <v>32534.538461538501</v>
      </c>
      <c r="N29" s="1">
        <f>SUM(OSRRefE21_1x_6)</f>
        <v>26027.630769230767</v>
      </c>
      <c r="O29" s="1">
        <f>SUM(OSRRefE21_1x_7)</f>
        <v>26027.630769230767</v>
      </c>
      <c r="Q29" s="2">
        <f>SUM(OSRRefD20_1x)+IFERROR(SUM(OSRRefE20_1x),0)</f>
        <v>333637.57153846161</v>
      </c>
    </row>
    <row r="30" spans="1:17" s="34" customFormat="1" hidden="1" outlineLevel="1" x14ac:dyDescent="0.25">
      <c r="A30" s="35"/>
      <c r="B30" s="13" t="str">
        <f>CONCATENATE("          ","6001", " - ","ADMINISTRATIVE SALARIES")</f>
        <v xml:space="preserve">          6001 - ADMINISTRATIVE SALARIES</v>
      </c>
      <c r="C30" s="15"/>
      <c r="D30" s="2">
        <v>11873.95</v>
      </c>
      <c r="E30" s="2">
        <v>9399.9500000000007</v>
      </c>
      <c r="F30" s="2">
        <v>8410.48</v>
      </c>
      <c r="G30" s="2">
        <v>11378.56</v>
      </c>
      <c r="H30" s="2">
        <v>9129.2307692307695</v>
      </c>
      <c r="I30" s="2">
        <v>9129.2307692307695</v>
      </c>
      <c r="J30" s="2">
        <v>11411.538461538501</v>
      </c>
      <c r="K30" s="2">
        <v>9129.2307692307695</v>
      </c>
      <c r="L30" s="2">
        <v>9129.2307692307695</v>
      </c>
      <c r="M30" s="2">
        <v>11411.538461538501</v>
      </c>
      <c r="N30" s="2">
        <v>9129.2307692307695</v>
      </c>
      <c r="O30" s="2">
        <v>9129.2307692307695</v>
      </c>
      <c r="P30" s="9"/>
      <c r="Q30" s="2">
        <f>SUM(OSRRefD21_1_0x)+IFERROR(SUM(OSRRefE21_1_0x),0)</f>
        <v>118661.40153846161</v>
      </c>
    </row>
    <row r="31" spans="1:17" s="34" customFormat="1" hidden="1" outlineLevel="1" x14ac:dyDescent="0.25">
      <c r="A31" s="35"/>
      <c r="B31" s="13" t="str">
        <f>CONCATENATE("          ","6002", " - ","STAFF SALARIES")</f>
        <v xml:space="preserve">          6002 - STAFF SALARIES</v>
      </c>
      <c r="C31" s="15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0</v>
      </c>
    </row>
    <row r="32" spans="1:17" s="34" customFormat="1" hidden="1" outlineLevel="1" x14ac:dyDescent="0.25">
      <c r="A32" s="35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25">
      <c r="A33" s="35"/>
      <c r="B33" s="13" t="str">
        <f>CONCATENATE("          ","6004", " - ","STAFF HOURLY")</f>
        <v xml:space="preserve">          6004 - STAFF HOURLY</v>
      </c>
      <c r="C33" s="15"/>
      <c r="D33" s="2">
        <v>9753.7099999999991</v>
      </c>
      <c r="E33" s="2">
        <v>9487.64</v>
      </c>
      <c r="F33" s="2">
        <v>11094.14</v>
      </c>
      <c r="G33" s="2">
        <v>14614.27</v>
      </c>
      <c r="H33" s="2">
        <v>9126.4</v>
      </c>
      <c r="I33" s="2">
        <v>9126.4</v>
      </c>
      <c r="J33" s="2">
        <v>11408</v>
      </c>
      <c r="K33" s="2">
        <v>9126.4</v>
      </c>
      <c r="L33" s="2">
        <v>9126.4</v>
      </c>
      <c r="M33" s="2">
        <v>11408</v>
      </c>
      <c r="N33" s="2">
        <v>9126.4</v>
      </c>
      <c r="O33" s="2">
        <v>9126.4</v>
      </c>
      <c r="P33" s="9"/>
      <c r="Q33" s="2">
        <f>SUM(OSRRefD21_1_3x)+IFERROR(SUM(OSRRefE21_1_3x),0)</f>
        <v>122524.15999999999</v>
      </c>
    </row>
    <row r="34" spans="1:17" s="34" customFormat="1" hidden="1" outlineLevel="1" x14ac:dyDescent="0.25">
      <c r="A34" s="35"/>
      <c r="B34" s="13" t="str">
        <f>CONCATENATE("          ","6005", " - ","TEMPORARY WAGES-HOURLY")</f>
        <v xml:space="preserve">          6005 - TEMPORARY WAGES-HOURLY</v>
      </c>
      <c r="C34" s="15"/>
      <c r="D34" s="2">
        <v>5883.34</v>
      </c>
      <c r="E34" s="2">
        <v>5756.74</v>
      </c>
      <c r="F34" s="2">
        <v>5985.12</v>
      </c>
      <c r="G34" s="2">
        <v>8764.81</v>
      </c>
      <c r="H34" s="2">
        <v>7772</v>
      </c>
      <c r="I34" s="2">
        <v>7772</v>
      </c>
      <c r="J34" s="2">
        <v>9715</v>
      </c>
      <c r="K34" s="2">
        <v>7772</v>
      </c>
      <c r="L34" s="2">
        <v>7772</v>
      </c>
      <c r="M34" s="2">
        <v>9715</v>
      </c>
      <c r="N34" s="2">
        <v>7772</v>
      </c>
      <c r="O34" s="2">
        <v>7772</v>
      </c>
      <c r="P34" s="9"/>
      <c r="Q34" s="2">
        <f>SUM(OSRRefD21_1_4x)+IFERROR(SUM(OSRRefE21_1_4x),0)</f>
        <v>92452.010000000009</v>
      </c>
    </row>
    <row r="35" spans="1:17" s="34" customFormat="1" hidden="1" outlineLevel="1" x14ac:dyDescent="0.25">
      <c r="A35" s="35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4" customFormat="1" hidden="1" outlineLevel="1" x14ac:dyDescent="0.25">
      <c r="A36" s="35"/>
      <c r="B36" s="13" t="str">
        <f>CONCATENATE("          ","6007", " - ","STUDENT HOURLY")</f>
        <v xml:space="preserve">          6007 - STUDENT HOURLY</v>
      </c>
      <c r="C36" s="15"/>
      <c r="D36" s="2">
        <v>3940</v>
      </c>
      <c r="E36" s="2">
        <v>440</v>
      </c>
      <c r="F36" s="2">
        <v>-674</v>
      </c>
      <c r="G36" s="2">
        <v>-3706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4" customFormat="1" hidden="1" outlineLevel="1" x14ac:dyDescent="0.25">
      <c r="A37" s="35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4" customFormat="1" hidden="1" outlineLevel="1" x14ac:dyDescent="0.25">
      <c r="A38" s="35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25">
      <c r="A39" s="35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25">
      <c r="A40" s="35"/>
      <c r="B40" s="15" t="str">
        <f>CONCATENATE("     ","Advertising/Promo                                 ")</f>
        <v xml:space="preserve">     Advertising/Promo                                 </v>
      </c>
      <c r="C40" s="15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SUM(OSRRefE21_2x_0)</f>
        <v>250</v>
      </c>
      <c r="I40" s="1">
        <f>SUM(OSRRefE21_2x_1)</f>
        <v>250</v>
      </c>
      <c r="J40" s="1">
        <f>SUM(OSRRefE21_2x_2)</f>
        <v>250</v>
      </c>
      <c r="K40" s="1">
        <f>SUM(OSRRefE21_2x_3)</f>
        <v>250</v>
      </c>
      <c r="L40" s="1">
        <f>SUM(OSRRefE21_2x_4)</f>
        <v>250</v>
      </c>
      <c r="M40" s="1">
        <f>SUM(OSRRefE21_2x_5)</f>
        <v>250</v>
      </c>
      <c r="N40" s="1">
        <f>SUM(OSRRefE21_2x_6)</f>
        <v>250</v>
      </c>
      <c r="O40" s="1">
        <f>SUM(OSRRefE21_2x_7)</f>
        <v>250</v>
      </c>
      <c r="Q40" s="2">
        <f>SUM(OSRRefD20_2x)+IFERROR(SUM(OSRRefE20_2x),0)</f>
        <v>2000</v>
      </c>
    </row>
    <row r="41" spans="1:17" s="34" customFormat="1" hidden="1" outlineLevel="1" x14ac:dyDescent="0.25">
      <c r="A41" s="35"/>
      <c r="B41" s="13" t="str">
        <f>CONCATENATE("          ","6362", " - ","ADVERTISING EXPENSE")</f>
        <v xml:space="preserve">          6362 - ADVERTISING EXPENSE</v>
      </c>
      <c r="C41" s="15"/>
      <c r="D41" s="2"/>
      <c r="E41" s="2"/>
      <c r="F41" s="2"/>
      <c r="G41" s="2"/>
      <c r="H41" s="2">
        <v>250</v>
      </c>
      <c r="I41" s="2">
        <v>250</v>
      </c>
      <c r="J41" s="2">
        <v>250</v>
      </c>
      <c r="K41" s="2">
        <v>250</v>
      </c>
      <c r="L41" s="2">
        <v>250</v>
      </c>
      <c r="M41" s="2">
        <v>250</v>
      </c>
      <c r="N41" s="2">
        <v>250</v>
      </c>
      <c r="O41" s="2">
        <v>250</v>
      </c>
      <c r="P41" s="9"/>
      <c r="Q41" s="2">
        <f>SUM(OSRRefD21_2_0x)+IFERROR(SUM(OSRRefE21_2_0x),0)</f>
        <v>2000</v>
      </c>
    </row>
    <row r="42" spans="1:17" s="34" customFormat="1" collapsed="1" x14ac:dyDescent="0.25">
      <c r="A42" s="35"/>
      <c r="B42" s="15" t="str">
        <f>CONCATENATE("     ","Employees' Appreciation                           ")</f>
        <v xml:space="preserve">     Employees' Appreciation                           </v>
      </c>
      <c r="C42" s="15"/>
      <c r="D42" s="1">
        <f>SUM(OSRRefD21_3x_0)</f>
        <v>0</v>
      </c>
      <c r="E42" s="1">
        <f>SUM(OSRRefD21_3x_1)</f>
        <v>81.56</v>
      </c>
      <c r="F42" s="1">
        <f>SUM(OSRRefD21_3x_2)</f>
        <v>0</v>
      </c>
      <c r="G42" s="1">
        <f>SUM(OSRRefD21_3x_3)</f>
        <v>0</v>
      </c>
      <c r="H42" s="1">
        <f>SUM(OSRRefE21_3x_0)</f>
        <v>0</v>
      </c>
      <c r="I42" s="1">
        <f>SUM(OSRRefE21_3x_1)</f>
        <v>700</v>
      </c>
      <c r="J42" s="1">
        <f>SUM(OSRRefE21_3x_2)</f>
        <v>0</v>
      </c>
      <c r="K42" s="1">
        <f>SUM(OSRRefE21_3x_3)</f>
        <v>0</v>
      </c>
      <c r="L42" s="1">
        <f>SUM(OSRRefE21_3x_4)</f>
        <v>0</v>
      </c>
      <c r="M42" s="1">
        <f>SUM(OSRRefE21_3x_5)</f>
        <v>10850</v>
      </c>
      <c r="N42" s="1">
        <f>SUM(OSRRefE21_3x_6)</f>
        <v>0</v>
      </c>
      <c r="O42" s="1">
        <f>SUM(OSRRefE21_3x_7)</f>
        <v>0</v>
      </c>
      <c r="Q42" s="2">
        <f>SUM(OSRRefD20_3x)+IFERROR(SUM(OSRRefE20_3x),0)</f>
        <v>11631.56</v>
      </c>
    </row>
    <row r="43" spans="1:17" s="34" customFormat="1" hidden="1" outlineLevel="1" x14ac:dyDescent="0.25">
      <c r="A43" s="35"/>
      <c r="B43" s="13" t="str">
        <f>CONCATENATE("          ","6277", " - ","EMPLOYEE APPRECIATION")</f>
        <v xml:space="preserve">          6277 - EMPLOYEE APPRECIATION</v>
      </c>
      <c r="C43" s="15"/>
      <c r="D43" s="2"/>
      <c r="E43" s="2">
        <v>81.56</v>
      </c>
      <c r="F43" s="2"/>
      <c r="G43" s="2"/>
      <c r="H43" s="2">
        <v>0</v>
      </c>
      <c r="I43" s="2">
        <v>700</v>
      </c>
      <c r="J43" s="2">
        <v>0</v>
      </c>
      <c r="K43" s="2">
        <v>0</v>
      </c>
      <c r="L43" s="2">
        <v>0</v>
      </c>
      <c r="M43" s="2">
        <v>10850</v>
      </c>
      <c r="N43" s="2">
        <v>0</v>
      </c>
      <c r="O43" s="2">
        <v>0</v>
      </c>
      <c r="P43" s="9"/>
      <c r="Q43" s="2">
        <f>SUM(OSRRefD21_3_0x)+IFERROR(SUM(OSRRefE21_3_0x),0)</f>
        <v>11631.56</v>
      </c>
    </row>
    <row r="44" spans="1:17" s="34" customFormat="1" collapsed="1" x14ac:dyDescent="0.25">
      <c r="A44" s="35"/>
      <c r="B44" s="15" t="str">
        <f>CONCATENATE("     ","Equipment Rental                                  ")</f>
        <v xml:space="preserve">     Equipment Rental                                  </v>
      </c>
      <c r="C44" s="15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SUM(OSRRefD21_4x_3)</f>
        <v>0</v>
      </c>
      <c r="H44" s="1">
        <f>SUM(OSRRefE21_4x_0)</f>
        <v>82</v>
      </c>
      <c r="I44" s="1">
        <f>SUM(OSRRefE21_4x_1)</f>
        <v>82</v>
      </c>
      <c r="J44" s="1">
        <f>SUM(OSRRefE21_4x_2)</f>
        <v>82</v>
      </c>
      <c r="K44" s="1">
        <f>SUM(OSRRefE21_4x_3)</f>
        <v>82</v>
      </c>
      <c r="L44" s="1">
        <f>SUM(OSRRefE21_4x_4)</f>
        <v>82</v>
      </c>
      <c r="M44" s="1">
        <f>SUM(OSRRefE21_4x_5)</f>
        <v>82</v>
      </c>
      <c r="N44" s="1">
        <f>SUM(OSRRefE21_4x_6)</f>
        <v>82</v>
      </c>
      <c r="O44" s="1">
        <f>SUM(OSRRefE21_4x_7)</f>
        <v>88</v>
      </c>
      <c r="Q44" s="2">
        <f>SUM(OSRRefD20_4x)+IFERROR(SUM(OSRRefE20_4x),0)</f>
        <v>662</v>
      </c>
    </row>
    <row r="45" spans="1:17" s="34" customFormat="1" hidden="1" outlineLevel="1" x14ac:dyDescent="0.25">
      <c r="A45" s="35"/>
      <c r="B45" s="13" t="str">
        <f>CONCATENATE("          ","6351", " - ","EQUIPMENT RENTAL")</f>
        <v xml:space="preserve">          6351 - EQUIPMENT RENTAL</v>
      </c>
      <c r="C45" s="15"/>
      <c r="D45" s="2"/>
      <c r="E45" s="2"/>
      <c r="F45" s="2"/>
      <c r="G45" s="2"/>
      <c r="H45" s="2">
        <v>82</v>
      </c>
      <c r="I45" s="2">
        <v>82</v>
      </c>
      <c r="J45" s="2">
        <v>82</v>
      </c>
      <c r="K45" s="2">
        <v>82</v>
      </c>
      <c r="L45" s="2">
        <v>82</v>
      </c>
      <c r="M45" s="2">
        <v>82</v>
      </c>
      <c r="N45" s="2">
        <v>82</v>
      </c>
      <c r="O45" s="2">
        <v>88</v>
      </c>
      <c r="P45" s="9"/>
      <c r="Q45" s="2">
        <f>SUM(OSRRefD21_4_0x)+IFERROR(SUM(OSRRefE21_4_0x),0)</f>
        <v>662</v>
      </c>
    </row>
    <row r="46" spans="1:17" s="34" customFormat="1" collapsed="1" x14ac:dyDescent="0.25">
      <c r="A46" s="35"/>
      <c r="B46" s="15" t="str">
        <f>CONCATENATE("     ","Freight out/Postage                               ")</f>
        <v xml:space="preserve">     Freight out/Postage                               </v>
      </c>
      <c r="C46" s="15"/>
      <c r="D46" s="1">
        <f>SUM(OSRRefD21_5x_0)</f>
        <v>3.5</v>
      </c>
      <c r="E46" s="1">
        <f>SUM(OSRRefD21_5x_1)</f>
        <v>36.15</v>
      </c>
      <c r="F46" s="1">
        <f>SUM(OSRRefD21_5x_2)</f>
        <v>12.15</v>
      </c>
      <c r="G46" s="1">
        <f>SUM(OSRRefD21_5x_3)</f>
        <v>21.75</v>
      </c>
      <c r="H46" s="1">
        <f>SUM(OSRRefE21_5x_0)</f>
        <v>83</v>
      </c>
      <c r="I46" s="1">
        <f>SUM(OSRRefE21_5x_1)</f>
        <v>83</v>
      </c>
      <c r="J46" s="1">
        <f>SUM(OSRRefE21_5x_2)</f>
        <v>83</v>
      </c>
      <c r="K46" s="1">
        <f>SUM(OSRRefE21_5x_3)</f>
        <v>83</v>
      </c>
      <c r="L46" s="1">
        <f>SUM(OSRRefE21_5x_4)</f>
        <v>83</v>
      </c>
      <c r="M46" s="1">
        <f>SUM(OSRRefE21_5x_5)</f>
        <v>83</v>
      </c>
      <c r="N46" s="1">
        <f>SUM(OSRRefE21_5x_6)</f>
        <v>83</v>
      </c>
      <c r="O46" s="1">
        <f>SUM(OSRRefE21_5x_7)</f>
        <v>87</v>
      </c>
      <c r="Q46" s="2">
        <f>SUM(OSRRefD20_5x)+IFERROR(SUM(OSRRefE20_5x),0)</f>
        <v>741.55</v>
      </c>
    </row>
    <row r="47" spans="1:17" s="34" customFormat="1" hidden="1" outlineLevel="1" x14ac:dyDescent="0.25">
      <c r="A47" s="35"/>
      <c r="B47" s="13" t="str">
        <f>CONCATENATE("          ","6307", " - ","POSTAGE")</f>
        <v xml:space="preserve">          6307 - POSTAGE</v>
      </c>
      <c r="C47" s="15"/>
      <c r="D47" s="2">
        <v>3.5</v>
      </c>
      <c r="E47" s="2">
        <v>36.15</v>
      </c>
      <c r="F47" s="2">
        <v>12.15</v>
      </c>
      <c r="G47" s="2">
        <v>21.75</v>
      </c>
      <c r="H47" s="2">
        <v>83</v>
      </c>
      <c r="I47" s="2">
        <v>83</v>
      </c>
      <c r="J47" s="2">
        <v>83</v>
      </c>
      <c r="K47" s="2">
        <v>83</v>
      </c>
      <c r="L47" s="2">
        <v>83</v>
      </c>
      <c r="M47" s="2">
        <v>83</v>
      </c>
      <c r="N47" s="2">
        <v>83</v>
      </c>
      <c r="O47" s="2">
        <v>87</v>
      </c>
      <c r="P47" s="9"/>
      <c r="Q47" s="2">
        <f>SUM(OSRRefD21_5_0x)+IFERROR(SUM(OSRRefE21_5_0x),0)</f>
        <v>741.55</v>
      </c>
    </row>
    <row r="48" spans="1:17" s="34" customFormat="1" collapsed="1" x14ac:dyDescent="0.25">
      <c r="A48" s="35"/>
      <c r="B48" s="15" t="str">
        <f>CONCATENATE("     ","General                                           ")</f>
        <v xml:space="preserve">     General                                           </v>
      </c>
      <c r="C48" s="15"/>
      <c r="D48" s="1">
        <f>SUM(OSRRefD21_6x_0)</f>
        <v>0</v>
      </c>
      <c r="E48" s="1">
        <f>SUM(OSRRefD21_6x_1)</f>
        <v>-684</v>
      </c>
      <c r="F48" s="1">
        <f>SUM(OSRRefD21_6x_2)</f>
        <v>850.54</v>
      </c>
      <c r="G48" s="1">
        <f>SUM(OSRRefD21_6x_3)</f>
        <v>0</v>
      </c>
      <c r="H48" s="1">
        <f>SUM(OSRRefE21_6x_0)</f>
        <v>333</v>
      </c>
      <c r="I48" s="1">
        <f>SUM(OSRRefE21_6x_1)</f>
        <v>333</v>
      </c>
      <c r="J48" s="1">
        <f>SUM(OSRRefE21_6x_2)</f>
        <v>333</v>
      </c>
      <c r="K48" s="1">
        <f>SUM(OSRRefE21_6x_3)</f>
        <v>333</v>
      </c>
      <c r="L48" s="1">
        <f>SUM(OSRRefE21_6x_4)</f>
        <v>333</v>
      </c>
      <c r="M48" s="1">
        <f>SUM(OSRRefE21_6x_5)</f>
        <v>333</v>
      </c>
      <c r="N48" s="1">
        <f>SUM(OSRRefE21_6x_6)</f>
        <v>333</v>
      </c>
      <c r="O48" s="1">
        <f>SUM(OSRRefE21_6x_7)</f>
        <v>337</v>
      </c>
      <c r="Q48" s="2">
        <f>SUM(OSRRefD20_6x)+IFERROR(SUM(OSRRefE20_6x),0)</f>
        <v>2834.54</v>
      </c>
    </row>
    <row r="49" spans="1:17" s="34" customFormat="1" hidden="1" outlineLevel="1" x14ac:dyDescent="0.25">
      <c r="A49" s="35"/>
      <c r="B49" s="13" t="str">
        <f>CONCATENATE("          ","6279", " - ","GENERAL EXPENSE")</f>
        <v xml:space="preserve">          6279 - GENERAL EXPENSE</v>
      </c>
      <c r="C49" s="15"/>
      <c r="D49" s="2"/>
      <c r="E49" s="2">
        <v>-684</v>
      </c>
      <c r="F49" s="2">
        <v>850.54</v>
      </c>
      <c r="G49" s="2"/>
      <c r="H49" s="2">
        <v>333</v>
      </c>
      <c r="I49" s="2">
        <v>333</v>
      </c>
      <c r="J49" s="2">
        <v>333</v>
      </c>
      <c r="K49" s="2">
        <v>333</v>
      </c>
      <c r="L49" s="2">
        <v>333</v>
      </c>
      <c r="M49" s="2">
        <v>333</v>
      </c>
      <c r="N49" s="2">
        <v>333</v>
      </c>
      <c r="O49" s="2">
        <v>337</v>
      </c>
      <c r="P49" s="9"/>
      <c r="Q49" s="2">
        <f>SUM(OSRRefD21_6_0x)+IFERROR(SUM(OSRRefE21_6_0x),0)</f>
        <v>2834.54</v>
      </c>
    </row>
    <row r="50" spans="1:17" s="34" customFormat="1" collapsed="1" x14ac:dyDescent="0.25">
      <c r="A50" s="35"/>
      <c r="B50" s="15" t="str">
        <f>CONCATENATE("     ","Insurance                                         ")</f>
        <v xml:space="preserve">     Insurance                                         </v>
      </c>
      <c r="C50" s="15"/>
      <c r="D50" s="1">
        <f>SUM(OSRRefD21_7x_0)</f>
        <v>65.47</v>
      </c>
      <c r="E50" s="1">
        <f>SUM(OSRRefD21_7x_1)</f>
        <v>65.47</v>
      </c>
      <c r="F50" s="1">
        <f>SUM(OSRRefD21_7x_2)</f>
        <v>65.47</v>
      </c>
      <c r="G50" s="1">
        <f>SUM(OSRRefD21_7x_3)</f>
        <v>65.47</v>
      </c>
      <c r="H50" s="1">
        <f>SUM(OSRRefE21_7x_0)</f>
        <v>73</v>
      </c>
      <c r="I50" s="1">
        <f>SUM(OSRRefE21_7x_1)</f>
        <v>73</v>
      </c>
      <c r="J50" s="1">
        <f>SUM(OSRRefE21_7x_2)</f>
        <v>73</v>
      </c>
      <c r="K50" s="1">
        <f>SUM(OSRRefE21_7x_3)</f>
        <v>73</v>
      </c>
      <c r="L50" s="1">
        <f>SUM(OSRRefE21_7x_4)</f>
        <v>73</v>
      </c>
      <c r="M50" s="1">
        <f>SUM(OSRRefE21_7x_5)</f>
        <v>73</v>
      </c>
      <c r="N50" s="1">
        <f>SUM(OSRRefE21_7x_6)</f>
        <v>73</v>
      </c>
      <c r="O50" s="1">
        <f>SUM(OSRRefE21_7x_7)</f>
        <v>73</v>
      </c>
      <c r="Q50" s="2">
        <f>SUM(OSRRefD20_7x)+IFERROR(SUM(OSRRefE20_7x),0)</f>
        <v>845.88</v>
      </c>
    </row>
    <row r="51" spans="1:17" s="34" customFormat="1" hidden="1" outlineLevel="1" x14ac:dyDescent="0.25">
      <c r="A51" s="35"/>
      <c r="B51" s="13" t="str">
        <f>CONCATENATE("          ","6314", " - ","LIABILITY INSURANCE")</f>
        <v xml:space="preserve">          6314 - LIABILITY INSURANCE</v>
      </c>
      <c r="C51" s="15"/>
      <c r="D51" s="2">
        <v>65.47</v>
      </c>
      <c r="E51" s="2">
        <v>65.47</v>
      </c>
      <c r="F51" s="2">
        <v>65.47</v>
      </c>
      <c r="G51" s="2">
        <v>65.47</v>
      </c>
      <c r="H51" s="2">
        <v>73</v>
      </c>
      <c r="I51" s="2">
        <v>73</v>
      </c>
      <c r="J51" s="2">
        <v>73</v>
      </c>
      <c r="K51" s="2">
        <v>73</v>
      </c>
      <c r="L51" s="2">
        <v>73</v>
      </c>
      <c r="M51" s="2">
        <v>73</v>
      </c>
      <c r="N51" s="2">
        <v>73</v>
      </c>
      <c r="O51" s="2">
        <v>73</v>
      </c>
      <c r="P51" s="9"/>
      <c r="Q51" s="2">
        <f>SUM(OSRRefD21_7_0x)+IFERROR(SUM(OSRRefE21_7_0x),0)</f>
        <v>845.88</v>
      </c>
    </row>
    <row r="52" spans="1:17" s="34" customFormat="1" collapsed="1" x14ac:dyDescent="0.25">
      <c r="A52" s="35"/>
      <c r="B52" s="15" t="str">
        <f>CONCATENATE("     ","Professional Services                             ")</f>
        <v xml:space="preserve">     Professional Services                             </v>
      </c>
      <c r="C52" s="15"/>
      <c r="D52" s="1">
        <f>SUM(OSRRefD21_8x_0)</f>
        <v>1655</v>
      </c>
      <c r="E52" s="1">
        <f>SUM(OSRRefD21_8x_1)</f>
        <v>347.09</v>
      </c>
      <c r="F52" s="1">
        <f>SUM(OSRRefD21_8x_2)</f>
        <v>579.16999999999996</v>
      </c>
      <c r="G52" s="1">
        <f>SUM(OSRRefD21_8x_3)</f>
        <v>2089.9499999999998</v>
      </c>
      <c r="H52" s="1">
        <f>SUM(OSRRefE21_8x_0)</f>
        <v>2083</v>
      </c>
      <c r="I52" s="1">
        <f>SUM(OSRRefE21_8x_1)</f>
        <v>2083</v>
      </c>
      <c r="J52" s="1">
        <f>SUM(OSRRefE21_8x_2)</f>
        <v>2083</v>
      </c>
      <c r="K52" s="1">
        <f>SUM(OSRRefE21_8x_3)</f>
        <v>2083</v>
      </c>
      <c r="L52" s="1">
        <f>SUM(OSRRefE21_8x_4)</f>
        <v>2083</v>
      </c>
      <c r="M52" s="1">
        <f>SUM(OSRRefE21_8x_5)</f>
        <v>2083</v>
      </c>
      <c r="N52" s="1">
        <f>SUM(OSRRefE21_8x_6)</f>
        <v>2083</v>
      </c>
      <c r="O52" s="1">
        <f>SUM(OSRRefE21_8x_7)</f>
        <v>2087</v>
      </c>
      <c r="Q52" s="2">
        <f>SUM(OSRRefD20_8x)+IFERROR(SUM(OSRRefE20_8x),0)</f>
        <v>21339.21</v>
      </c>
    </row>
    <row r="53" spans="1:17" s="34" customFormat="1" hidden="1" outlineLevel="1" x14ac:dyDescent="0.25">
      <c r="A53" s="35"/>
      <c r="B53" s="13" t="str">
        <f>CONCATENATE("          ","6332", " - ","CONSULTANT FEES")</f>
        <v xml:space="preserve">          6332 - CONSULTANT FEES</v>
      </c>
      <c r="C53" s="15"/>
      <c r="D53" s="2"/>
      <c r="E53" s="2"/>
      <c r="F53" s="2"/>
      <c r="G53" s="2"/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SUM(OSRRefD21_8_0x)+IFERROR(SUM(OSRRefE21_8_0x),0)</f>
        <v>0</v>
      </c>
    </row>
    <row r="54" spans="1:17" s="34" customFormat="1" hidden="1" outlineLevel="1" x14ac:dyDescent="0.25">
      <c r="A54" s="35"/>
      <c r="B54" s="13" t="str">
        <f>CONCATENATE("          ","6334", " - ","LEGAL COUNCIL EXPENSE")</f>
        <v xml:space="preserve">          6334 - LEGAL COUNCIL EXPENSE</v>
      </c>
      <c r="C54" s="15"/>
      <c r="D54" s="2"/>
      <c r="E54" s="2"/>
      <c r="F54" s="2"/>
      <c r="G54" s="2">
        <v>385</v>
      </c>
      <c r="H54" s="2">
        <v>833</v>
      </c>
      <c r="I54" s="2">
        <v>833</v>
      </c>
      <c r="J54" s="2">
        <v>833</v>
      </c>
      <c r="K54" s="2">
        <v>833</v>
      </c>
      <c r="L54" s="2">
        <v>833</v>
      </c>
      <c r="M54" s="2">
        <v>833</v>
      </c>
      <c r="N54" s="2">
        <v>833</v>
      </c>
      <c r="O54" s="2">
        <v>837</v>
      </c>
      <c r="P54" s="9"/>
      <c r="Q54" s="2">
        <f>SUM(OSRRefD21_8_1x)+IFERROR(SUM(OSRRefE21_8_1x),0)</f>
        <v>7053</v>
      </c>
    </row>
    <row r="55" spans="1:17" s="34" customFormat="1" hidden="1" outlineLevel="1" x14ac:dyDescent="0.25">
      <c r="A55" s="35"/>
      <c r="B55" s="13" t="str">
        <f>CONCATENATE("          ","6336", " - ","PROFESSIONAL SERVICES")</f>
        <v xml:space="preserve">          6336 - PROFESSIONAL SERVICES</v>
      </c>
      <c r="C55" s="15"/>
      <c r="D55" s="2">
        <v>1655</v>
      </c>
      <c r="E55" s="2">
        <v>347.09</v>
      </c>
      <c r="F55" s="2">
        <v>579.16999999999996</v>
      </c>
      <c r="G55" s="2">
        <v>1704.95</v>
      </c>
      <c r="H55" s="2">
        <v>1250</v>
      </c>
      <c r="I55" s="2">
        <v>1250</v>
      </c>
      <c r="J55" s="2">
        <v>1250</v>
      </c>
      <c r="K55" s="2">
        <v>1250</v>
      </c>
      <c r="L55" s="2">
        <v>1250</v>
      </c>
      <c r="M55" s="2">
        <v>1250</v>
      </c>
      <c r="N55" s="2">
        <v>1250</v>
      </c>
      <c r="O55" s="2">
        <v>1250</v>
      </c>
      <c r="P55" s="9"/>
      <c r="Q55" s="2">
        <f>SUM(OSRRefD21_8_2x)+IFERROR(SUM(OSRRefE21_8_2x),0)</f>
        <v>14286.21</v>
      </c>
    </row>
    <row r="56" spans="1:17" s="34" customFormat="1" collapsed="1" x14ac:dyDescent="0.25">
      <c r="A56" s="35"/>
      <c r="B56" s="15" t="str">
        <f>CONCATENATE("     ","Repair and Maintenance                            ")</f>
        <v xml:space="preserve">     Repair and Maintenance                            </v>
      </c>
      <c r="C56" s="15"/>
      <c r="D56" s="1">
        <f>SUM(OSRRefD21_9x_0)</f>
        <v>4472.25</v>
      </c>
      <c r="E56" s="1">
        <f>SUM(OSRRefD21_9x_1)</f>
        <v>3679.46</v>
      </c>
      <c r="F56" s="1">
        <f>SUM(OSRRefD21_9x_2)</f>
        <v>3603.2</v>
      </c>
      <c r="G56" s="1">
        <f>SUM(OSRRefD21_9x_3)</f>
        <v>4183.1499999999996</v>
      </c>
      <c r="H56" s="1">
        <f>SUM(OSRRefE21_9x_0)</f>
        <v>7083</v>
      </c>
      <c r="I56" s="1">
        <f>SUM(OSRRefE21_9x_1)</f>
        <v>7083</v>
      </c>
      <c r="J56" s="1">
        <f>SUM(OSRRefE21_9x_2)</f>
        <v>7083</v>
      </c>
      <c r="K56" s="1">
        <f>SUM(OSRRefE21_9x_3)</f>
        <v>7083</v>
      </c>
      <c r="L56" s="1">
        <f>SUM(OSRRefE21_9x_4)</f>
        <v>7083</v>
      </c>
      <c r="M56" s="1">
        <f>SUM(OSRRefE21_9x_5)</f>
        <v>7083</v>
      </c>
      <c r="N56" s="1">
        <f>SUM(OSRRefE21_9x_6)</f>
        <v>7083</v>
      </c>
      <c r="O56" s="1">
        <f>SUM(OSRRefE21_9x_7)</f>
        <v>7087</v>
      </c>
      <c r="Q56" s="2">
        <f>SUM(OSRRefD20_9x)+IFERROR(SUM(OSRRefE20_9x),0)</f>
        <v>72606.06</v>
      </c>
    </row>
    <row r="57" spans="1:17" s="34" customFormat="1" hidden="1" outlineLevel="1" x14ac:dyDescent="0.25">
      <c r="A57" s="35"/>
      <c r="B57" s="13" t="str">
        <f>CONCATENATE("          ","6371", " - ","COMPUTER SOFTWARE MAINTENANCE")</f>
        <v xml:space="preserve">          6371 - COMPUTER SOFTWARE MAINTENANCE</v>
      </c>
      <c r="C57" s="15"/>
      <c r="D57" s="2">
        <v>4472.25</v>
      </c>
      <c r="E57" s="2">
        <v>3679.46</v>
      </c>
      <c r="F57" s="2">
        <v>3603.2</v>
      </c>
      <c r="G57" s="2">
        <v>4183.1499999999996</v>
      </c>
      <c r="H57" s="2">
        <v>7083</v>
      </c>
      <c r="I57" s="2">
        <v>7083</v>
      </c>
      <c r="J57" s="2">
        <v>7083</v>
      </c>
      <c r="K57" s="2">
        <v>7083</v>
      </c>
      <c r="L57" s="2">
        <v>7083</v>
      </c>
      <c r="M57" s="2">
        <v>7083</v>
      </c>
      <c r="N57" s="2">
        <v>7083</v>
      </c>
      <c r="O57" s="2">
        <v>7087</v>
      </c>
      <c r="P57" s="9"/>
      <c r="Q57" s="2">
        <f>SUM(OSRRefD21_9_0x)+IFERROR(SUM(OSRRefE21_9_0x),0)</f>
        <v>72606.06</v>
      </c>
    </row>
    <row r="58" spans="1:17" s="34" customFormat="1" collapsed="1" x14ac:dyDescent="0.25">
      <c r="A58" s="35"/>
      <c r="B58" s="15" t="str">
        <f>CONCATENATE("     ","Subscriptions &amp; Dues                              ")</f>
        <v xml:space="preserve">     Subscriptions &amp; Dues                              </v>
      </c>
      <c r="C58" s="15"/>
      <c r="D58" s="1">
        <f>SUM(OSRRefD21_10x_0)</f>
        <v>0</v>
      </c>
      <c r="E58" s="1">
        <f>SUM(OSRRefD21_10x_1)</f>
        <v>0</v>
      </c>
      <c r="F58" s="1">
        <f>SUM(OSRRefD21_10x_2)</f>
        <v>0</v>
      </c>
      <c r="G58" s="1">
        <f>SUM(OSRRefD21_10x_3)</f>
        <v>534.99</v>
      </c>
      <c r="H58" s="1">
        <f>SUM(OSRRefE21_10x_0)</f>
        <v>55</v>
      </c>
      <c r="I58" s="1">
        <f>SUM(OSRRefE21_10x_1)</f>
        <v>55</v>
      </c>
      <c r="J58" s="1">
        <f>SUM(OSRRefE21_10x_2)</f>
        <v>55</v>
      </c>
      <c r="K58" s="1">
        <f>SUM(OSRRefE21_10x_3)</f>
        <v>55</v>
      </c>
      <c r="L58" s="1">
        <f>SUM(OSRRefE21_10x_4)</f>
        <v>55</v>
      </c>
      <c r="M58" s="1">
        <f>SUM(OSRRefE21_10x_5)</f>
        <v>55</v>
      </c>
      <c r="N58" s="1">
        <f>SUM(OSRRefE21_10x_6)</f>
        <v>55</v>
      </c>
      <c r="O58" s="1">
        <f>SUM(OSRRefE21_10x_7)</f>
        <v>52</v>
      </c>
      <c r="Q58" s="2">
        <f>SUM(OSRRefD20_10x)+IFERROR(SUM(OSRRefE20_10x),0)</f>
        <v>971.99</v>
      </c>
    </row>
    <row r="59" spans="1:17" s="34" customFormat="1" hidden="1" outlineLevel="1" x14ac:dyDescent="0.25">
      <c r="A59" s="35"/>
      <c r="B59" s="13" t="str">
        <f>CONCATENATE("          ","6258", " - ","MEMBERSHIP DUES")</f>
        <v xml:space="preserve">          6258 - MEMBERSHIP DUES</v>
      </c>
      <c r="C59" s="15"/>
      <c r="D59" s="2"/>
      <c r="E59" s="2"/>
      <c r="F59" s="2"/>
      <c r="G59" s="2">
        <v>534.99</v>
      </c>
      <c r="H59" s="2">
        <v>55</v>
      </c>
      <c r="I59" s="2">
        <v>55</v>
      </c>
      <c r="J59" s="2">
        <v>55</v>
      </c>
      <c r="K59" s="2">
        <v>55</v>
      </c>
      <c r="L59" s="2">
        <v>55</v>
      </c>
      <c r="M59" s="2">
        <v>55</v>
      </c>
      <c r="N59" s="2">
        <v>55</v>
      </c>
      <c r="O59" s="2">
        <v>52</v>
      </c>
      <c r="P59" s="9"/>
      <c r="Q59" s="2">
        <f>SUM(OSRRefD21_10_0x)+IFERROR(SUM(OSRRefE21_10_0x),0)</f>
        <v>971.99</v>
      </c>
    </row>
    <row r="60" spans="1:17" s="34" customFormat="1" collapsed="1" x14ac:dyDescent="0.25">
      <c r="A60" s="35"/>
      <c r="B60" s="15" t="str">
        <f>CONCATENATE("     ","Supplies                                          ")</f>
        <v xml:space="preserve">     Supplies                                          </v>
      </c>
      <c r="C60" s="15"/>
      <c r="D60" s="1">
        <f>SUM(OSRRefD21_11x_0)</f>
        <v>560.29999999999995</v>
      </c>
      <c r="E60" s="1">
        <f>SUM(OSRRefD21_11x_1)</f>
        <v>476.52000000000004</v>
      </c>
      <c r="F60" s="1">
        <f>SUM(OSRRefD21_11x_2)</f>
        <v>70.39</v>
      </c>
      <c r="G60" s="1">
        <f>SUM(OSRRefD21_11x_3)</f>
        <v>233.07</v>
      </c>
      <c r="H60" s="1">
        <f>SUM(OSRRefE21_11x_0)</f>
        <v>2084</v>
      </c>
      <c r="I60" s="1">
        <f>SUM(OSRRefE21_11x_1)</f>
        <v>2084</v>
      </c>
      <c r="J60" s="1">
        <f>SUM(OSRRefE21_11x_2)</f>
        <v>2084</v>
      </c>
      <c r="K60" s="1">
        <f>SUM(OSRRefE21_11x_3)</f>
        <v>2084</v>
      </c>
      <c r="L60" s="1">
        <f>SUM(OSRRefE21_11x_4)</f>
        <v>2084</v>
      </c>
      <c r="M60" s="1">
        <f>SUM(OSRRefE21_11x_5)</f>
        <v>2084</v>
      </c>
      <c r="N60" s="1">
        <f>SUM(OSRRefE21_11x_6)</f>
        <v>2084</v>
      </c>
      <c r="O60" s="1">
        <f>SUM(OSRRefE21_11x_7)</f>
        <v>2076</v>
      </c>
      <c r="Q60" s="2">
        <f>SUM(OSRRefD20_11x)+IFERROR(SUM(OSRRefE20_11x),0)</f>
        <v>18004.28</v>
      </c>
    </row>
    <row r="61" spans="1:17" s="34" customFormat="1" hidden="1" outlineLevel="1" x14ac:dyDescent="0.25">
      <c r="A61" s="35"/>
      <c r="B61" s="13" t="str">
        <f>CONCATENATE("          ","6235", " - ","COVID-19 EXPENSES")</f>
        <v xml:space="preserve">          6235 - COVID-19 EXPENSES</v>
      </c>
      <c r="C61" s="15"/>
      <c r="D61" s="2">
        <v>210.58</v>
      </c>
      <c r="E61" s="2"/>
      <c r="F61" s="2"/>
      <c r="G61" s="2"/>
      <c r="H61" s="2">
        <v>417</v>
      </c>
      <c r="I61" s="2">
        <v>417</v>
      </c>
      <c r="J61" s="2">
        <v>417</v>
      </c>
      <c r="K61" s="2">
        <v>417</v>
      </c>
      <c r="L61" s="2">
        <v>417</v>
      </c>
      <c r="M61" s="2">
        <v>417</v>
      </c>
      <c r="N61" s="2">
        <v>417</v>
      </c>
      <c r="O61" s="2">
        <v>413</v>
      </c>
      <c r="P61" s="9"/>
      <c r="Q61" s="2">
        <f>SUM(OSRRefD21_11_0x)+IFERROR(SUM(OSRRefE21_11_0x),0)</f>
        <v>3542.58</v>
      </c>
    </row>
    <row r="62" spans="1:17" s="34" customFormat="1" hidden="1" outlineLevel="1" x14ac:dyDescent="0.25">
      <c r="A62" s="35"/>
      <c r="B62" s="13" t="str">
        <f>CONCATENATE("          ","6241", " - ","OFFICE EXPENSE")</f>
        <v xml:space="preserve">          6241 - OFFICE EXPENSE</v>
      </c>
      <c r="C62" s="15"/>
      <c r="D62" s="2">
        <v>248.05</v>
      </c>
      <c r="E62" s="2">
        <v>430.48</v>
      </c>
      <c r="F62" s="2">
        <v>20.39</v>
      </c>
      <c r="G62" s="2">
        <v>208.07</v>
      </c>
      <c r="H62" s="2">
        <v>1250</v>
      </c>
      <c r="I62" s="2">
        <v>1250</v>
      </c>
      <c r="J62" s="2">
        <v>1250</v>
      </c>
      <c r="K62" s="2">
        <v>1250</v>
      </c>
      <c r="L62" s="2">
        <v>1250</v>
      </c>
      <c r="M62" s="2">
        <v>1250</v>
      </c>
      <c r="N62" s="2">
        <v>1250</v>
      </c>
      <c r="O62" s="2">
        <v>1250</v>
      </c>
      <c r="P62" s="9"/>
      <c r="Q62" s="2">
        <f>SUM(OSRRefD21_11_1x)+IFERROR(SUM(OSRRefE21_11_1x),0)</f>
        <v>10906.99</v>
      </c>
    </row>
    <row r="63" spans="1:17" s="34" customFormat="1" hidden="1" outlineLevel="1" x14ac:dyDescent="0.25">
      <c r="A63" s="35"/>
      <c r="B63" s="13" t="str">
        <f>CONCATENATE("          ","6244", " - ","SAFETY SUPPLY EXPENSE")</f>
        <v xml:space="preserve">          6244 - SAFETY SUPPLY EXPENSE</v>
      </c>
      <c r="C63" s="15"/>
      <c r="D63" s="2">
        <v>101.67</v>
      </c>
      <c r="E63" s="2">
        <v>46.04</v>
      </c>
      <c r="F63" s="2">
        <v>50</v>
      </c>
      <c r="G63" s="2">
        <v>25</v>
      </c>
      <c r="H63" s="2">
        <v>417</v>
      </c>
      <c r="I63" s="2">
        <v>417</v>
      </c>
      <c r="J63" s="2">
        <v>417</v>
      </c>
      <c r="K63" s="2">
        <v>417</v>
      </c>
      <c r="L63" s="2">
        <v>417</v>
      </c>
      <c r="M63" s="2">
        <v>417</v>
      </c>
      <c r="N63" s="2">
        <v>417</v>
      </c>
      <c r="O63" s="2">
        <v>413</v>
      </c>
      <c r="P63" s="9"/>
      <c r="Q63" s="2">
        <f>SUM(OSRRefD21_11_2x)+IFERROR(SUM(OSRRefE21_11_2x),0)</f>
        <v>3554.71</v>
      </c>
    </row>
    <row r="64" spans="1:17" s="34" customFormat="1" collapsed="1" x14ac:dyDescent="0.25">
      <c r="A64" s="35"/>
      <c r="B64" s="15" t="str">
        <f>CONCATENATE("     ","Telephone/Data Lines                              ")</f>
        <v xml:space="preserve">     Telephone/Data Lines                              </v>
      </c>
      <c r="C64" s="15"/>
      <c r="D64" s="1">
        <f>SUM(OSRRefD21_12x_0)</f>
        <v>324.2</v>
      </c>
      <c r="E64" s="1">
        <f>SUM(OSRRefD21_12x_1)</f>
        <v>339.2</v>
      </c>
      <c r="F64" s="1">
        <f>SUM(OSRRefD21_12x_2)</f>
        <v>340</v>
      </c>
      <c r="G64" s="1">
        <f>SUM(OSRRefD21_12x_3)</f>
        <v>320.95</v>
      </c>
      <c r="H64" s="1">
        <f>SUM(OSRRefE21_12x_0)</f>
        <v>290</v>
      </c>
      <c r="I64" s="1">
        <f>SUM(OSRRefE21_12x_1)</f>
        <v>290</v>
      </c>
      <c r="J64" s="1">
        <f>SUM(OSRRefE21_12x_2)</f>
        <v>290</v>
      </c>
      <c r="K64" s="1">
        <f>SUM(OSRRefE21_12x_3)</f>
        <v>290</v>
      </c>
      <c r="L64" s="1">
        <f>SUM(OSRRefE21_12x_4)</f>
        <v>290</v>
      </c>
      <c r="M64" s="1">
        <f>SUM(OSRRefE21_12x_5)</f>
        <v>290</v>
      </c>
      <c r="N64" s="1">
        <f>SUM(OSRRefE21_12x_6)</f>
        <v>290</v>
      </c>
      <c r="O64" s="1">
        <f>SUM(OSRRefE21_12x_7)</f>
        <v>290</v>
      </c>
      <c r="Q64" s="2">
        <f>SUM(OSRRefD20_12x)+IFERROR(SUM(OSRRefE20_12x),0)</f>
        <v>3644.35</v>
      </c>
    </row>
    <row r="65" spans="1:17" s="34" customFormat="1" hidden="1" outlineLevel="1" x14ac:dyDescent="0.25">
      <c r="A65" s="35"/>
      <c r="B65" s="13" t="str">
        <f>CONCATENATE("          ","6309", " - ","TELEPHONE")</f>
        <v xml:space="preserve">          6309 - TELEPHONE</v>
      </c>
      <c r="C65" s="15"/>
      <c r="D65" s="2">
        <v>324.2</v>
      </c>
      <c r="E65" s="2">
        <v>339.2</v>
      </c>
      <c r="F65" s="2">
        <v>340</v>
      </c>
      <c r="G65" s="2">
        <v>320.95</v>
      </c>
      <c r="H65" s="2">
        <v>290</v>
      </c>
      <c r="I65" s="2">
        <v>290</v>
      </c>
      <c r="J65" s="2">
        <v>290</v>
      </c>
      <c r="K65" s="2">
        <v>290</v>
      </c>
      <c r="L65" s="2">
        <v>290</v>
      </c>
      <c r="M65" s="2">
        <v>290</v>
      </c>
      <c r="N65" s="2">
        <v>290</v>
      </c>
      <c r="O65" s="2">
        <v>290</v>
      </c>
      <c r="P65" s="9"/>
      <c r="Q65" s="2">
        <f>SUM(OSRRefD21_12_0x)+IFERROR(SUM(OSRRefE21_12_0x),0)</f>
        <v>3644.35</v>
      </c>
    </row>
    <row r="66" spans="1:17" s="34" customFormat="1" collapsed="1" x14ac:dyDescent="0.25">
      <c r="A66" s="35"/>
      <c r="B66" s="15" t="str">
        <f>CONCATENATE("     ","Training                                          ")</f>
        <v xml:space="preserve">     Training                                          </v>
      </c>
      <c r="C66" s="15"/>
      <c r="D66" s="1">
        <f>SUM(OSRRefD21_13x_0)</f>
        <v>0</v>
      </c>
      <c r="E66" s="1">
        <f>SUM(OSRRefD21_13x_1)</f>
        <v>0</v>
      </c>
      <c r="F66" s="1">
        <f>SUM(OSRRefD21_13x_2)</f>
        <v>-97</v>
      </c>
      <c r="G66" s="1">
        <f>SUM(OSRRefD21_13x_3)</f>
        <v>0</v>
      </c>
      <c r="H66" s="1">
        <f>SUM(OSRRefE21_13x_0)</f>
        <v>946</v>
      </c>
      <c r="I66" s="1">
        <f>SUM(OSRRefE21_13x_1)</f>
        <v>946</v>
      </c>
      <c r="J66" s="1">
        <f>SUM(OSRRefE21_13x_2)</f>
        <v>946</v>
      </c>
      <c r="K66" s="1">
        <f>SUM(OSRRefE21_13x_3)</f>
        <v>946</v>
      </c>
      <c r="L66" s="1">
        <f>SUM(OSRRefE21_13x_4)</f>
        <v>946</v>
      </c>
      <c r="M66" s="1">
        <f>SUM(OSRRefE21_13x_5)</f>
        <v>946</v>
      </c>
      <c r="N66" s="1">
        <f>SUM(OSRRefE21_13x_6)</f>
        <v>946</v>
      </c>
      <c r="O66" s="1">
        <f>SUM(OSRRefE21_13x_7)</f>
        <v>946</v>
      </c>
      <c r="Q66" s="2">
        <f>SUM(OSRRefD20_13x)+IFERROR(SUM(OSRRefE20_13x),0)</f>
        <v>7471</v>
      </c>
    </row>
    <row r="67" spans="1:17" s="34" customFormat="1" hidden="1" outlineLevel="1" x14ac:dyDescent="0.25">
      <c r="A67" s="35"/>
      <c r="B67" s="13" t="str">
        <f>CONCATENATE("          ","6376", " - ","TRAINING")</f>
        <v xml:space="preserve">          6376 - TRAINING</v>
      </c>
      <c r="C67" s="15"/>
      <c r="D67" s="2"/>
      <c r="E67" s="2"/>
      <c r="F67" s="2">
        <v>-97</v>
      </c>
      <c r="G67" s="2"/>
      <c r="H67" s="2">
        <v>946</v>
      </c>
      <c r="I67" s="2">
        <v>946</v>
      </c>
      <c r="J67" s="2">
        <v>946</v>
      </c>
      <c r="K67" s="2">
        <v>946</v>
      </c>
      <c r="L67" s="2">
        <v>946</v>
      </c>
      <c r="M67" s="2">
        <v>946</v>
      </c>
      <c r="N67" s="2">
        <v>946</v>
      </c>
      <c r="O67" s="2">
        <v>946</v>
      </c>
      <c r="P67" s="9"/>
      <c r="Q67" s="2">
        <f>SUM(OSRRefD21_13_0x)+IFERROR(SUM(OSRRefE21_13_0x),0)</f>
        <v>7471</v>
      </c>
    </row>
    <row r="68" spans="1:17" s="28" customFormat="1" x14ac:dyDescent="0.25">
      <c r="A68" s="20"/>
      <c r="B68" s="20"/>
      <c r="C68" s="20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Q68" s="1"/>
    </row>
    <row r="69" spans="1:17" s="9" customFormat="1" x14ac:dyDescent="0.25">
      <c r="A69" s="22"/>
      <c r="B69" s="16" t="s">
        <v>0</v>
      </c>
      <c r="C69" s="23"/>
      <c r="D69" s="3">
        <f t="shared" ref="D69:G69" si="4">0</f>
        <v>0</v>
      </c>
      <c r="E69" s="3">
        <f t="shared" si="4"/>
        <v>0</v>
      </c>
      <c r="F69" s="3">
        <f t="shared" si="4"/>
        <v>0</v>
      </c>
      <c r="G69" s="3">
        <f t="shared" si="4"/>
        <v>0</v>
      </c>
      <c r="H69" s="3"/>
      <c r="I69" s="3"/>
      <c r="J69" s="3"/>
      <c r="K69" s="3"/>
      <c r="L69" s="3"/>
      <c r="M69" s="3"/>
      <c r="N69" s="3"/>
      <c r="O69" s="3"/>
      <c r="Q69" s="2">
        <f>SUM(OSRRefD23_0x)+IFERROR(SUM(OSRRefE23_0x),0)</f>
        <v>0</v>
      </c>
    </row>
    <row r="70" spans="1:17" x14ac:dyDescent="0.25">
      <c r="A70" s="5"/>
      <c r="B70" s="8"/>
      <c r="C70" s="8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4" customFormat="1" x14ac:dyDescent="0.25">
      <c r="A71" s="8"/>
      <c r="B71" s="17" t="s">
        <v>3</v>
      </c>
      <c r="C71" s="17"/>
      <c r="D71" s="6">
        <f t="shared" ref="D71:O71" si="5">IFERROR(+D14-D17+D69, 0)</f>
        <v>-51043.51</v>
      </c>
      <c r="E71" s="6">
        <f t="shared" si="5"/>
        <v>-41292.079999999994</v>
      </c>
      <c r="F71" s="6">
        <f t="shared" si="5"/>
        <v>-42643.45</v>
      </c>
      <c r="G71" s="6">
        <f t="shared" si="5"/>
        <v>-53720.339999999989</v>
      </c>
      <c r="H71" s="6">
        <f t="shared" si="5"/>
        <v>-49905.525784615391</v>
      </c>
      <c r="I71" s="6">
        <f t="shared" si="5"/>
        <v>-50605.525784615391</v>
      </c>
      <c r="J71" s="6">
        <f t="shared" si="5"/>
        <v>-58415.15723076927</v>
      </c>
      <c r="K71" s="6">
        <f t="shared" si="5"/>
        <v>-49905.525784615391</v>
      </c>
      <c r="L71" s="6">
        <f t="shared" si="5"/>
        <v>-49905.525784615391</v>
      </c>
      <c r="M71" s="6">
        <f t="shared" si="5"/>
        <v>-69265.15723076927</v>
      </c>
      <c r="N71" s="6">
        <f t="shared" si="5"/>
        <v>-49905.525784615391</v>
      </c>
      <c r="O71" s="6">
        <f t="shared" si="5"/>
        <v>-49916.525784615391</v>
      </c>
      <c r="Q71" s="6">
        <f>IFERROR(+Q14-Q17+Q69, 0)</f>
        <v>-616523.8491692309</v>
      </c>
    </row>
    <row r="72" spans="1:17" s="8" customFormat="1" x14ac:dyDescent="0.25">
      <c r="B72" s="16"/>
      <c r="C72" s="16"/>
      <c r="D72" s="4">
        <f t="shared" ref="D72:O72" si="6">IFERROR(D71/D10, 0)</f>
        <v>0</v>
      </c>
      <c r="E72" s="4">
        <f t="shared" si="6"/>
        <v>0</v>
      </c>
      <c r="F72" s="4">
        <f t="shared" si="6"/>
        <v>0</v>
      </c>
      <c r="G72" s="4">
        <f t="shared" si="6"/>
        <v>0</v>
      </c>
      <c r="H72" s="4">
        <f t="shared" si="6"/>
        <v>0</v>
      </c>
      <c r="I72" s="4">
        <f t="shared" si="6"/>
        <v>0</v>
      </c>
      <c r="J72" s="4">
        <f t="shared" si="6"/>
        <v>0</v>
      </c>
      <c r="K72" s="4">
        <f t="shared" si="6"/>
        <v>0</v>
      </c>
      <c r="L72" s="4">
        <f t="shared" si="6"/>
        <v>0</v>
      </c>
      <c r="M72" s="4">
        <f t="shared" si="6"/>
        <v>0</v>
      </c>
      <c r="N72" s="4">
        <f t="shared" si="6"/>
        <v>0</v>
      </c>
      <c r="O72" s="4">
        <f t="shared" si="6"/>
        <v>0</v>
      </c>
      <c r="P72" s="18"/>
      <c r="Q72" s="4">
        <f>IFERROR(Q71/Q10, 0)</f>
        <v>0</v>
      </c>
    </row>
    <row r="73" spans="1:17" x14ac:dyDescent="0.25">
      <c r="A73" s="5"/>
      <c r="B73" s="8"/>
      <c r="C73" s="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4" customFormat="1" x14ac:dyDescent="0.25">
      <c r="A74" s="25"/>
      <c r="B74" s="8" t="s">
        <v>8</v>
      </c>
      <c r="C74" s="8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2">
        <f>SUM(OSRRefD28_0x)+IFERROR(SUM(OSRRefE28_0x),0)</f>
        <v>0</v>
      </c>
    </row>
    <row r="75" spans="1:17" x14ac:dyDescent="0.25">
      <c r="A75" s="5"/>
      <c r="B75" s="8"/>
      <c r="C75" s="8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4" customFormat="1" ht="15.75" thickBot="1" x14ac:dyDescent="0.3">
      <c r="A76" s="8"/>
      <c r="B76" s="17" t="s">
        <v>4</v>
      </c>
      <c r="C76" s="17"/>
      <c r="D76" s="7">
        <f t="shared" ref="D76:O76" si="7">IFERROR(+D71-D74, 0)</f>
        <v>-51043.51</v>
      </c>
      <c r="E76" s="7">
        <f t="shared" si="7"/>
        <v>-41292.079999999994</v>
      </c>
      <c r="F76" s="7">
        <f t="shared" si="7"/>
        <v>-42643.45</v>
      </c>
      <c r="G76" s="7">
        <f t="shared" si="7"/>
        <v>-53720.339999999989</v>
      </c>
      <c r="H76" s="7">
        <f t="shared" si="7"/>
        <v>-49905.525784615391</v>
      </c>
      <c r="I76" s="7">
        <f t="shared" si="7"/>
        <v>-50605.525784615391</v>
      </c>
      <c r="J76" s="7">
        <f t="shared" si="7"/>
        <v>-58415.15723076927</v>
      </c>
      <c r="K76" s="7">
        <f t="shared" si="7"/>
        <v>-49905.525784615391</v>
      </c>
      <c r="L76" s="7">
        <f t="shared" si="7"/>
        <v>-49905.525784615391</v>
      </c>
      <c r="M76" s="7">
        <f t="shared" si="7"/>
        <v>-69265.15723076927</v>
      </c>
      <c r="N76" s="7">
        <f t="shared" si="7"/>
        <v>-49905.525784615391</v>
      </c>
      <c r="O76" s="7">
        <f t="shared" si="7"/>
        <v>-49916.525784615391</v>
      </c>
      <c r="Q76" s="7">
        <f>IFERROR(+Q71-Q74, 0)</f>
        <v>-616523.8491692309</v>
      </c>
    </row>
    <row r="77" spans="1:17" ht="15.75" thickTop="1" x14ac:dyDescent="0.25">
      <c r="A77" s="5"/>
      <c r="B77" s="5"/>
      <c r="C77" s="5"/>
      <c r="D77" s="4">
        <f t="shared" ref="D77:O77" si="8">IFERROR(D76/D10, 0)</f>
        <v>0</v>
      </c>
      <c r="E77" s="4">
        <f t="shared" si="8"/>
        <v>0</v>
      </c>
      <c r="F77" s="4">
        <f t="shared" si="8"/>
        <v>0</v>
      </c>
      <c r="G77" s="4">
        <f t="shared" si="8"/>
        <v>0</v>
      </c>
      <c r="H77" s="4">
        <f t="shared" si="8"/>
        <v>0</v>
      </c>
      <c r="I77" s="4">
        <f t="shared" si="8"/>
        <v>0</v>
      </c>
      <c r="J77" s="4">
        <f t="shared" si="8"/>
        <v>0</v>
      </c>
      <c r="K77" s="4">
        <f t="shared" si="8"/>
        <v>0</v>
      </c>
      <c r="L77" s="4">
        <f t="shared" si="8"/>
        <v>0</v>
      </c>
      <c r="M77" s="4">
        <f t="shared" si="8"/>
        <v>0</v>
      </c>
      <c r="N77" s="4">
        <f t="shared" si="8"/>
        <v>0</v>
      </c>
      <c r="O77" s="4">
        <f t="shared" si="8"/>
        <v>0</v>
      </c>
      <c r="P77" s="18"/>
      <c r="Q77" s="4">
        <f>IFERROR(Q76/Q10, 0)</f>
        <v>0</v>
      </c>
    </row>
    <row r="78" spans="1:17" x14ac:dyDescent="0.25">
      <c r="A78" s="5"/>
      <c r="B78" s="5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x14ac:dyDescent="0.25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4" customFormat="1" ht="15.75" thickBot="1" x14ac:dyDescent="0.3">
      <c r="A80" s="8"/>
      <c r="B80" s="17" t="s">
        <v>5</v>
      </c>
      <c r="C80" s="17"/>
      <c r="D80" s="7">
        <f t="shared" ref="D80:O80" si="9">IFERROR(SUM(D76:D79), 0)</f>
        <v>-51043.51</v>
      </c>
      <c r="E80" s="7">
        <f t="shared" si="9"/>
        <v>-41292.079999999994</v>
      </c>
      <c r="F80" s="7">
        <f t="shared" si="9"/>
        <v>-42643.45</v>
      </c>
      <c r="G80" s="7">
        <f t="shared" si="9"/>
        <v>-53720.339999999989</v>
      </c>
      <c r="H80" s="7">
        <f t="shared" si="9"/>
        <v>-49905.525784615391</v>
      </c>
      <c r="I80" s="7">
        <f t="shared" si="9"/>
        <v>-50605.525784615391</v>
      </c>
      <c r="J80" s="7">
        <f t="shared" si="9"/>
        <v>-58415.15723076927</v>
      </c>
      <c r="K80" s="7">
        <f t="shared" si="9"/>
        <v>-49905.525784615391</v>
      </c>
      <c r="L80" s="7">
        <f t="shared" si="9"/>
        <v>-49905.525784615391</v>
      </c>
      <c r="M80" s="7">
        <f t="shared" si="9"/>
        <v>-69265.15723076927</v>
      </c>
      <c r="N80" s="7">
        <f t="shared" si="9"/>
        <v>-49905.525784615391</v>
      </c>
      <c r="O80" s="7">
        <f t="shared" si="9"/>
        <v>-49916.525784615391</v>
      </c>
      <c r="Q80" s="7">
        <f>IFERROR(SUM(Q76:Q79), 0)</f>
        <v>-616523.8491692309</v>
      </c>
    </row>
    <row r="81" spans="1:17" ht="15.75" thickTop="1" x14ac:dyDescent="0.25">
      <c r="A81" s="5"/>
      <c r="C81" s="5"/>
      <c r="D81" s="4">
        <f t="shared" ref="D81:O81" si="10">IFERROR(D80/D10, 0)</f>
        <v>0</v>
      </c>
      <c r="E81" s="4">
        <f t="shared" si="10"/>
        <v>0</v>
      </c>
      <c r="F81" s="4">
        <f t="shared" si="10"/>
        <v>0</v>
      </c>
      <c r="G81" s="4">
        <f t="shared" si="10"/>
        <v>0</v>
      </c>
      <c r="H81" s="4">
        <f t="shared" si="10"/>
        <v>0</v>
      </c>
      <c r="I81" s="4">
        <f t="shared" si="10"/>
        <v>0</v>
      </c>
      <c r="J81" s="4">
        <f t="shared" si="10"/>
        <v>0</v>
      </c>
      <c r="K81" s="4">
        <f t="shared" si="10"/>
        <v>0</v>
      </c>
      <c r="L81" s="4">
        <f t="shared" si="10"/>
        <v>0</v>
      </c>
      <c r="M81" s="4">
        <f t="shared" si="10"/>
        <v>0</v>
      </c>
      <c r="N81" s="4">
        <f t="shared" si="10"/>
        <v>0</v>
      </c>
      <c r="O81" s="4">
        <f t="shared" si="10"/>
        <v>0</v>
      </c>
      <c r="P81" s="18"/>
      <c r="Q81" s="4">
        <f>IFERROR(Q80/Q10, 0)</f>
        <v>0</v>
      </c>
    </row>
    <row r="82" spans="1:17" x14ac:dyDescent="0.25">
      <c r="A82" s="5"/>
      <c r="B82" s="26">
        <v>44151.564728321762</v>
      </c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Q82" s="12"/>
    </row>
    <row r="83" spans="1:17" x14ac:dyDescent="0.25">
      <c r="A83" s="5"/>
      <c r="B83" s="30" t="s">
        <v>311</v>
      </c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Q83" s="12"/>
    </row>
    <row r="84" spans="1:17" x14ac:dyDescent="0.25">
      <c r="A84" s="5"/>
      <c r="B84" s="31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Q84" s="12"/>
    </row>
    <row r="85" spans="1:17" x14ac:dyDescent="0.25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Q85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7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","204", " - ", "Information Technology")</f>
        <v>Department 204 - Information Technology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0">
        <f>SUM(OSRRefD20x_0)</f>
        <v>56908.759999999995</v>
      </c>
      <c r="E17" s="10">
        <f>SUM(OSRRefD20x_1)</f>
        <v>49895.87</v>
      </c>
      <c r="F17" s="10">
        <f>SUM(OSRRefD20x_2)</f>
        <v>43962.69</v>
      </c>
      <c r="G17" s="10">
        <f>SUM(OSRRefD20x_3)</f>
        <v>60340.259999999995</v>
      </c>
      <c r="H17" s="10">
        <f>SUM(OSRRefE20x_0)</f>
        <v>53052.635384615351</v>
      </c>
      <c r="I17" s="10">
        <f>SUM(OSRRefE20x_1)</f>
        <v>21985</v>
      </c>
      <c r="J17" s="10">
        <f>SUM(OSRRefE20x_2)</f>
        <v>51980.278846153888</v>
      </c>
      <c r="K17" s="10">
        <f>SUM(OSRRefE20x_3)</f>
        <v>46812.223076923052</v>
      </c>
      <c r="L17" s="10">
        <f>SUM(OSRRefE20x_4)</f>
        <v>46812.223076923052</v>
      </c>
      <c r="M17" s="10">
        <f>SUM(OSRRefE20x_5)</f>
        <v>51980.278846153888</v>
      </c>
      <c r="N17" s="10">
        <f>SUM(OSRRefE20x_6)</f>
        <v>46709.223076923052</v>
      </c>
      <c r="O17" s="10">
        <f>SUM(OSRRefE20x_7)</f>
        <v>48974.223076923052</v>
      </c>
      <c r="Q17" s="10">
        <f>SUM(OSRRefG20x)</f>
        <v>579413.66538461531</v>
      </c>
    </row>
    <row r="18" spans="1:17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13050.55</v>
      </c>
      <c r="E18" s="1">
        <f>SUM(OSRRefD21_0x_1)</f>
        <v>12084.119999999999</v>
      </c>
      <c r="F18" s="1">
        <f>SUM(OSRRefD21_0x_2)</f>
        <v>12086.330000000002</v>
      </c>
      <c r="G18" s="1">
        <f>SUM(OSRRefD21_0x_3)</f>
        <v>15207.03</v>
      </c>
      <c r="H18" s="1">
        <f>SUM(OSRRefE21_0x_0)</f>
        <v>12061.558461538454</v>
      </c>
      <c r="I18" s="1">
        <f>SUM(OSRRefE21_0x_1)</f>
        <v>600</v>
      </c>
      <c r="J18" s="1">
        <f>SUM(OSRRefE21_0x_2)</f>
        <v>10691.43269230769</v>
      </c>
      <c r="K18" s="1">
        <f>SUM(OSRRefE21_0x_3)</f>
        <v>9504.1461538461554</v>
      </c>
      <c r="L18" s="1">
        <f>SUM(OSRRefE21_0x_4)</f>
        <v>9504.1461538461554</v>
      </c>
      <c r="M18" s="1">
        <f>SUM(OSRRefE21_0x_5)</f>
        <v>10691.43269230769</v>
      </c>
      <c r="N18" s="1">
        <f>SUM(OSRRefE21_0x_6)</f>
        <v>9504.1461538461554</v>
      </c>
      <c r="O18" s="1">
        <f>SUM(OSRRefE21_0x_7)</f>
        <v>9504.1461538461554</v>
      </c>
      <c r="Q18" s="2">
        <f>SUM(OSRRefD20_0x)+IFERROR(SUM(OSRRefE20_0x),0)</f>
        <v>124489.03846153847</v>
      </c>
    </row>
    <row r="19" spans="1:17" s="34" customFormat="1" hidden="1" outlineLevel="1" x14ac:dyDescent="0.25">
      <c r="A19" s="35"/>
      <c r="B19" s="13" t="str">
        <f>CONCATENATE("          ","6111", " - ","F.I.C.A.")</f>
        <v xml:space="preserve">          6111 - F.I.C.A.</v>
      </c>
      <c r="C19" s="15"/>
      <c r="D19" s="2">
        <v>1654.1</v>
      </c>
      <c r="E19" s="2">
        <v>1651.98</v>
      </c>
      <c r="F19" s="2">
        <v>1548.72</v>
      </c>
      <c r="G19" s="2">
        <v>3477.59</v>
      </c>
      <c r="H19" s="2">
        <v>1660.11230769231</v>
      </c>
      <c r="I19" s="2">
        <v>0</v>
      </c>
      <c r="J19" s="2">
        <v>1692.49038461538</v>
      </c>
      <c r="K19" s="2">
        <v>1353.9923076923101</v>
      </c>
      <c r="L19" s="2">
        <v>1353.9923076923101</v>
      </c>
      <c r="M19" s="2">
        <v>1692.49038461538</v>
      </c>
      <c r="N19" s="2">
        <v>1353.9923076923101</v>
      </c>
      <c r="O19" s="2">
        <v>1353.9923076923101</v>
      </c>
      <c r="P19" s="9"/>
      <c r="Q19" s="2">
        <f>SUM(OSRRefD21_0_0x)+IFERROR(SUM(OSRRefE21_0_0x),0)</f>
        <v>18793.452307692307</v>
      </c>
    </row>
    <row r="20" spans="1:17" s="34" customFormat="1" hidden="1" outlineLevel="1" x14ac:dyDescent="0.2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71.349999999999994</v>
      </c>
      <c r="E20" s="2">
        <v>71.260000000000005</v>
      </c>
      <c r="F20" s="2">
        <v>71.3</v>
      </c>
      <c r="G20" s="2">
        <v>70.81</v>
      </c>
      <c r="H20" s="2">
        <v>71.584615384615404</v>
      </c>
      <c r="I20" s="2">
        <v>0</v>
      </c>
      <c r="J20" s="2">
        <v>72.980769230769198</v>
      </c>
      <c r="K20" s="2">
        <v>58.384615384615401</v>
      </c>
      <c r="L20" s="2">
        <v>58.384615384615401</v>
      </c>
      <c r="M20" s="2">
        <v>72.980769230769198</v>
      </c>
      <c r="N20" s="2">
        <v>58.384615384615401</v>
      </c>
      <c r="O20" s="2">
        <v>58.384615384615401</v>
      </c>
      <c r="P20" s="9"/>
      <c r="Q20" s="2">
        <f>SUM(OSRRefD21_0_1x)+IFERROR(SUM(OSRRefE21_0_1x),0)</f>
        <v>735.80461538461543</v>
      </c>
    </row>
    <row r="21" spans="1:17" s="34" customFormat="1" hidden="1" outlineLevel="1" x14ac:dyDescent="0.25">
      <c r="A21" s="35"/>
      <c r="B21" s="13" t="str">
        <f>CONCATENATE("          ","6113", " - ","GROUP INSURANCE")</f>
        <v xml:space="preserve">          6113 - GROUP INSURANCE</v>
      </c>
      <c r="C21" s="15"/>
      <c r="D21" s="2">
        <v>5567.87</v>
      </c>
      <c r="E21" s="2">
        <v>5567.87</v>
      </c>
      <c r="F21" s="2">
        <v>5567.87</v>
      </c>
      <c r="G21" s="2">
        <v>5567.87</v>
      </c>
      <c r="H21" s="2">
        <v>5982.6923076923094</v>
      </c>
      <c r="I21" s="2">
        <v>0</v>
      </c>
      <c r="J21" s="2">
        <v>4155</v>
      </c>
      <c r="K21" s="2">
        <v>4155</v>
      </c>
      <c r="L21" s="2">
        <v>4155</v>
      </c>
      <c r="M21" s="2">
        <v>4155</v>
      </c>
      <c r="N21" s="2">
        <v>4155</v>
      </c>
      <c r="O21" s="2">
        <v>4155</v>
      </c>
      <c r="P21" s="9"/>
      <c r="Q21" s="2">
        <f>SUM(OSRRefD21_0_2x)+IFERROR(SUM(OSRRefE21_0_2x),0)</f>
        <v>53184.172307692308</v>
      </c>
    </row>
    <row r="22" spans="1:17" s="34" customFormat="1" hidden="1" outlineLevel="1" x14ac:dyDescent="0.2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56.22</v>
      </c>
      <c r="E22" s="2">
        <v>56.14</v>
      </c>
      <c r="F22" s="2">
        <v>56.17</v>
      </c>
      <c r="G22" s="2">
        <v>55.79</v>
      </c>
      <c r="H22" s="2">
        <v>56.4</v>
      </c>
      <c r="I22" s="2">
        <v>0</v>
      </c>
      <c r="J22" s="2">
        <v>57.5</v>
      </c>
      <c r="K22" s="2">
        <v>46</v>
      </c>
      <c r="L22" s="2">
        <v>46</v>
      </c>
      <c r="M22" s="2">
        <v>57.5</v>
      </c>
      <c r="N22" s="2">
        <v>46</v>
      </c>
      <c r="O22" s="2">
        <v>46</v>
      </c>
      <c r="P22" s="9"/>
      <c r="Q22" s="2">
        <f>SUM(OSRRefD21_0_3x)+IFERROR(SUM(OSRRefE21_0_3x),0)</f>
        <v>579.72</v>
      </c>
    </row>
    <row r="23" spans="1:17" s="34" customFormat="1" hidden="1" outlineLevel="1" x14ac:dyDescent="0.25">
      <c r="A23" s="35"/>
      <c r="B23" s="13" t="str">
        <f>CONCATENATE("          ","6115", " - ","P.E.R.S.")</f>
        <v xml:space="preserve">          6115 - P.E.R.S.</v>
      </c>
      <c r="C23" s="15"/>
      <c r="D23" s="2">
        <v>2791.81</v>
      </c>
      <c r="E23" s="2">
        <v>1861.21</v>
      </c>
      <c r="F23" s="2">
        <v>1861.21</v>
      </c>
      <c r="G23" s="2">
        <v>1861.21</v>
      </c>
      <c r="H23" s="2">
        <v>1521.5384615384601</v>
      </c>
      <c r="I23" s="2">
        <v>0</v>
      </c>
      <c r="J23" s="2">
        <v>1901.9230769230799</v>
      </c>
      <c r="K23" s="2">
        <v>1521.5384615384601</v>
      </c>
      <c r="L23" s="2">
        <v>1521.5384615384601</v>
      </c>
      <c r="M23" s="2">
        <v>1901.9230769230799</v>
      </c>
      <c r="N23" s="2">
        <v>1521.5384615384601</v>
      </c>
      <c r="O23" s="2">
        <v>1521.5384615384601</v>
      </c>
      <c r="P23" s="9"/>
      <c r="Q23" s="2">
        <f>SUM(OSRRefD21_0_4x)+IFERROR(SUM(OSRRefE21_0_4x),0)</f>
        <v>19786.978461538463</v>
      </c>
    </row>
    <row r="24" spans="1:17" s="34" customFormat="1" hidden="1" outlineLevel="1" x14ac:dyDescent="0.25">
      <c r="A24" s="35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3" t="str">
        <f>CONCATENATE("          ","6117", " - ","RETIREMENT STAFF HOURLY")</f>
        <v xml:space="preserve">          6117 - RETIREMENT STAFF HOURLY</v>
      </c>
      <c r="C25" s="15"/>
      <c r="D25" s="2">
        <v>251.52</v>
      </c>
      <c r="E25" s="2">
        <v>167.53</v>
      </c>
      <c r="F25" s="2">
        <v>168.11</v>
      </c>
      <c r="G25" s="2">
        <v>160.72</v>
      </c>
      <c r="H25" s="2"/>
      <c r="I25" s="2"/>
      <c r="J25" s="2"/>
      <c r="K25" s="2"/>
      <c r="L25" s="2"/>
      <c r="M25" s="2"/>
      <c r="N25" s="2"/>
      <c r="O25" s="2"/>
      <c r="P25" s="9"/>
      <c r="Q25" s="2">
        <f>SUM(OSRRefD21_0_6x)+IFERROR(SUM(OSRRefE21_0_6x),0)</f>
        <v>747.88000000000011</v>
      </c>
    </row>
    <row r="26" spans="1:17" s="34" customFormat="1" hidden="1" outlineLevel="1" x14ac:dyDescent="0.25">
      <c r="A26" s="35"/>
      <c r="B26" s="13" t="str">
        <f>CONCATENATE("          ","6118", " - ","VACATION")</f>
        <v xml:space="preserve">          6118 - VACATION</v>
      </c>
      <c r="C26" s="15"/>
      <c r="D26" s="2">
        <v>1474.64</v>
      </c>
      <c r="E26" s="2">
        <v>1474.64</v>
      </c>
      <c r="F26" s="2">
        <v>1474.64</v>
      </c>
      <c r="G26" s="2">
        <v>2211.96</v>
      </c>
      <c r="H26" s="2">
        <v>1084.61538461538</v>
      </c>
      <c r="I26" s="2">
        <v>0</v>
      </c>
      <c r="J26" s="2">
        <v>1105.76923076923</v>
      </c>
      <c r="K26" s="2">
        <v>884.61538461538498</v>
      </c>
      <c r="L26" s="2">
        <v>884.61538461538498</v>
      </c>
      <c r="M26" s="2">
        <v>1105.76923076923</v>
      </c>
      <c r="N26" s="2">
        <v>884.61538461538498</v>
      </c>
      <c r="O26" s="2">
        <v>884.61538461538498</v>
      </c>
      <c r="P26" s="9"/>
      <c r="Q26" s="2">
        <f>SUM(OSRRefD21_0_7x)+IFERROR(SUM(OSRRefE21_0_7x),0)</f>
        <v>13470.49538461538</v>
      </c>
    </row>
    <row r="27" spans="1:17" s="34" customFormat="1" hidden="1" outlineLevel="1" x14ac:dyDescent="0.25">
      <c r="A27" s="35"/>
      <c r="B27" s="13" t="str">
        <f>CONCATENATE("          ","6119", " - ","SICK LEAVE")</f>
        <v xml:space="preserve">          6119 - SICK LEAVE</v>
      </c>
      <c r="C27" s="15"/>
      <c r="D27" s="2">
        <v>999.04</v>
      </c>
      <c r="E27" s="2">
        <v>999.04</v>
      </c>
      <c r="F27" s="2">
        <v>999.04</v>
      </c>
      <c r="G27" s="2">
        <v>1498.56</v>
      </c>
      <c r="H27" s="2">
        <v>1084.61538461538</v>
      </c>
      <c r="I27" s="2">
        <v>0</v>
      </c>
      <c r="J27" s="2">
        <v>1105.76923076923</v>
      </c>
      <c r="K27" s="2">
        <v>884.61538461538498</v>
      </c>
      <c r="L27" s="2">
        <v>884.61538461538498</v>
      </c>
      <c r="M27" s="2">
        <v>1105.76923076923</v>
      </c>
      <c r="N27" s="2">
        <v>884.61538461538498</v>
      </c>
      <c r="O27" s="2">
        <v>884.61538461538498</v>
      </c>
      <c r="P27" s="9"/>
      <c r="Q27" s="2">
        <f>SUM(OSRRefD21_0_8x)+IFERROR(SUM(OSRRefE21_0_8x),0)</f>
        <v>11330.29538461538</v>
      </c>
    </row>
    <row r="28" spans="1:17" s="34" customFormat="1" hidden="1" outlineLevel="1" x14ac:dyDescent="0.25">
      <c r="A28" s="35"/>
      <c r="B28" s="13" t="str">
        <f>CONCATENATE("          ","6156", " - ","EMPLOYEE MEALS")</f>
        <v xml:space="preserve">          6156 - EMPLOYEE MEALS</v>
      </c>
      <c r="C28" s="15"/>
      <c r="D28" s="2">
        <v>184</v>
      </c>
      <c r="E28" s="2">
        <v>234.45</v>
      </c>
      <c r="F28" s="2">
        <v>339.27</v>
      </c>
      <c r="G28" s="2">
        <v>302.52</v>
      </c>
      <c r="H28" s="2">
        <v>600</v>
      </c>
      <c r="I28" s="2">
        <v>600</v>
      </c>
      <c r="J28" s="2">
        <v>600</v>
      </c>
      <c r="K28" s="2">
        <v>600</v>
      </c>
      <c r="L28" s="2">
        <v>600</v>
      </c>
      <c r="M28" s="2">
        <v>600</v>
      </c>
      <c r="N28" s="2">
        <v>600</v>
      </c>
      <c r="O28" s="2">
        <v>600</v>
      </c>
      <c r="P28" s="9"/>
      <c r="Q28" s="2">
        <f>SUM(OSRRefD21_0_9x)+IFERROR(SUM(OSRRefE21_0_9x),0)</f>
        <v>5860.24</v>
      </c>
    </row>
    <row r="29" spans="1:17" s="34" customFormat="1" collapsed="1" x14ac:dyDescent="0.25">
      <c r="A29" s="35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25546.420000000002</v>
      </c>
      <c r="E29" s="1">
        <f>SUM(OSRRefD21_1x_1)</f>
        <v>19282.840000000004</v>
      </c>
      <c r="F29" s="1">
        <f>SUM(OSRRefD21_1x_2)</f>
        <v>19965.490000000002</v>
      </c>
      <c r="G29" s="1">
        <f>SUM(OSRRefD21_1x_3)</f>
        <v>24666.68</v>
      </c>
      <c r="H29" s="1">
        <f>SUM(OSRRefE21_1x_0)</f>
        <v>19523.0769230769</v>
      </c>
      <c r="I29" s="1">
        <f>SUM(OSRRefE21_1x_1)</f>
        <v>0</v>
      </c>
      <c r="J29" s="1">
        <f>SUM(OSRRefE21_1x_2)</f>
        <v>19903.8461538462</v>
      </c>
      <c r="K29" s="1">
        <f>SUM(OSRRefE21_1x_3)</f>
        <v>15923.0769230769</v>
      </c>
      <c r="L29" s="1">
        <f>SUM(OSRRefE21_1x_4)</f>
        <v>15923.0769230769</v>
      </c>
      <c r="M29" s="1">
        <f>SUM(OSRRefE21_1x_5)</f>
        <v>19903.8461538462</v>
      </c>
      <c r="N29" s="1">
        <f>SUM(OSRRefE21_1x_6)</f>
        <v>15923.0769230769</v>
      </c>
      <c r="O29" s="1">
        <f>SUM(OSRRefE21_1x_7)</f>
        <v>15923.0769230769</v>
      </c>
      <c r="Q29" s="2">
        <f>SUM(OSRRefD20_1x)+IFERROR(SUM(OSRRefE20_1x),0)</f>
        <v>212484.50692307693</v>
      </c>
    </row>
    <row r="30" spans="1:17" s="34" customFormat="1" hidden="1" outlineLevel="1" x14ac:dyDescent="0.25">
      <c r="A30" s="35"/>
      <c r="B30" s="13" t="str">
        <f>CONCATENATE("          ","6001", " - ","ADMINISTRATIVE SALARIES")</f>
        <v xml:space="preserve">          6001 - ADMINISTRATIVE SALARIES</v>
      </c>
      <c r="C30" s="15"/>
      <c r="D30" s="2"/>
      <c r="E30" s="2"/>
      <c r="F30" s="2"/>
      <c r="G30" s="2"/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4" customFormat="1" hidden="1" outlineLevel="1" x14ac:dyDescent="0.25">
      <c r="A31" s="35"/>
      <c r="B31" s="13" t="str">
        <f>CONCATENATE("          ","6002", " - ","STAFF SALARIES")</f>
        <v xml:space="preserve">          6002 - STAFF SALARIES</v>
      </c>
      <c r="C31" s="15"/>
      <c r="D31" s="2">
        <v>21357.08</v>
      </c>
      <c r="E31" s="2">
        <v>17443.390000000003</v>
      </c>
      <c r="F31" s="2">
        <v>17443.390000000003</v>
      </c>
      <c r="G31" s="2">
        <v>20606.53</v>
      </c>
      <c r="H31" s="2">
        <v>15923.0769230769</v>
      </c>
      <c r="I31" s="2">
        <v>0</v>
      </c>
      <c r="J31" s="2">
        <v>19903.8461538462</v>
      </c>
      <c r="K31" s="2">
        <v>15923.0769230769</v>
      </c>
      <c r="L31" s="2">
        <v>15923.0769230769</v>
      </c>
      <c r="M31" s="2">
        <v>19903.8461538462</v>
      </c>
      <c r="N31" s="2">
        <v>15923.0769230769</v>
      </c>
      <c r="O31" s="2">
        <v>15923.0769230769</v>
      </c>
      <c r="P31" s="9"/>
      <c r="Q31" s="2">
        <f>SUM(OSRRefD21_1_1x)+IFERROR(SUM(OSRRefE21_1_1x),0)</f>
        <v>196273.46692307689</v>
      </c>
    </row>
    <row r="32" spans="1:17" s="34" customFormat="1" hidden="1" outlineLevel="1" x14ac:dyDescent="0.25">
      <c r="A32" s="35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25">
      <c r="A33" s="35"/>
      <c r="B33" s="13" t="str">
        <f>CONCATENATE("          ","6004", " - ","STAFF HOURLY")</f>
        <v xml:space="preserve">          6004 - STAFF HOURLY</v>
      </c>
      <c r="C33" s="15"/>
      <c r="D33" s="2">
        <v>3350.34</v>
      </c>
      <c r="E33" s="2">
        <v>2678.45</v>
      </c>
      <c r="F33" s="2">
        <v>1682.1</v>
      </c>
      <c r="G33" s="2">
        <v>4900.1499999999996</v>
      </c>
      <c r="H33" s="2">
        <v>3600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16211.039999999999</v>
      </c>
    </row>
    <row r="34" spans="1:17" s="34" customFormat="1" hidden="1" outlineLevel="1" x14ac:dyDescent="0.25">
      <c r="A34" s="35"/>
      <c r="B34" s="13" t="str">
        <f>CONCATENATE("          ","6005", " - ","TEMPORARY WAGES-HOURLY")</f>
        <v xml:space="preserve">          6005 - TEMPORARY WAGES-HOURLY</v>
      </c>
      <c r="C34" s="15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4" customFormat="1" hidden="1" outlineLevel="1" x14ac:dyDescent="0.25">
      <c r="A35" s="35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4" customFormat="1" hidden="1" outlineLevel="1" x14ac:dyDescent="0.25">
      <c r="A36" s="35"/>
      <c r="B36" s="13" t="str">
        <f>CONCATENATE("          ","6007", " - ","STUDENT HOURLY")</f>
        <v xml:space="preserve">          6007 - STUDENT HOURLY</v>
      </c>
      <c r="C36" s="15"/>
      <c r="D36" s="2">
        <v>839</v>
      </c>
      <c r="E36" s="2">
        <v>-839</v>
      </c>
      <c r="F36" s="2">
        <v>840</v>
      </c>
      <c r="G36" s="2">
        <v>-840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4" customFormat="1" hidden="1" outlineLevel="1" x14ac:dyDescent="0.25">
      <c r="A37" s="35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4" customFormat="1" hidden="1" outlineLevel="1" x14ac:dyDescent="0.25">
      <c r="A38" s="35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25">
      <c r="A39" s="35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25">
      <c r="A40" s="35"/>
      <c r="B40" s="15" t="str">
        <f>CONCATENATE("     ","Depreciation                                      ")</f>
        <v xml:space="preserve">     Depreciation                                      </v>
      </c>
      <c r="C40" s="15"/>
      <c r="D40" s="1">
        <f>SUM(OSRRefD21_2x_0)</f>
        <v>5462.14</v>
      </c>
      <c r="E40" s="1">
        <f>SUM(OSRRefD21_2x_1)</f>
        <v>5462.14</v>
      </c>
      <c r="F40" s="1">
        <f>SUM(OSRRefD21_2x_2)</f>
        <v>5462.13</v>
      </c>
      <c r="G40" s="1">
        <f>SUM(OSRRefD21_2x_3)</f>
        <v>5077.13</v>
      </c>
      <c r="H40" s="1">
        <f>SUM(OSRRefE21_2x_0)</f>
        <v>5077</v>
      </c>
      <c r="I40" s="1">
        <f>SUM(OSRRefE21_2x_1)</f>
        <v>4994</v>
      </c>
      <c r="J40" s="1">
        <f>SUM(OSRRefE21_2x_2)</f>
        <v>4994</v>
      </c>
      <c r="K40" s="1">
        <f>SUM(OSRRefE21_2x_3)</f>
        <v>4994</v>
      </c>
      <c r="L40" s="1">
        <f>SUM(OSRRefE21_2x_4)</f>
        <v>4994</v>
      </c>
      <c r="M40" s="1">
        <f>SUM(OSRRefE21_2x_5)</f>
        <v>4994</v>
      </c>
      <c r="N40" s="1">
        <f>SUM(OSRRefE21_2x_6)</f>
        <v>4891</v>
      </c>
      <c r="O40" s="1">
        <f>SUM(OSRRefE21_2x_7)</f>
        <v>4556</v>
      </c>
      <c r="Q40" s="2">
        <f>SUM(OSRRefD20_2x)+IFERROR(SUM(OSRRefE20_2x),0)</f>
        <v>60957.54</v>
      </c>
    </row>
    <row r="41" spans="1:17" s="34" customFormat="1" hidden="1" outlineLevel="1" x14ac:dyDescent="0.25">
      <c r="A41" s="35"/>
      <c r="B41" s="13" t="str">
        <f>CONCATENATE("          ","6322", " - ","EQUIPMENT DEPRECIATION EXPENSE")</f>
        <v xml:space="preserve">          6322 - EQUIPMENT DEPRECIATION EXPENSE</v>
      </c>
      <c r="C41" s="15"/>
      <c r="D41" s="2">
        <v>5462.14</v>
      </c>
      <c r="E41" s="2">
        <v>5462.14</v>
      </c>
      <c r="F41" s="2">
        <v>5462.13</v>
      </c>
      <c r="G41" s="2">
        <v>5077.13</v>
      </c>
      <c r="H41" s="2">
        <v>5077</v>
      </c>
      <c r="I41" s="2">
        <v>4994</v>
      </c>
      <c r="J41" s="2">
        <v>4994</v>
      </c>
      <c r="K41" s="2">
        <v>4994</v>
      </c>
      <c r="L41" s="2">
        <v>4994</v>
      </c>
      <c r="M41" s="2">
        <v>4994</v>
      </c>
      <c r="N41" s="2">
        <v>4891</v>
      </c>
      <c r="O41" s="2">
        <v>4556</v>
      </c>
      <c r="P41" s="9"/>
      <c r="Q41" s="2">
        <f>SUM(OSRRefD21_2_0x)+IFERROR(SUM(OSRRefE21_2_0x),0)</f>
        <v>60957.54</v>
      </c>
    </row>
    <row r="42" spans="1:17" s="34" customFormat="1" collapsed="1" x14ac:dyDescent="0.25">
      <c r="A42" s="35"/>
      <c r="B42" s="15" t="str">
        <f>CONCATENATE("     ","Insurance                                         ")</f>
        <v xml:space="preserve">     Insurance                                         </v>
      </c>
      <c r="C42" s="15"/>
      <c r="D42" s="1">
        <f>SUM(OSRRefD21_3x_0)</f>
        <v>56.34</v>
      </c>
      <c r="E42" s="1">
        <f>SUM(OSRRefD21_3x_1)</f>
        <v>56.34</v>
      </c>
      <c r="F42" s="1">
        <f>SUM(OSRRefD21_3x_2)</f>
        <v>56.34</v>
      </c>
      <c r="G42" s="1">
        <f>SUM(OSRRefD21_3x_3)</f>
        <v>56.34</v>
      </c>
      <c r="H42" s="1">
        <f>SUM(OSRRefE21_3x_0)</f>
        <v>61</v>
      </c>
      <c r="I42" s="1">
        <f>SUM(OSRRefE21_3x_1)</f>
        <v>61</v>
      </c>
      <c r="J42" s="1">
        <f>SUM(OSRRefE21_3x_2)</f>
        <v>61</v>
      </c>
      <c r="K42" s="1">
        <f>SUM(OSRRefE21_3x_3)</f>
        <v>61</v>
      </c>
      <c r="L42" s="1">
        <f>SUM(OSRRefE21_3x_4)</f>
        <v>61</v>
      </c>
      <c r="M42" s="1">
        <f>SUM(OSRRefE21_3x_5)</f>
        <v>61</v>
      </c>
      <c r="N42" s="1">
        <f>SUM(OSRRefE21_3x_6)</f>
        <v>61</v>
      </c>
      <c r="O42" s="1">
        <f>SUM(OSRRefE21_3x_7)</f>
        <v>61</v>
      </c>
      <c r="Q42" s="2">
        <f>SUM(OSRRefD20_3x)+IFERROR(SUM(OSRRefE20_3x),0)</f>
        <v>713.36</v>
      </c>
    </row>
    <row r="43" spans="1:17" s="34" customFormat="1" hidden="1" outlineLevel="1" x14ac:dyDescent="0.25">
      <c r="A43" s="35"/>
      <c r="B43" s="13" t="str">
        <f>CONCATENATE("          ","6314", " - ","LIABILITY INSURANCE")</f>
        <v xml:space="preserve">          6314 - LIABILITY INSURANCE</v>
      </c>
      <c r="C43" s="15"/>
      <c r="D43" s="2">
        <v>56.34</v>
      </c>
      <c r="E43" s="2">
        <v>56.34</v>
      </c>
      <c r="F43" s="2">
        <v>56.34</v>
      </c>
      <c r="G43" s="2">
        <v>56.34</v>
      </c>
      <c r="H43" s="2">
        <v>61</v>
      </c>
      <c r="I43" s="2">
        <v>61</v>
      </c>
      <c r="J43" s="2">
        <v>61</v>
      </c>
      <c r="K43" s="2">
        <v>61</v>
      </c>
      <c r="L43" s="2">
        <v>61</v>
      </c>
      <c r="M43" s="2">
        <v>61</v>
      </c>
      <c r="N43" s="2">
        <v>61</v>
      </c>
      <c r="O43" s="2">
        <v>61</v>
      </c>
      <c r="P43" s="9"/>
      <c r="Q43" s="2">
        <f>SUM(OSRRefD21_3_0x)+IFERROR(SUM(OSRRefE21_3_0x),0)</f>
        <v>713.36</v>
      </c>
    </row>
    <row r="44" spans="1:17" s="34" customFormat="1" collapsed="1" x14ac:dyDescent="0.25">
      <c r="A44" s="35"/>
      <c r="B44" s="15" t="str">
        <f>CONCATENATE("     ","Repair and Maintenance                            ")</f>
        <v xml:space="preserve">     Repair and Maintenance                            </v>
      </c>
      <c r="C44" s="15"/>
      <c r="D44" s="1">
        <f>SUM(OSRRefD21_4x_0)</f>
        <v>11992</v>
      </c>
      <c r="E44" s="1">
        <f>SUM(OSRRefD21_4x_1)</f>
        <v>11992</v>
      </c>
      <c r="F44" s="1">
        <f>SUM(OSRRefD21_4x_2)</f>
        <v>10192</v>
      </c>
      <c r="G44" s="1">
        <f>SUM(OSRRefD21_4x_3)</f>
        <v>14428.16</v>
      </c>
      <c r="H44" s="1">
        <f>SUM(OSRRefE21_4x_0)</f>
        <v>14910</v>
      </c>
      <c r="I44" s="1">
        <f>SUM(OSRRefE21_4x_1)</f>
        <v>14910</v>
      </c>
      <c r="J44" s="1">
        <f>SUM(OSRRefE21_4x_2)</f>
        <v>14910</v>
      </c>
      <c r="K44" s="1">
        <f>SUM(OSRRefE21_4x_3)</f>
        <v>14910</v>
      </c>
      <c r="L44" s="1">
        <f>SUM(OSRRefE21_4x_4)</f>
        <v>14910</v>
      </c>
      <c r="M44" s="1">
        <f>SUM(OSRRefE21_4x_5)</f>
        <v>14910</v>
      </c>
      <c r="N44" s="1">
        <f>SUM(OSRRefE21_4x_6)</f>
        <v>14910</v>
      </c>
      <c r="O44" s="1">
        <f>SUM(OSRRefE21_4x_7)</f>
        <v>17510</v>
      </c>
      <c r="Q44" s="2">
        <f>SUM(OSRRefD20_4x)+IFERROR(SUM(OSRRefE20_4x),0)</f>
        <v>170484.16</v>
      </c>
    </row>
    <row r="45" spans="1:17" s="34" customFormat="1" hidden="1" outlineLevel="1" x14ac:dyDescent="0.25">
      <c r="A45" s="35"/>
      <c r="B45" s="13" t="str">
        <f>CONCATENATE("          ","6371", " - ","COMPUTER SOFTWARE MAINTENANCE")</f>
        <v xml:space="preserve">          6371 - COMPUTER SOFTWARE MAINTENANCE</v>
      </c>
      <c r="C45" s="15"/>
      <c r="D45" s="2"/>
      <c r="E45" s="2"/>
      <c r="F45" s="2"/>
      <c r="G45" s="2">
        <v>2436.16</v>
      </c>
      <c r="H45" s="2">
        <v>660</v>
      </c>
      <c r="I45" s="2">
        <v>660</v>
      </c>
      <c r="J45" s="2">
        <v>660</v>
      </c>
      <c r="K45" s="2">
        <v>660</v>
      </c>
      <c r="L45" s="2">
        <v>660</v>
      </c>
      <c r="M45" s="2">
        <v>660</v>
      </c>
      <c r="N45" s="2">
        <v>660</v>
      </c>
      <c r="O45" s="2">
        <v>660</v>
      </c>
      <c r="P45" s="9"/>
      <c r="Q45" s="2">
        <f>SUM(OSRRefD21_4_0x)+IFERROR(SUM(OSRRefE21_4_0x),0)</f>
        <v>7716.16</v>
      </c>
    </row>
    <row r="46" spans="1:17" s="34" customFormat="1" hidden="1" outlineLevel="1" x14ac:dyDescent="0.25">
      <c r="A46" s="35"/>
      <c r="B46" s="13" t="str">
        <f>CONCATENATE("          ","6372", " - ","COMPUTER HARDWARE MAINTENANCE")</f>
        <v xml:space="preserve">          6372 - COMPUTER HARDWARE MAINTENANCE</v>
      </c>
      <c r="C46" s="15"/>
      <c r="D46" s="2"/>
      <c r="E46" s="2"/>
      <c r="F46" s="2"/>
      <c r="G46" s="2"/>
      <c r="H46" s="2">
        <v>1600</v>
      </c>
      <c r="I46" s="2">
        <v>1600</v>
      </c>
      <c r="J46" s="2">
        <v>1600</v>
      </c>
      <c r="K46" s="2">
        <v>1600</v>
      </c>
      <c r="L46" s="2">
        <v>1600</v>
      </c>
      <c r="M46" s="2">
        <v>1600</v>
      </c>
      <c r="N46" s="2">
        <v>1600</v>
      </c>
      <c r="O46" s="2">
        <v>4200</v>
      </c>
      <c r="P46" s="9"/>
      <c r="Q46" s="2">
        <f>SUM(OSRRefD21_4_1x)+IFERROR(SUM(OSRRefE21_4_1x),0)</f>
        <v>15400</v>
      </c>
    </row>
    <row r="47" spans="1:17" s="34" customFormat="1" hidden="1" outlineLevel="1" x14ac:dyDescent="0.25">
      <c r="A47" s="35"/>
      <c r="B47" s="13" t="str">
        <f>CONCATENATE("          ","6373", " - ","MAINTENANCE CONTRACTS")</f>
        <v xml:space="preserve">          6373 - MAINTENANCE CONTRACTS</v>
      </c>
      <c r="C47" s="15"/>
      <c r="D47" s="2">
        <v>11992</v>
      </c>
      <c r="E47" s="2">
        <v>11992</v>
      </c>
      <c r="F47" s="2">
        <v>10192</v>
      </c>
      <c r="G47" s="2">
        <v>11992</v>
      </c>
      <c r="H47" s="2">
        <v>12650</v>
      </c>
      <c r="I47" s="2">
        <v>12650</v>
      </c>
      <c r="J47" s="2">
        <v>12650</v>
      </c>
      <c r="K47" s="2">
        <v>12650</v>
      </c>
      <c r="L47" s="2">
        <v>12650</v>
      </c>
      <c r="M47" s="2">
        <v>12650</v>
      </c>
      <c r="N47" s="2">
        <v>12650</v>
      </c>
      <c r="O47" s="2">
        <v>12650</v>
      </c>
      <c r="P47" s="9"/>
      <c r="Q47" s="2">
        <f>SUM(OSRRefD21_4_2x)+IFERROR(SUM(OSRRefE21_4_2x),0)</f>
        <v>147368</v>
      </c>
    </row>
    <row r="48" spans="1:17" s="34" customFormat="1" collapsed="1" x14ac:dyDescent="0.25">
      <c r="A48" s="35"/>
      <c r="B48" s="15" t="str">
        <f>CONCATENATE("     ","Subscriptions &amp; Dues                              ")</f>
        <v xml:space="preserve">     Subscriptions &amp; Dues                              </v>
      </c>
      <c r="C48" s="15"/>
      <c r="D48" s="1">
        <f>SUM(OSRRefD21_5x_0)</f>
        <v>0</v>
      </c>
      <c r="E48" s="1">
        <f>SUM(OSRRefD21_5x_1)</f>
        <v>0</v>
      </c>
      <c r="F48" s="1">
        <f>SUM(OSRRefD21_5x_2)</f>
        <v>0</v>
      </c>
      <c r="G48" s="1">
        <f>SUM(OSRRefD21_5x_3)</f>
        <v>0</v>
      </c>
      <c r="H48" s="1">
        <f>SUM(OSRRefE21_5x_0)</f>
        <v>100</v>
      </c>
      <c r="I48" s="1">
        <f>SUM(OSRRefE21_5x_1)</f>
        <v>100</v>
      </c>
      <c r="J48" s="1">
        <f>SUM(OSRRefE21_5x_2)</f>
        <v>100</v>
      </c>
      <c r="K48" s="1">
        <f>SUM(OSRRefE21_5x_3)</f>
        <v>100</v>
      </c>
      <c r="L48" s="1">
        <f>SUM(OSRRefE21_5x_4)</f>
        <v>100</v>
      </c>
      <c r="M48" s="1">
        <f>SUM(OSRRefE21_5x_5)</f>
        <v>100</v>
      </c>
      <c r="N48" s="1">
        <f>SUM(OSRRefE21_5x_6)</f>
        <v>100</v>
      </c>
      <c r="O48" s="1">
        <f>SUM(OSRRefE21_5x_7)</f>
        <v>100</v>
      </c>
      <c r="Q48" s="2">
        <f>SUM(OSRRefD20_5x)+IFERROR(SUM(OSRRefE20_5x),0)</f>
        <v>800</v>
      </c>
    </row>
    <row r="49" spans="1:17" s="34" customFormat="1" hidden="1" outlineLevel="1" x14ac:dyDescent="0.25">
      <c r="A49" s="35"/>
      <c r="B49" s="13" t="str">
        <f>CONCATENATE("          ","6275", " - ","SUBSCRIPTIONS")</f>
        <v xml:space="preserve">          6275 - SUBSCRIPTIONS</v>
      </c>
      <c r="C49" s="15"/>
      <c r="D49" s="2"/>
      <c r="E49" s="2"/>
      <c r="F49" s="2"/>
      <c r="G49" s="2"/>
      <c r="H49" s="2">
        <v>100</v>
      </c>
      <c r="I49" s="2">
        <v>100</v>
      </c>
      <c r="J49" s="2">
        <v>100</v>
      </c>
      <c r="K49" s="2">
        <v>100</v>
      </c>
      <c r="L49" s="2">
        <v>100</v>
      </c>
      <c r="M49" s="2">
        <v>100</v>
      </c>
      <c r="N49" s="2">
        <v>100</v>
      </c>
      <c r="O49" s="2">
        <v>100</v>
      </c>
      <c r="P49" s="9"/>
      <c r="Q49" s="2">
        <f>SUM(OSRRefD21_5_0x)+IFERROR(SUM(OSRRefE21_5_0x),0)</f>
        <v>800</v>
      </c>
    </row>
    <row r="50" spans="1:17" s="34" customFormat="1" collapsed="1" x14ac:dyDescent="0.25">
      <c r="A50" s="35"/>
      <c r="B50" s="15" t="str">
        <f>CONCATENATE("     ","Supplies                                          ")</f>
        <v xml:space="preserve">     Supplies                                          </v>
      </c>
      <c r="C50" s="15"/>
      <c r="D50" s="1">
        <f>SUM(OSRRefD21_6x_0)</f>
        <v>-55.46</v>
      </c>
      <c r="E50" s="1">
        <f>SUM(OSRRefD21_6x_1)</f>
        <v>11.38</v>
      </c>
      <c r="F50" s="1">
        <f>SUM(OSRRefD21_6x_2)</f>
        <v>-4457.97</v>
      </c>
      <c r="G50" s="1">
        <f>SUM(OSRRefD21_6x_3)</f>
        <v>60.63</v>
      </c>
      <c r="H50" s="1">
        <f>SUM(OSRRefE21_6x_0)</f>
        <v>300</v>
      </c>
      <c r="I50" s="1">
        <f>SUM(OSRRefE21_6x_1)</f>
        <v>300</v>
      </c>
      <c r="J50" s="1">
        <f>SUM(OSRRefE21_6x_2)</f>
        <v>300</v>
      </c>
      <c r="K50" s="1">
        <f>SUM(OSRRefE21_6x_3)</f>
        <v>300</v>
      </c>
      <c r="L50" s="1">
        <f>SUM(OSRRefE21_6x_4)</f>
        <v>300</v>
      </c>
      <c r="M50" s="1">
        <f>SUM(OSRRefE21_6x_5)</f>
        <v>300</v>
      </c>
      <c r="N50" s="1">
        <f>SUM(OSRRefE21_6x_6)</f>
        <v>300</v>
      </c>
      <c r="O50" s="1">
        <f>SUM(OSRRefE21_6x_7)</f>
        <v>300</v>
      </c>
      <c r="Q50" s="2">
        <f>SUM(OSRRefD20_6x)+IFERROR(SUM(OSRRefE20_6x),0)</f>
        <v>-2041.42</v>
      </c>
    </row>
    <row r="51" spans="1:17" s="34" customFormat="1" hidden="1" outlineLevel="1" x14ac:dyDescent="0.25">
      <c r="A51" s="35"/>
      <c r="B51" s="13" t="str">
        <f>CONCATENATE("          ","6241", " - ","OFFICE EXPENSE")</f>
        <v xml:space="preserve">          6241 - OFFICE EXPENSE</v>
      </c>
      <c r="C51" s="15"/>
      <c r="D51" s="2">
        <v>-55.46</v>
      </c>
      <c r="E51" s="2">
        <v>11.38</v>
      </c>
      <c r="F51" s="2">
        <v>-4457.97</v>
      </c>
      <c r="G51" s="2">
        <v>60.63</v>
      </c>
      <c r="H51" s="2">
        <v>300</v>
      </c>
      <c r="I51" s="2">
        <v>300</v>
      </c>
      <c r="J51" s="2">
        <v>300</v>
      </c>
      <c r="K51" s="2">
        <v>300</v>
      </c>
      <c r="L51" s="2">
        <v>300</v>
      </c>
      <c r="M51" s="2">
        <v>300</v>
      </c>
      <c r="N51" s="2">
        <v>300</v>
      </c>
      <c r="O51" s="2">
        <v>300</v>
      </c>
      <c r="P51" s="9"/>
      <c r="Q51" s="2">
        <f>SUM(OSRRefD21_6_0x)+IFERROR(SUM(OSRRefE21_6_0x),0)</f>
        <v>-2041.42</v>
      </c>
    </row>
    <row r="52" spans="1:17" s="34" customFormat="1" collapsed="1" x14ac:dyDescent="0.25">
      <c r="A52" s="35"/>
      <c r="B52" s="15" t="str">
        <f>CONCATENATE("     ","Telephone/Data Lines                              ")</f>
        <v xml:space="preserve">     Telephone/Data Lines                              </v>
      </c>
      <c r="C52" s="15"/>
      <c r="D52" s="1">
        <f>SUM(OSRRefD21_7x_0)</f>
        <v>856.77</v>
      </c>
      <c r="E52" s="1">
        <f>SUM(OSRRefD21_7x_1)</f>
        <v>1007.05</v>
      </c>
      <c r="F52" s="1">
        <f>SUM(OSRRefD21_7x_2)</f>
        <v>658.37</v>
      </c>
      <c r="G52" s="1">
        <f>SUM(OSRRefD21_7x_3)</f>
        <v>844.29</v>
      </c>
      <c r="H52" s="1">
        <f>SUM(OSRRefE21_7x_0)</f>
        <v>395</v>
      </c>
      <c r="I52" s="1">
        <f>SUM(OSRRefE21_7x_1)</f>
        <v>395</v>
      </c>
      <c r="J52" s="1">
        <f>SUM(OSRRefE21_7x_2)</f>
        <v>395</v>
      </c>
      <c r="K52" s="1">
        <f>SUM(OSRRefE21_7x_3)</f>
        <v>395</v>
      </c>
      <c r="L52" s="1">
        <f>SUM(OSRRefE21_7x_4)</f>
        <v>395</v>
      </c>
      <c r="M52" s="1">
        <f>SUM(OSRRefE21_7x_5)</f>
        <v>395</v>
      </c>
      <c r="N52" s="1">
        <f>SUM(OSRRefE21_7x_6)</f>
        <v>395</v>
      </c>
      <c r="O52" s="1">
        <f>SUM(OSRRefE21_7x_7)</f>
        <v>395</v>
      </c>
      <c r="Q52" s="2">
        <f>SUM(OSRRefD20_7x)+IFERROR(SUM(OSRRefE20_7x),0)</f>
        <v>6526.48</v>
      </c>
    </row>
    <row r="53" spans="1:17" s="34" customFormat="1" hidden="1" outlineLevel="1" x14ac:dyDescent="0.25">
      <c r="A53" s="35"/>
      <c r="B53" s="13" t="str">
        <f>CONCATENATE("          ","6303", " - ","DATA PHONE LINES")</f>
        <v xml:space="preserve">          6303 - DATA PHONE LINES</v>
      </c>
      <c r="C53" s="15"/>
      <c r="D53" s="2">
        <v>78.989999999999995</v>
      </c>
      <c r="E53" s="2">
        <v>78.989999999999995</v>
      </c>
      <c r="F53" s="2">
        <v>78.989999999999995</v>
      </c>
      <c r="G53" s="2">
        <v>143.97999999999999</v>
      </c>
      <c r="H53" s="2">
        <v>335</v>
      </c>
      <c r="I53" s="2">
        <v>335</v>
      </c>
      <c r="J53" s="2">
        <v>335</v>
      </c>
      <c r="K53" s="2">
        <v>335</v>
      </c>
      <c r="L53" s="2">
        <v>335</v>
      </c>
      <c r="M53" s="2">
        <v>335</v>
      </c>
      <c r="N53" s="2">
        <v>335</v>
      </c>
      <c r="O53" s="2">
        <v>335</v>
      </c>
      <c r="P53" s="9"/>
      <c r="Q53" s="2">
        <f>SUM(OSRRefD21_7_0x)+IFERROR(SUM(OSRRefE21_7_0x),0)</f>
        <v>3060.95</v>
      </c>
    </row>
    <row r="54" spans="1:17" s="34" customFormat="1" hidden="1" outlineLevel="1" x14ac:dyDescent="0.25">
      <c r="A54" s="35"/>
      <c r="B54" s="13" t="str">
        <f>CONCATENATE("          ","6309", " - ","TELEPHONE")</f>
        <v xml:space="preserve">          6309 - TELEPHONE</v>
      </c>
      <c r="C54" s="15"/>
      <c r="D54" s="2">
        <v>777.78</v>
      </c>
      <c r="E54" s="2">
        <v>928.06</v>
      </c>
      <c r="F54" s="2">
        <v>579.38</v>
      </c>
      <c r="G54" s="2">
        <v>700.31</v>
      </c>
      <c r="H54" s="2">
        <v>60</v>
      </c>
      <c r="I54" s="2">
        <v>60</v>
      </c>
      <c r="J54" s="2">
        <v>60</v>
      </c>
      <c r="K54" s="2">
        <v>60</v>
      </c>
      <c r="L54" s="2">
        <v>60</v>
      </c>
      <c r="M54" s="2">
        <v>60</v>
      </c>
      <c r="N54" s="2">
        <v>60</v>
      </c>
      <c r="O54" s="2">
        <v>60</v>
      </c>
      <c r="P54" s="9"/>
      <c r="Q54" s="2">
        <f>SUM(OSRRefD21_7_1x)+IFERROR(SUM(OSRRefE21_7_1x),0)</f>
        <v>3465.5299999999997</v>
      </c>
    </row>
    <row r="55" spans="1:17" s="34" customFormat="1" collapsed="1" x14ac:dyDescent="0.25">
      <c r="A55" s="35"/>
      <c r="B55" s="15" t="str">
        <f>CONCATENATE("     ","Travel                                            ")</f>
        <v xml:space="preserve">     Travel                                            </v>
      </c>
      <c r="C55" s="15"/>
      <c r="D55" s="1">
        <f>SUM(OSRRefD21_8x_0)</f>
        <v>0</v>
      </c>
      <c r="E55" s="1">
        <f>SUM(OSRRefD21_8x_1)</f>
        <v>0</v>
      </c>
      <c r="F55" s="1">
        <f>SUM(OSRRefD21_8x_2)</f>
        <v>0</v>
      </c>
      <c r="G55" s="1">
        <f>SUM(OSRRefD21_8x_3)</f>
        <v>0</v>
      </c>
      <c r="H55" s="1">
        <f>SUM(OSRRefE21_8x_0)</f>
        <v>625</v>
      </c>
      <c r="I55" s="1">
        <f>SUM(OSRRefE21_8x_1)</f>
        <v>625</v>
      </c>
      <c r="J55" s="1">
        <f>SUM(OSRRefE21_8x_2)</f>
        <v>625</v>
      </c>
      <c r="K55" s="1">
        <f>SUM(OSRRefE21_8x_3)</f>
        <v>625</v>
      </c>
      <c r="L55" s="1">
        <f>SUM(OSRRefE21_8x_4)</f>
        <v>625</v>
      </c>
      <c r="M55" s="1">
        <f>SUM(OSRRefE21_8x_5)</f>
        <v>625</v>
      </c>
      <c r="N55" s="1">
        <f>SUM(OSRRefE21_8x_6)</f>
        <v>625</v>
      </c>
      <c r="O55" s="1">
        <f>SUM(OSRRefE21_8x_7)</f>
        <v>625</v>
      </c>
      <c r="Q55" s="2">
        <f>SUM(OSRRefD20_8x)+IFERROR(SUM(OSRRefE20_8x),0)</f>
        <v>5000</v>
      </c>
    </row>
    <row r="56" spans="1:17" s="34" customFormat="1" hidden="1" outlineLevel="1" x14ac:dyDescent="0.25">
      <c r="A56" s="35"/>
      <c r="B56" s="13" t="str">
        <f>CONCATENATE("          ","6292", " - ","TRAVEL/CONFERENCE")</f>
        <v xml:space="preserve">          6292 - TRAVEL/CONFERENCE</v>
      </c>
      <c r="C56" s="15"/>
      <c r="D56" s="2"/>
      <c r="E56" s="2"/>
      <c r="F56" s="2"/>
      <c r="G56" s="2"/>
      <c r="H56" s="2">
        <v>625</v>
      </c>
      <c r="I56" s="2">
        <v>625</v>
      </c>
      <c r="J56" s="2">
        <v>625</v>
      </c>
      <c r="K56" s="2">
        <v>625</v>
      </c>
      <c r="L56" s="2">
        <v>625</v>
      </c>
      <c r="M56" s="2">
        <v>625</v>
      </c>
      <c r="N56" s="2">
        <v>625</v>
      </c>
      <c r="O56" s="2">
        <v>625</v>
      </c>
      <c r="P56" s="9"/>
      <c r="Q56" s="2">
        <f>SUM(OSRRefD21_8_0x)+IFERROR(SUM(OSRRefE21_8_0x),0)</f>
        <v>5000</v>
      </c>
    </row>
    <row r="57" spans="1:17" s="28" customFormat="1" x14ac:dyDescent="0.25">
      <c r="A57" s="20"/>
      <c r="B57" s="20"/>
      <c r="C57" s="20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Q57" s="1"/>
    </row>
    <row r="58" spans="1:17" s="9" customFormat="1" x14ac:dyDescent="0.25">
      <c r="A58" s="22"/>
      <c r="B58" s="16" t="s">
        <v>0</v>
      </c>
      <c r="C58" s="23"/>
      <c r="D58" s="3">
        <f t="shared" ref="D58:G58" si="4">0</f>
        <v>0</v>
      </c>
      <c r="E58" s="3">
        <f t="shared" si="4"/>
        <v>0</v>
      </c>
      <c r="F58" s="3">
        <f t="shared" si="4"/>
        <v>0</v>
      </c>
      <c r="G58" s="3">
        <f t="shared" si="4"/>
        <v>0</v>
      </c>
      <c r="H58" s="3"/>
      <c r="I58" s="3"/>
      <c r="J58" s="3"/>
      <c r="K58" s="3"/>
      <c r="L58" s="3"/>
      <c r="M58" s="3"/>
      <c r="N58" s="3"/>
      <c r="O58" s="3"/>
      <c r="Q58" s="2">
        <f>SUM(OSRRefD23_0x)+IFERROR(SUM(OSRRefE23_0x),0)</f>
        <v>0</v>
      </c>
    </row>
    <row r="59" spans="1:17" x14ac:dyDescent="0.25">
      <c r="A59" s="5"/>
      <c r="B59" s="8"/>
      <c r="C59" s="8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4" customFormat="1" x14ac:dyDescent="0.25">
      <c r="A60" s="8"/>
      <c r="B60" s="17" t="s">
        <v>3</v>
      </c>
      <c r="C60" s="17"/>
      <c r="D60" s="6">
        <f t="shared" ref="D60:O60" si="5">IFERROR(+D14-D17+D58, 0)</f>
        <v>-56908.759999999995</v>
      </c>
      <c r="E60" s="6">
        <f t="shared" si="5"/>
        <v>-49895.87</v>
      </c>
      <c r="F60" s="6">
        <f t="shared" si="5"/>
        <v>-43962.69</v>
      </c>
      <c r="G60" s="6">
        <f t="shared" si="5"/>
        <v>-60340.259999999995</v>
      </c>
      <c r="H60" s="6">
        <f t="shared" si="5"/>
        <v>-53052.635384615351</v>
      </c>
      <c r="I60" s="6">
        <f t="shared" si="5"/>
        <v>-21985</v>
      </c>
      <c r="J60" s="6">
        <f t="shared" si="5"/>
        <v>-51980.278846153888</v>
      </c>
      <c r="K60" s="6">
        <f t="shared" si="5"/>
        <v>-46812.223076923052</v>
      </c>
      <c r="L60" s="6">
        <f t="shared" si="5"/>
        <v>-46812.223076923052</v>
      </c>
      <c r="M60" s="6">
        <f t="shared" si="5"/>
        <v>-51980.278846153888</v>
      </c>
      <c r="N60" s="6">
        <f t="shared" si="5"/>
        <v>-46709.223076923052</v>
      </c>
      <c r="O60" s="6">
        <f t="shared" si="5"/>
        <v>-48974.223076923052</v>
      </c>
      <c r="Q60" s="6">
        <f>IFERROR(+Q14-Q17+Q58, 0)</f>
        <v>-579413.66538461531</v>
      </c>
    </row>
    <row r="61" spans="1:17" s="8" customFormat="1" x14ac:dyDescent="0.25">
      <c r="B61" s="16"/>
      <c r="C61" s="16"/>
      <c r="D61" s="4">
        <f t="shared" ref="D61:O61" si="6">IFERROR(D60/D10, 0)</f>
        <v>0</v>
      </c>
      <c r="E61" s="4">
        <f t="shared" si="6"/>
        <v>0</v>
      </c>
      <c r="F61" s="4">
        <f t="shared" si="6"/>
        <v>0</v>
      </c>
      <c r="G61" s="4">
        <f t="shared" si="6"/>
        <v>0</v>
      </c>
      <c r="H61" s="4">
        <f t="shared" si="6"/>
        <v>0</v>
      </c>
      <c r="I61" s="4">
        <f t="shared" si="6"/>
        <v>0</v>
      </c>
      <c r="J61" s="4">
        <f t="shared" si="6"/>
        <v>0</v>
      </c>
      <c r="K61" s="4">
        <f t="shared" si="6"/>
        <v>0</v>
      </c>
      <c r="L61" s="4">
        <f t="shared" si="6"/>
        <v>0</v>
      </c>
      <c r="M61" s="4">
        <f t="shared" si="6"/>
        <v>0</v>
      </c>
      <c r="N61" s="4">
        <f t="shared" si="6"/>
        <v>0</v>
      </c>
      <c r="O61" s="4">
        <f t="shared" si="6"/>
        <v>0</v>
      </c>
      <c r="P61" s="18"/>
      <c r="Q61" s="4">
        <f>IFERROR(Q60/Q10, 0)</f>
        <v>0</v>
      </c>
    </row>
    <row r="62" spans="1:17" x14ac:dyDescent="0.25">
      <c r="A62" s="5"/>
      <c r="B62" s="8"/>
      <c r="C62" s="5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Q62" s="3"/>
    </row>
    <row r="63" spans="1:17" s="14" customFormat="1" x14ac:dyDescent="0.25">
      <c r="A63" s="25"/>
      <c r="B63" s="8" t="s">
        <v>8</v>
      </c>
      <c r="C63" s="8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2">
        <f>SUM(OSRRefD28_0x)+IFERROR(SUM(OSRRefE28_0x),0)</f>
        <v>0</v>
      </c>
    </row>
    <row r="64" spans="1:17" x14ac:dyDescent="0.25">
      <c r="A64" s="5"/>
      <c r="B64" s="8"/>
      <c r="C64" s="8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s="14" customFormat="1" ht="15.75" thickBot="1" x14ac:dyDescent="0.3">
      <c r="A65" s="8"/>
      <c r="B65" s="17" t="s">
        <v>4</v>
      </c>
      <c r="C65" s="17"/>
      <c r="D65" s="7">
        <f t="shared" ref="D65:O65" si="7">IFERROR(+D60-D63, 0)</f>
        <v>-56908.759999999995</v>
      </c>
      <c r="E65" s="7">
        <f t="shared" si="7"/>
        <v>-49895.87</v>
      </c>
      <c r="F65" s="7">
        <f t="shared" si="7"/>
        <v>-43962.69</v>
      </c>
      <c r="G65" s="7">
        <f t="shared" si="7"/>
        <v>-60340.259999999995</v>
      </c>
      <c r="H65" s="7">
        <f t="shared" si="7"/>
        <v>-53052.635384615351</v>
      </c>
      <c r="I65" s="7">
        <f t="shared" si="7"/>
        <v>-21985</v>
      </c>
      <c r="J65" s="7">
        <f t="shared" si="7"/>
        <v>-51980.278846153888</v>
      </c>
      <c r="K65" s="7">
        <f t="shared" si="7"/>
        <v>-46812.223076923052</v>
      </c>
      <c r="L65" s="7">
        <f t="shared" si="7"/>
        <v>-46812.223076923052</v>
      </c>
      <c r="M65" s="7">
        <f t="shared" si="7"/>
        <v>-51980.278846153888</v>
      </c>
      <c r="N65" s="7">
        <f t="shared" si="7"/>
        <v>-46709.223076923052</v>
      </c>
      <c r="O65" s="7">
        <f t="shared" si="7"/>
        <v>-48974.223076923052</v>
      </c>
      <c r="Q65" s="7">
        <f>IFERROR(+Q60-Q63, 0)</f>
        <v>-579413.66538461531</v>
      </c>
    </row>
    <row r="66" spans="1:17" ht="15.75" thickTop="1" x14ac:dyDescent="0.25">
      <c r="A66" s="5"/>
      <c r="B66" s="5"/>
      <c r="C66" s="5"/>
      <c r="D66" s="4">
        <f t="shared" ref="D66:O66" si="8">IFERROR(D65/D10, 0)</f>
        <v>0</v>
      </c>
      <c r="E66" s="4">
        <f t="shared" si="8"/>
        <v>0</v>
      </c>
      <c r="F66" s="4">
        <f t="shared" si="8"/>
        <v>0</v>
      </c>
      <c r="G66" s="4">
        <f t="shared" si="8"/>
        <v>0</v>
      </c>
      <c r="H66" s="4">
        <f t="shared" si="8"/>
        <v>0</v>
      </c>
      <c r="I66" s="4">
        <f t="shared" si="8"/>
        <v>0</v>
      </c>
      <c r="J66" s="4">
        <f t="shared" si="8"/>
        <v>0</v>
      </c>
      <c r="K66" s="4">
        <f t="shared" si="8"/>
        <v>0</v>
      </c>
      <c r="L66" s="4">
        <f t="shared" si="8"/>
        <v>0</v>
      </c>
      <c r="M66" s="4">
        <f t="shared" si="8"/>
        <v>0</v>
      </c>
      <c r="N66" s="4">
        <f t="shared" si="8"/>
        <v>0</v>
      </c>
      <c r="O66" s="4">
        <f t="shared" si="8"/>
        <v>0</v>
      </c>
      <c r="P66" s="18"/>
      <c r="Q66" s="4">
        <f>IFERROR(Q65/Q10, 0)</f>
        <v>0</v>
      </c>
    </row>
    <row r="67" spans="1:17" x14ac:dyDescent="0.25">
      <c r="A67" s="5"/>
      <c r="B67" s="5"/>
      <c r="C67" s="5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3"/>
    </row>
    <row r="68" spans="1:17" x14ac:dyDescent="0.25">
      <c r="A68" s="5"/>
      <c r="B68" s="5"/>
      <c r="C68" s="5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4" customFormat="1" ht="15.75" thickBot="1" x14ac:dyDescent="0.3">
      <c r="A69" s="8"/>
      <c r="B69" s="17" t="s">
        <v>5</v>
      </c>
      <c r="C69" s="17"/>
      <c r="D69" s="7">
        <f t="shared" ref="D69:O69" si="9">IFERROR(SUM(D65:D68), 0)</f>
        <v>-56908.759999999995</v>
      </c>
      <c r="E69" s="7">
        <f t="shared" si="9"/>
        <v>-49895.87</v>
      </c>
      <c r="F69" s="7">
        <f t="shared" si="9"/>
        <v>-43962.69</v>
      </c>
      <c r="G69" s="7">
        <f t="shared" si="9"/>
        <v>-60340.259999999995</v>
      </c>
      <c r="H69" s="7">
        <f t="shared" si="9"/>
        <v>-53052.635384615351</v>
      </c>
      <c r="I69" s="7">
        <f t="shared" si="9"/>
        <v>-21985</v>
      </c>
      <c r="J69" s="7">
        <f t="shared" si="9"/>
        <v>-51980.278846153888</v>
      </c>
      <c r="K69" s="7">
        <f t="shared" si="9"/>
        <v>-46812.223076923052</v>
      </c>
      <c r="L69" s="7">
        <f t="shared" si="9"/>
        <v>-46812.223076923052</v>
      </c>
      <c r="M69" s="7">
        <f t="shared" si="9"/>
        <v>-51980.278846153888</v>
      </c>
      <c r="N69" s="7">
        <f t="shared" si="9"/>
        <v>-46709.223076923052</v>
      </c>
      <c r="O69" s="7">
        <f t="shared" si="9"/>
        <v>-48974.223076923052</v>
      </c>
      <c r="Q69" s="7">
        <f>IFERROR(SUM(Q65:Q68), 0)</f>
        <v>-579413.66538461531</v>
      </c>
    </row>
    <row r="70" spans="1:17" ht="15.75" thickTop="1" x14ac:dyDescent="0.25">
      <c r="A70" s="5"/>
      <c r="C70" s="5"/>
      <c r="D70" s="4">
        <f t="shared" ref="D70:O70" si="10">IFERROR(D69/D10, 0)</f>
        <v>0</v>
      </c>
      <c r="E70" s="4">
        <f t="shared" si="10"/>
        <v>0</v>
      </c>
      <c r="F70" s="4">
        <f t="shared" si="10"/>
        <v>0</v>
      </c>
      <c r="G70" s="4">
        <f t="shared" si="10"/>
        <v>0</v>
      </c>
      <c r="H70" s="4">
        <f t="shared" si="10"/>
        <v>0</v>
      </c>
      <c r="I70" s="4">
        <f t="shared" si="10"/>
        <v>0</v>
      </c>
      <c r="J70" s="4">
        <f t="shared" si="10"/>
        <v>0</v>
      </c>
      <c r="K70" s="4">
        <f t="shared" si="10"/>
        <v>0</v>
      </c>
      <c r="L70" s="4">
        <f t="shared" si="10"/>
        <v>0</v>
      </c>
      <c r="M70" s="4">
        <f t="shared" si="10"/>
        <v>0</v>
      </c>
      <c r="N70" s="4">
        <f t="shared" si="10"/>
        <v>0</v>
      </c>
      <c r="O70" s="4">
        <f t="shared" si="10"/>
        <v>0</v>
      </c>
      <c r="P70" s="18"/>
      <c r="Q70" s="4">
        <f>IFERROR(Q69/Q10, 0)</f>
        <v>0</v>
      </c>
    </row>
    <row r="71" spans="1:17" x14ac:dyDescent="0.25">
      <c r="A71" s="5"/>
      <c r="B71" s="26">
        <v>44151.564735497683</v>
      </c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Q71" s="12"/>
    </row>
    <row r="72" spans="1:17" x14ac:dyDescent="0.25">
      <c r="A72" s="5"/>
      <c r="B72" s="30" t="s">
        <v>311</v>
      </c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Q72" s="12"/>
    </row>
    <row r="73" spans="1:17" x14ac:dyDescent="0.25">
      <c r="A73" s="5"/>
      <c r="B73" s="31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Q73" s="12"/>
    </row>
    <row r="74" spans="1:17" x14ac:dyDescent="0.25"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Q74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7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","205", " - ", "Maintenance")</f>
        <v>Department 205 - Maintenance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0">
        <f>SUM(OSRRefD20x_0)</f>
        <v>9379.26</v>
      </c>
      <c r="E17" s="10">
        <f>SUM(OSRRefD20x_1)</f>
        <v>7276.8300000000008</v>
      </c>
      <c r="F17" s="10">
        <f>SUM(OSRRefD20x_2)</f>
        <v>7471.87</v>
      </c>
      <c r="G17" s="10">
        <f>SUM(OSRRefD20x_3)</f>
        <v>9324.8100000000013</v>
      </c>
      <c r="H17" s="10">
        <f>SUM(OSRRefE20x_0)</f>
        <v>6990.2521538461542</v>
      </c>
      <c r="I17" s="10">
        <f>SUM(OSRRefE20x_1)</f>
        <v>7140.2521538461542</v>
      </c>
      <c r="J17" s="10">
        <f>SUM(OSRRefE20x_2)</f>
        <v>8531.0651923076912</v>
      </c>
      <c r="K17" s="10">
        <f>SUM(OSRRefE20x_3)</f>
        <v>7140.2521538461542</v>
      </c>
      <c r="L17" s="10">
        <f>SUM(OSRRefE20x_4)</f>
        <v>7140.2521538461542</v>
      </c>
      <c r="M17" s="10">
        <f>SUM(OSRRefE20x_5)</f>
        <v>13531.065192307691</v>
      </c>
      <c r="N17" s="10">
        <f>SUM(OSRRefE20x_6)</f>
        <v>7140.2521538461542</v>
      </c>
      <c r="O17" s="10">
        <f>SUM(OSRRefE20x_7)</f>
        <v>7290.2521538461542</v>
      </c>
      <c r="Q17" s="10">
        <f>SUM(OSRRefG20x)</f>
        <v>98356.413307692317</v>
      </c>
    </row>
    <row r="18" spans="1:17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2556.7599999999998</v>
      </c>
      <c r="E18" s="1">
        <f>SUM(OSRRefD21_0x_1)</f>
        <v>2346.52</v>
      </c>
      <c r="F18" s="1">
        <f>SUM(OSRRefD21_0x_2)</f>
        <v>2350.64</v>
      </c>
      <c r="G18" s="1">
        <f>SUM(OSRRefD21_0x_3)</f>
        <v>2395.64</v>
      </c>
      <c r="H18" s="1">
        <f>SUM(OSRRefE21_0x_0)</f>
        <v>1825.2521538461542</v>
      </c>
      <c r="I18" s="1">
        <f>SUM(OSRRefE21_0x_1)</f>
        <v>1825.2521538461542</v>
      </c>
      <c r="J18" s="1">
        <f>SUM(OSRRefE21_0x_2)</f>
        <v>2281.5651923076921</v>
      </c>
      <c r="K18" s="1">
        <f>SUM(OSRRefE21_0x_3)</f>
        <v>1825.2521538461542</v>
      </c>
      <c r="L18" s="1">
        <f>SUM(OSRRefE21_0x_4)</f>
        <v>1825.2521538461542</v>
      </c>
      <c r="M18" s="1">
        <f>SUM(OSRRefE21_0x_5)</f>
        <v>2281.5651923076921</v>
      </c>
      <c r="N18" s="1">
        <f>SUM(OSRRefE21_0x_6)</f>
        <v>1825.2521538461542</v>
      </c>
      <c r="O18" s="1">
        <f>SUM(OSRRefE21_0x_7)</f>
        <v>1825.2521538461542</v>
      </c>
      <c r="Q18" s="2">
        <f>SUM(OSRRefD20_0x)+IFERROR(SUM(OSRRefE20_0x),0)</f>
        <v>25164.203307692311</v>
      </c>
    </row>
    <row r="19" spans="1:17" s="34" customFormat="1" hidden="1" outlineLevel="1" x14ac:dyDescent="0.25">
      <c r="A19" s="35"/>
      <c r="B19" s="13" t="str">
        <f>CONCATENATE("          ","6111", " - ","F.I.C.A.")</f>
        <v xml:space="preserve">          6111 - F.I.C.A.</v>
      </c>
      <c r="C19" s="15"/>
      <c r="D19" s="2">
        <v>318.56</v>
      </c>
      <c r="E19" s="2">
        <v>315.83999999999997</v>
      </c>
      <c r="F19" s="2">
        <v>315.83999999999997</v>
      </c>
      <c r="G19" s="2">
        <v>473.76</v>
      </c>
      <c r="H19" s="2">
        <v>321.42599999999999</v>
      </c>
      <c r="I19" s="2">
        <v>321.42599999999999</v>
      </c>
      <c r="J19" s="2">
        <v>401.78250000000003</v>
      </c>
      <c r="K19" s="2">
        <v>321.42599999999999</v>
      </c>
      <c r="L19" s="2">
        <v>321.42599999999999</v>
      </c>
      <c r="M19" s="2">
        <v>401.78250000000003</v>
      </c>
      <c r="N19" s="2">
        <v>321.42599999999999</v>
      </c>
      <c r="O19" s="2">
        <v>321.42599999999999</v>
      </c>
      <c r="P19" s="9"/>
      <c r="Q19" s="2">
        <f>SUM(OSRRefD21_0_0x)+IFERROR(SUM(OSRRefE21_0_0x),0)</f>
        <v>4156.1210000000001</v>
      </c>
    </row>
    <row r="20" spans="1:17" s="34" customFormat="1" hidden="1" outlineLevel="1" x14ac:dyDescent="0.2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288.58999999999997</v>
      </c>
      <c r="E20" s="2">
        <v>286.13</v>
      </c>
      <c r="F20" s="2">
        <v>286.13</v>
      </c>
      <c r="G20" s="2">
        <v>286.13</v>
      </c>
      <c r="H20" s="2">
        <v>291.06</v>
      </c>
      <c r="I20" s="2">
        <v>291.06</v>
      </c>
      <c r="J20" s="2">
        <v>363.82499999999999</v>
      </c>
      <c r="K20" s="2">
        <v>291.06</v>
      </c>
      <c r="L20" s="2">
        <v>291.06</v>
      </c>
      <c r="M20" s="2">
        <v>363.82499999999999</v>
      </c>
      <c r="N20" s="2">
        <v>291.06</v>
      </c>
      <c r="O20" s="2">
        <v>291.06</v>
      </c>
      <c r="P20" s="9"/>
      <c r="Q20" s="2">
        <f>SUM(OSRRefD21_0_1x)+IFERROR(SUM(OSRRefE21_0_1x),0)</f>
        <v>3620.99</v>
      </c>
    </row>
    <row r="21" spans="1:17" s="34" customFormat="1" hidden="1" outlineLevel="1" x14ac:dyDescent="0.25">
      <c r="A21" s="35"/>
      <c r="B21" s="13" t="str">
        <f>CONCATENATE("          ","6113", " - ","GROUP INSURANCE")</f>
        <v xml:space="preserve">          6113 - GROUP INSURANCE</v>
      </c>
      <c r="C21" s="15"/>
      <c r="D21" s="2">
        <v>696.16</v>
      </c>
      <c r="E21" s="2">
        <v>696.16</v>
      </c>
      <c r="F21" s="2">
        <v>696.16</v>
      </c>
      <c r="G21" s="2">
        <v>696.16</v>
      </c>
      <c r="H21" s="2">
        <v>613.84615384615404</v>
      </c>
      <c r="I21" s="2">
        <v>613.84615384615404</v>
      </c>
      <c r="J21" s="2">
        <v>767.30769230769204</v>
      </c>
      <c r="K21" s="2">
        <v>613.84615384615404</v>
      </c>
      <c r="L21" s="2">
        <v>613.84615384615404</v>
      </c>
      <c r="M21" s="2">
        <v>767.30769230769204</v>
      </c>
      <c r="N21" s="2">
        <v>613.84615384615404</v>
      </c>
      <c r="O21" s="2">
        <v>613.84615384615404</v>
      </c>
      <c r="P21" s="9"/>
      <c r="Q21" s="2">
        <f>SUM(OSRRefD21_0_2x)+IFERROR(SUM(OSRRefE21_0_2x),0)</f>
        <v>8002.3323076923079</v>
      </c>
    </row>
    <row r="22" spans="1:17" s="34" customFormat="1" hidden="1" outlineLevel="1" x14ac:dyDescent="0.2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10.83</v>
      </c>
      <c r="E22" s="2">
        <v>10.74</v>
      </c>
      <c r="F22" s="2">
        <v>10.74</v>
      </c>
      <c r="G22" s="2">
        <v>10.74</v>
      </c>
      <c r="H22" s="2">
        <v>10.92</v>
      </c>
      <c r="I22" s="2">
        <v>10.92</v>
      </c>
      <c r="J22" s="2">
        <v>13.65</v>
      </c>
      <c r="K22" s="2">
        <v>10.92</v>
      </c>
      <c r="L22" s="2">
        <v>10.92</v>
      </c>
      <c r="M22" s="2">
        <v>13.65</v>
      </c>
      <c r="N22" s="2">
        <v>10.92</v>
      </c>
      <c r="O22" s="2">
        <v>10.92</v>
      </c>
      <c r="P22" s="9"/>
      <c r="Q22" s="2">
        <f>SUM(OSRRefD21_0_3x)+IFERROR(SUM(OSRRefE21_0_3x),0)</f>
        <v>135.87</v>
      </c>
    </row>
    <row r="23" spans="1:17" s="34" customFormat="1" hidden="1" outlineLevel="1" x14ac:dyDescent="0.25">
      <c r="A23" s="35"/>
      <c r="B23" s="13" t="str">
        <f>CONCATENATE("          ","6115", " - ","P.E.R.S.")</f>
        <v xml:space="preserve">          6115 - P.E.R.S.</v>
      </c>
      <c r="C23" s="15"/>
      <c r="D23" s="2">
        <v>694.91</v>
      </c>
      <c r="E23" s="2">
        <v>463.27</v>
      </c>
      <c r="F23" s="2">
        <v>463.27</v>
      </c>
      <c r="G23" s="2">
        <v>463.27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2084.7199999999998</v>
      </c>
    </row>
    <row r="24" spans="1:17" s="34" customFormat="1" hidden="1" outlineLevel="1" x14ac:dyDescent="0.25">
      <c r="A24" s="35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3" t="str">
        <f>CONCATENATE("          ","6118", " - ","VACATION")</f>
        <v xml:space="preserve">          6118 - VACATION</v>
      </c>
      <c r="C25" s="15"/>
      <c r="D25" s="2">
        <v>209.99</v>
      </c>
      <c r="E25" s="2">
        <v>226</v>
      </c>
      <c r="F25" s="2">
        <v>209.99</v>
      </c>
      <c r="G25" s="2"/>
      <c r="H25" s="2">
        <v>420</v>
      </c>
      <c r="I25" s="2">
        <v>420</v>
      </c>
      <c r="J25" s="2">
        <v>525</v>
      </c>
      <c r="K25" s="2">
        <v>420</v>
      </c>
      <c r="L25" s="2">
        <v>420</v>
      </c>
      <c r="M25" s="2">
        <v>525</v>
      </c>
      <c r="N25" s="2">
        <v>420</v>
      </c>
      <c r="O25" s="2">
        <v>420</v>
      </c>
      <c r="P25" s="9"/>
      <c r="Q25" s="2">
        <f>SUM(OSRRefD21_0_6x)+IFERROR(SUM(OSRRefE21_0_6x),0)</f>
        <v>4215.9799999999996</v>
      </c>
    </row>
    <row r="26" spans="1:17" s="34" customFormat="1" hidden="1" outlineLevel="1" x14ac:dyDescent="0.25">
      <c r="A26" s="35"/>
      <c r="B26" s="13" t="str">
        <f>CONCATENATE("          ","6119", " - ","SICK LEAVE")</f>
        <v xml:space="preserve">          6119 - SICK LEAVE</v>
      </c>
      <c r="C26" s="15"/>
      <c r="D26" s="2">
        <v>193.72</v>
      </c>
      <c r="E26" s="2">
        <v>193.72</v>
      </c>
      <c r="F26" s="2">
        <v>193.72</v>
      </c>
      <c r="G26" s="2">
        <v>290.58</v>
      </c>
      <c r="H26" s="2">
        <v>168</v>
      </c>
      <c r="I26" s="2">
        <v>168</v>
      </c>
      <c r="J26" s="2">
        <v>210</v>
      </c>
      <c r="K26" s="2">
        <v>168</v>
      </c>
      <c r="L26" s="2">
        <v>168</v>
      </c>
      <c r="M26" s="2">
        <v>210</v>
      </c>
      <c r="N26" s="2">
        <v>168</v>
      </c>
      <c r="O26" s="2">
        <v>168</v>
      </c>
      <c r="P26" s="9"/>
      <c r="Q26" s="2">
        <f>SUM(OSRRefD21_0_7x)+IFERROR(SUM(OSRRefE21_0_7x),0)</f>
        <v>2299.7399999999998</v>
      </c>
    </row>
    <row r="27" spans="1:17" s="34" customFormat="1" hidden="1" outlineLevel="1" x14ac:dyDescent="0.25">
      <c r="A27" s="35"/>
      <c r="B27" s="13" t="str">
        <f>CONCATENATE("          ","6156", " - ","EMPLOYEE MEALS")</f>
        <v xml:space="preserve">          6156 - EMPLOYEE MEALS</v>
      </c>
      <c r="C27" s="15"/>
      <c r="D27" s="2">
        <v>144</v>
      </c>
      <c r="E27" s="2">
        <v>154.66</v>
      </c>
      <c r="F27" s="2">
        <v>174.79</v>
      </c>
      <c r="G27" s="2">
        <v>175</v>
      </c>
      <c r="H27" s="2"/>
      <c r="I27" s="2"/>
      <c r="J27" s="2"/>
      <c r="K27" s="2"/>
      <c r="L27" s="2"/>
      <c r="M27" s="2"/>
      <c r="N27" s="2"/>
      <c r="O27" s="2"/>
      <c r="P27" s="9"/>
      <c r="Q27" s="2">
        <f>SUM(OSRRefD21_0_8x)+IFERROR(SUM(OSRRefE21_0_8x),0)</f>
        <v>648.44999999999993</v>
      </c>
    </row>
    <row r="28" spans="1:17" s="34" customFormat="1" collapsed="1" x14ac:dyDescent="0.25">
      <c r="A28" s="35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5039.75</v>
      </c>
      <c r="E28" s="1">
        <f>SUM(OSRRefD21_1x_1)</f>
        <v>3989.75</v>
      </c>
      <c r="F28" s="1">
        <f>SUM(OSRRefD21_1x_2)</f>
        <v>3989.75</v>
      </c>
      <c r="G28" s="1">
        <f>SUM(OSRRefD21_1x_3)</f>
        <v>5249.61</v>
      </c>
      <c r="H28" s="1">
        <f>SUM(OSRRefE21_1x_0)</f>
        <v>3738</v>
      </c>
      <c r="I28" s="1">
        <f>SUM(OSRRefE21_1x_1)</f>
        <v>3738</v>
      </c>
      <c r="J28" s="1">
        <f>SUM(OSRRefE21_1x_2)</f>
        <v>4672.5</v>
      </c>
      <c r="K28" s="1">
        <f>SUM(OSRRefE21_1x_3)</f>
        <v>3738</v>
      </c>
      <c r="L28" s="1">
        <f>SUM(OSRRefE21_1x_4)</f>
        <v>3738</v>
      </c>
      <c r="M28" s="1">
        <f>SUM(OSRRefE21_1x_5)</f>
        <v>4672.5</v>
      </c>
      <c r="N28" s="1">
        <f>SUM(OSRRefE21_1x_6)</f>
        <v>3738</v>
      </c>
      <c r="O28" s="1">
        <f>SUM(OSRRefE21_1x_7)</f>
        <v>3738</v>
      </c>
      <c r="Q28" s="2">
        <f>SUM(OSRRefD20_1x)+IFERROR(SUM(OSRRefE20_1x),0)</f>
        <v>50041.86</v>
      </c>
    </row>
    <row r="29" spans="1:17" s="34" customFormat="1" hidden="1" outlineLevel="1" x14ac:dyDescent="0.25">
      <c r="A29" s="35"/>
      <c r="B29" s="13" t="str">
        <f>CONCATENATE("          ","6001", " - ","ADMINISTRATIVE SALARIES")</f>
        <v xml:space="preserve">          6001 - ADMINISTRATIVE SALARIES</v>
      </c>
      <c r="C29" s="15"/>
      <c r="D29" s="2"/>
      <c r="E29" s="2"/>
      <c r="F29" s="2"/>
      <c r="G29" s="2"/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4" customFormat="1" hidden="1" outlineLevel="1" x14ac:dyDescent="0.25">
      <c r="A30" s="35"/>
      <c r="B30" s="13" t="str">
        <f>CONCATENATE("          ","6002", " - ","STAFF SALARIES")</f>
        <v xml:space="preserve">          6002 - STAFF SALARIES</v>
      </c>
      <c r="C30" s="15"/>
      <c r="D30" s="2">
        <v>5039.75</v>
      </c>
      <c r="E30" s="2">
        <v>3989.75</v>
      </c>
      <c r="F30" s="2">
        <v>3989.75</v>
      </c>
      <c r="G30" s="2">
        <v>5249.61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18268.86</v>
      </c>
    </row>
    <row r="31" spans="1:17" s="34" customFormat="1" hidden="1" outlineLevel="1" x14ac:dyDescent="0.25">
      <c r="A31" s="35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25">
      <c r="A32" s="35"/>
      <c r="B32" s="13" t="str">
        <f>CONCATENATE("          ","6004", " - ","STAFF HOURLY")</f>
        <v xml:space="preserve">          6004 - STAFF HOURLY</v>
      </c>
      <c r="C32" s="15"/>
      <c r="D32" s="2"/>
      <c r="E32" s="2"/>
      <c r="F32" s="2"/>
      <c r="G32" s="2"/>
      <c r="H32" s="2">
        <v>3738</v>
      </c>
      <c r="I32" s="2">
        <v>3738</v>
      </c>
      <c r="J32" s="2">
        <v>4672.5</v>
      </c>
      <c r="K32" s="2">
        <v>3738</v>
      </c>
      <c r="L32" s="2">
        <v>3738</v>
      </c>
      <c r="M32" s="2">
        <v>4672.5</v>
      </c>
      <c r="N32" s="2">
        <v>3738</v>
      </c>
      <c r="O32" s="2">
        <v>3738</v>
      </c>
      <c r="P32" s="9"/>
      <c r="Q32" s="2">
        <f>SUM(OSRRefD21_1_3x)+IFERROR(SUM(OSRRefE21_1_3x),0)</f>
        <v>31773</v>
      </c>
    </row>
    <row r="33" spans="1:17" s="34" customFormat="1" hidden="1" outlineLevel="1" x14ac:dyDescent="0.25">
      <c r="A33" s="35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25">
      <c r="A34" s="35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25">
      <c r="A35" s="35"/>
      <c r="B35" s="13" t="str">
        <f>CONCATENATE("          ","6007", " - ","STUDENT HOURLY")</f>
        <v xml:space="preserve">          6007 - STUDENT HOURLY</v>
      </c>
      <c r="C35" s="15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25">
      <c r="A36" s="35"/>
      <c r="B36" s="13" t="str">
        <f>CONCATENATE("          ","6008", " - ","STUDENT HOURLY-FICA EXEMPT")</f>
        <v xml:space="preserve">          6008 - STUDENT HOURLY-FICA EXEMPT</v>
      </c>
      <c r="C36" s="15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25">
      <c r="A37" s="35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25">
      <c r="A38" s="35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25">
      <c r="A39" s="35"/>
      <c r="B39" s="15" t="str">
        <f>CONCATENATE("     ","General                                           ")</f>
        <v xml:space="preserve">     General                                           </v>
      </c>
      <c r="C39" s="15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0</v>
      </c>
      <c r="H39" s="1">
        <f>SUM(OSRRefE21_2x_0)</f>
        <v>-150</v>
      </c>
      <c r="I39" s="1">
        <f>SUM(OSRRefE21_2x_1)</f>
        <v>-150</v>
      </c>
      <c r="J39" s="1">
        <f>SUM(OSRRefE21_2x_2)</f>
        <v>0</v>
      </c>
      <c r="K39" s="1">
        <f>SUM(OSRRefE21_2x_3)</f>
        <v>0</v>
      </c>
      <c r="L39" s="1">
        <f>SUM(OSRRefE21_2x_4)</f>
        <v>-150</v>
      </c>
      <c r="M39" s="1">
        <f>SUM(OSRRefE21_2x_5)</f>
        <v>0</v>
      </c>
      <c r="N39" s="1">
        <f>SUM(OSRRefE21_2x_6)</f>
        <v>0</v>
      </c>
      <c r="O39" s="1">
        <f>SUM(OSRRefE21_2x_7)</f>
        <v>0</v>
      </c>
      <c r="Q39" s="2">
        <f>SUM(OSRRefD20_2x)+IFERROR(SUM(OSRRefE20_2x),0)</f>
        <v>-450</v>
      </c>
    </row>
    <row r="40" spans="1:17" s="34" customFormat="1" hidden="1" outlineLevel="1" x14ac:dyDescent="0.25">
      <c r="A40" s="35"/>
      <c r="B40" s="13" t="str">
        <f>CONCATENATE("          ","6279", " - ","GENERAL EXPENSE")</f>
        <v xml:space="preserve">          6279 - GENERAL EXPENSE</v>
      </c>
      <c r="C40" s="15"/>
      <c r="D40" s="2"/>
      <c r="E40" s="2"/>
      <c r="F40" s="2"/>
      <c r="G40" s="2"/>
      <c r="H40" s="2">
        <v>-150</v>
      </c>
      <c r="I40" s="2">
        <v>-150</v>
      </c>
      <c r="J40" s="2"/>
      <c r="K40" s="2"/>
      <c r="L40" s="2">
        <v>-150</v>
      </c>
      <c r="M40" s="2"/>
      <c r="N40" s="2"/>
      <c r="O40" s="2"/>
      <c r="P40" s="9"/>
      <c r="Q40" s="2">
        <f>SUM(OSRRefD21_2_0x)+IFERROR(SUM(OSRRefE21_2_0x),0)</f>
        <v>-450</v>
      </c>
    </row>
    <row r="41" spans="1:17" s="34" customFormat="1" collapsed="1" x14ac:dyDescent="0.25">
      <c r="A41" s="35"/>
      <c r="B41" s="15" t="str">
        <f>CONCATENATE("     ","Insurance                                         ")</f>
        <v xml:space="preserve">     Insurance                                         </v>
      </c>
      <c r="C41" s="15"/>
      <c r="D41" s="1">
        <f>SUM(OSRRefD21_3x_0)</f>
        <v>24.56</v>
      </c>
      <c r="E41" s="1">
        <f>SUM(OSRRefD21_3x_1)</f>
        <v>24.56</v>
      </c>
      <c r="F41" s="1">
        <f>SUM(OSRRefD21_3x_2)</f>
        <v>24.56</v>
      </c>
      <c r="G41" s="1">
        <f>SUM(OSRRefD21_3x_3)</f>
        <v>24.56</v>
      </c>
      <c r="H41" s="1">
        <f>SUM(OSRRefE21_3x_0)</f>
        <v>27</v>
      </c>
      <c r="I41" s="1">
        <f>SUM(OSRRefE21_3x_1)</f>
        <v>27</v>
      </c>
      <c r="J41" s="1">
        <f>SUM(OSRRefE21_3x_2)</f>
        <v>27</v>
      </c>
      <c r="K41" s="1">
        <f>SUM(OSRRefE21_3x_3)</f>
        <v>27</v>
      </c>
      <c r="L41" s="1">
        <f>SUM(OSRRefE21_3x_4)</f>
        <v>27</v>
      </c>
      <c r="M41" s="1">
        <f>SUM(OSRRefE21_3x_5)</f>
        <v>27</v>
      </c>
      <c r="N41" s="1">
        <f>SUM(OSRRefE21_3x_6)</f>
        <v>27</v>
      </c>
      <c r="O41" s="1">
        <f>SUM(OSRRefE21_3x_7)</f>
        <v>27</v>
      </c>
      <c r="Q41" s="2">
        <f>SUM(OSRRefD20_3x)+IFERROR(SUM(OSRRefE20_3x),0)</f>
        <v>314.24</v>
      </c>
    </row>
    <row r="42" spans="1:17" s="34" customFormat="1" hidden="1" outlineLevel="1" x14ac:dyDescent="0.25">
      <c r="A42" s="35"/>
      <c r="B42" s="13" t="str">
        <f>CONCATENATE("          ","6314", " - ","LIABILITY INSURANCE")</f>
        <v xml:space="preserve">          6314 - LIABILITY INSURANCE</v>
      </c>
      <c r="C42" s="15"/>
      <c r="D42" s="2">
        <v>24.56</v>
      </c>
      <c r="E42" s="2">
        <v>24.56</v>
      </c>
      <c r="F42" s="2">
        <v>24.56</v>
      </c>
      <c r="G42" s="2">
        <v>24.56</v>
      </c>
      <c r="H42" s="2">
        <v>27</v>
      </c>
      <c r="I42" s="2">
        <v>27</v>
      </c>
      <c r="J42" s="2">
        <v>27</v>
      </c>
      <c r="K42" s="2">
        <v>27</v>
      </c>
      <c r="L42" s="2">
        <v>27</v>
      </c>
      <c r="M42" s="2">
        <v>27</v>
      </c>
      <c r="N42" s="2">
        <v>27</v>
      </c>
      <c r="O42" s="2">
        <v>27</v>
      </c>
      <c r="P42" s="9"/>
      <c r="Q42" s="2">
        <f>SUM(OSRRefD21_3_0x)+IFERROR(SUM(OSRRefE21_3_0x),0)</f>
        <v>314.24</v>
      </c>
    </row>
    <row r="43" spans="1:17" s="34" customFormat="1" collapsed="1" x14ac:dyDescent="0.25">
      <c r="A43" s="35"/>
      <c r="B43" s="15" t="str">
        <f>CONCATENATE("     ","Repair and Maintenance                            ")</f>
        <v xml:space="preserve">     Repair and Maintenance                            </v>
      </c>
      <c r="C43" s="15"/>
      <c r="D43" s="1">
        <f>SUM(OSRRefD21_4x_0)</f>
        <v>1685.19</v>
      </c>
      <c r="E43" s="1">
        <f>SUM(OSRRefD21_4x_1)</f>
        <v>866</v>
      </c>
      <c r="F43" s="1">
        <f>SUM(OSRRefD21_4x_2)</f>
        <v>866</v>
      </c>
      <c r="G43" s="1">
        <f>SUM(OSRRefD21_4x_3)</f>
        <v>1732</v>
      </c>
      <c r="H43" s="1">
        <f>SUM(OSRRefE21_4x_0)</f>
        <v>1500</v>
      </c>
      <c r="I43" s="1">
        <f>SUM(OSRRefE21_4x_1)</f>
        <v>1500</v>
      </c>
      <c r="J43" s="1">
        <f>SUM(OSRRefE21_4x_2)</f>
        <v>1500</v>
      </c>
      <c r="K43" s="1">
        <f>SUM(OSRRefE21_4x_3)</f>
        <v>1500</v>
      </c>
      <c r="L43" s="1">
        <f>SUM(OSRRefE21_4x_4)</f>
        <v>1500</v>
      </c>
      <c r="M43" s="1">
        <f>SUM(OSRRefE21_4x_5)</f>
        <v>6500</v>
      </c>
      <c r="N43" s="1">
        <f>SUM(OSRRefE21_4x_6)</f>
        <v>1500</v>
      </c>
      <c r="O43" s="1">
        <f>SUM(OSRRefE21_4x_7)</f>
        <v>1500</v>
      </c>
      <c r="Q43" s="2">
        <f>SUM(OSRRefD20_4x)+IFERROR(SUM(OSRRefE20_4x),0)</f>
        <v>22149.190000000002</v>
      </c>
    </row>
    <row r="44" spans="1:17" s="34" customFormat="1" hidden="1" outlineLevel="1" x14ac:dyDescent="0.25">
      <c r="A44" s="35"/>
      <c r="B44" s="13" t="str">
        <f>CONCATENATE("          ","6371", " - ","COMPUTER SOFTWARE MAINTENANCE")</f>
        <v xml:space="preserve">          6371 - COMPUTER SOFTWARE MAINTENANCE</v>
      </c>
      <c r="C44" s="15"/>
      <c r="D44" s="2"/>
      <c r="E44" s="2"/>
      <c r="F44" s="2"/>
      <c r="G44" s="2"/>
      <c r="H44" s="2"/>
      <c r="I44" s="2"/>
      <c r="J44" s="2"/>
      <c r="K44" s="2"/>
      <c r="L44" s="2"/>
      <c r="M44" s="2">
        <v>5000</v>
      </c>
      <c r="N44" s="2"/>
      <c r="O44" s="2"/>
      <c r="P44" s="9"/>
      <c r="Q44" s="2">
        <f>SUM(OSRRefD21_4_0x)+IFERROR(SUM(OSRRefE21_4_0x),0)</f>
        <v>5000</v>
      </c>
    </row>
    <row r="45" spans="1:17" s="34" customFormat="1" hidden="1" outlineLevel="1" x14ac:dyDescent="0.25">
      <c r="A45" s="35"/>
      <c r="B45" s="13" t="str">
        <f>CONCATENATE("          ","6373", " - ","MAINTENANCE CONTRACTS")</f>
        <v xml:space="preserve">          6373 - MAINTENANCE CONTRACTS</v>
      </c>
      <c r="C45" s="15"/>
      <c r="D45" s="2">
        <v>866</v>
      </c>
      <c r="E45" s="2">
        <v>866</v>
      </c>
      <c r="F45" s="2">
        <v>866</v>
      </c>
      <c r="G45" s="2">
        <v>866</v>
      </c>
      <c r="H45" s="2">
        <v>1500</v>
      </c>
      <c r="I45" s="2">
        <v>1500</v>
      </c>
      <c r="J45" s="2">
        <v>1500</v>
      </c>
      <c r="K45" s="2">
        <v>1500</v>
      </c>
      <c r="L45" s="2">
        <v>1500</v>
      </c>
      <c r="M45" s="2">
        <v>1500</v>
      </c>
      <c r="N45" s="2">
        <v>1500</v>
      </c>
      <c r="O45" s="2">
        <v>1500</v>
      </c>
      <c r="P45" s="9"/>
      <c r="Q45" s="2">
        <f>SUM(OSRRefD21_4_1x)+IFERROR(SUM(OSRRefE21_4_1x),0)</f>
        <v>15464</v>
      </c>
    </row>
    <row r="46" spans="1:17" s="34" customFormat="1" hidden="1" outlineLevel="1" x14ac:dyDescent="0.25">
      <c r="A46" s="35"/>
      <c r="B46" s="13" t="str">
        <f>CONCATENATE("          ","6375", " - ","OUTSIDE REPAIRS &amp; MAINTENANCE")</f>
        <v xml:space="preserve">          6375 - OUTSIDE REPAIRS &amp; MAINTENANCE</v>
      </c>
      <c r="C46" s="15"/>
      <c r="D46" s="2">
        <v>819.19</v>
      </c>
      <c r="E46" s="2"/>
      <c r="F46" s="2"/>
      <c r="G46" s="2">
        <v>866</v>
      </c>
      <c r="H46" s="2"/>
      <c r="I46" s="2"/>
      <c r="J46" s="2"/>
      <c r="K46" s="2"/>
      <c r="L46" s="2"/>
      <c r="M46" s="2"/>
      <c r="N46" s="2"/>
      <c r="O46" s="2"/>
      <c r="P46" s="9"/>
      <c r="Q46" s="2">
        <f>SUM(OSRRefD21_4_2x)+IFERROR(SUM(OSRRefE21_4_2x),0)</f>
        <v>1685.19</v>
      </c>
    </row>
    <row r="47" spans="1:17" s="34" customFormat="1" collapsed="1" x14ac:dyDescent="0.25">
      <c r="A47" s="35"/>
      <c r="B47" s="15" t="str">
        <f>CONCATENATE("     ","Services                                          ")</f>
        <v xml:space="preserve">     Services                                          </v>
      </c>
      <c r="C47" s="15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SUM(OSRRefE21_5x_0)</f>
        <v>25</v>
      </c>
      <c r="I47" s="1">
        <f>SUM(OSRRefE21_5x_1)</f>
        <v>25</v>
      </c>
      <c r="J47" s="1">
        <f>SUM(OSRRefE21_5x_2)</f>
        <v>25</v>
      </c>
      <c r="K47" s="1">
        <f>SUM(OSRRefE21_5x_3)</f>
        <v>25</v>
      </c>
      <c r="L47" s="1">
        <f>SUM(OSRRefE21_5x_4)</f>
        <v>25</v>
      </c>
      <c r="M47" s="1">
        <f>SUM(OSRRefE21_5x_5)</f>
        <v>25</v>
      </c>
      <c r="N47" s="1">
        <f>SUM(OSRRefE21_5x_6)</f>
        <v>25</v>
      </c>
      <c r="O47" s="1">
        <f>SUM(OSRRefE21_5x_7)</f>
        <v>25</v>
      </c>
      <c r="Q47" s="2">
        <f>SUM(OSRRefD20_5x)+IFERROR(SUM(OSRRefE20_5x),0)</f>
        <v>200</v>
      </c>
    </row>
    <row r="48" spans="1:17" s="34" customFormat="1" hidden="1" outlineLevel="1" x14ac:dyDescent="0.25">
      <c r="A48" s="35"/>
      <c r="B48" s="13" t="str">
        <f>CONCATENATE("          ","6286", " - ","LAUNDRY EXPENSE")</f>
        <v xml:space="preserve">          6286 - LAUNDRY EXPENSE</v>
      </c>
      <c r="C48" s="15"/>
      <c r="D48" s="2"/>
      <c r="E48" s="2"/>
      <c r="F48" s="2"/>
      <c r="G48" s="2"/>
      <c r="H48" s="2">
        <v>25</v>
      </c>
      <c r="I48" s="2">
        <v>25</v>
      </c>
      <c r="J48" s="2">
        <v>25</v>
      </c>
      <c r="K48" s="2">
        <v>25</v>
      </c>
      <c r="L48" s="2">
        <v>25</v>
      </c>
      <c r="M48" s="2">
        <v>25</v>
      </c>
      <c r="N48" s="2">
        <v>25</v>
      </c>
      <c r="O48" s="2">
        <v>25</v>
      </c>
      <c r="P48" s="9"/>
      <c r="Q48" s="2">
        <f>SUM(OSRRefD21_5_0x)+IFERROR(SUM(OSRRefE21_5_0x),0)</f>
        <v>200</v>
      </c>
    </row>
    <row r="49" spans="1:17" s="34" customFormat="1" collapsed="1" x14ac:dyDescent="0.25">
      <c r="A49" s="35"/>
      <c r="B49" s="15" t="str">
        <f>CONCATENATE("     ","Supplies                                          ")</f>
        <v xml:space="preserve">     Supplies                                          </v>
      </c>
      <c r="C49" s="15"/>
      <c r="D49" s="1">
        <f>SUM(OSRRefD21_6x_0)</f>
        <v>0</v>
      </c>
      <c r="E49" s="1">
        <f>SUM(OSRRefD21_6x_1)</f>
        <v>0</v>
      </c>
      <c r="F49" s="1">
        <f>SUM(OSRRefD21_6x_2)</f>
        <v>15.92</v>
      </c>
      <c r="G49" s="1">
        <f>SUM(OSRRefD21_6x_3)</f>
        <v>0</v>
      </c>
      <c r="H49" s="1">
        <f>SUM(OSRRefE21_6x_0)</f>
        <v>0</v>
      </c>
      <c r="I49" s="1">
        <f>SUM(OSRRefE21_6x_1)</f>
        <v>0</v>
      </c>
      <c r="J49" s="1">
        <f>SUM(OSRRefE21_6x_2)</f>
        <v>0</v>
      </c>
      <c r="K49" s="1">
        <f>SUM(OSRRefE21_6x_3)</f>
        <v>0</v>
      </c>
      <c r="L49" s="1">
        <f>SUM(OSRRefE21_6x_4)</f>
        <v>0</v>
      </c>
      <c r="M49" s="1">
        <f>SUM(OSRRefE21_6x_5)</f>
        <v>0</v>
      </c>
      <c r="N49" s="1">
        <f>SUM(OSRRefE21_6x_6)</f>
        <v>0</v>
      </c>
      <c r="O49" s="1">
        <f>SUM(OSRRefE21_6x_7)</f>
        <v>0</v>
      </c>
      <c r="Q49" s="2">
        <f>SUM(OSRRefD20_6x)+IFERROR(SUM(OSRRefE20_6x),0)</f>
        <v>15.92</v>
      </c>
    </row>
    <row r="50" spans="1:17" s="34" customFormat="1" hidden="1" outlineLevel="1" x14ac:dyDescent="0.25">
      <c r="A50" s="35"/>
      <c r="B50" s="13" t="str">
        <f>CONCATENATE("          ","6241", " - ","OFFICE EXPENSE")</f>
        <v xml:space="preserve">          6241 - OFFICE EXPENSE</v>
      </c>
      <c r="C50" s="15"/>
      <c r="D50" s="2"/>
      <c r="E50" s="2"/>
      <c r="F50" s="2">
        <v>15.92</v>
      </c>
      <c r="G50" s="2"/>
      <c r="H50" s="2"/>
      <c r="I50" s="2"/>
      <c r="J50" s="2"/>
      <c r="K50" s="2"/>
      <c r="L50" s="2"/>
      <c r="M50" s="2"/>
      <c r="N50" s="2"/>
      <c r="O50" s="2"/>
      <c r="P50" s="9"/>
      <c r="Q50" s="2">
        <f>SUM(OSRRefD21_6_0x)+IFERROR(SUM(OSRRefE21_6_0x),0)</f>
        <v>15.92</v>
      </c>
    </row>
    <row r="51" spans="1:17" s="34" customFormat="1" collapsed="1" x14ac:dyDescent="0.25">
      <c r="A51" s="35"/>
      <c r="B51" s="15" t="str">
        <f>CONCATENATE("     ","Telephone/Data Lines                              ")</f>
        <v xml:space="preserve">     Telephone/Data Lines                              </v>
      </c>
      <c r="C51" s="15"/>
      <c r="D51" s="1">
        <f>SUM(OSRRefD21_7x_0)</f>
        <v>73</v>
      </c>
      <c r="E51" s="1">
        <f>SUM(OSRRefD21_7x_1)</f>
        <v>50</v>
      </c>
      <c r="F51" s="1">
        <f>SUM(OSRRefD21_7x_2)</f>
        <v>225</v>
      </c>
      <c r="G51" s="1">
        <f>SUM(OSRRefD21_7x_3)</f>
        <v>-77</v>
      </c>
      <c r="H51" s="1">
        <f>SUM(OSRRefE21_7x_0)</f>
        <v>25</v>
      </c>
      <c r="I51" s="1">
        <f>SUM(OSRRefE21_7x_1)</f>
        <v>175</v>
      </c>
      <c r="J51" s="1">
        <f>SUM(OSRRefE21_7x_2)</f>
        <v>25</v>
      </c>
      <c r="K51" s="1">
        <f>SUM(OSRRefE21_7x_3)</f>
        <v>25</v>
      </c>
      <c r="L51" s="1">
        <f>SUM(OSRRefE21_7x_4)</f>
        <v>175</v>
      </c>
      <c r="M51" s="1">
        <f>SUM(OSRRefE21_7x_5)</f>
        <v>25</v>
      </c>
      <c r="N51" s="1">
        <f>SUM(OSRRefE21_7x_6)</f>
        <v>25</v>
      </c>
      <c r="O51" s="1">
        <f>SUM(OSRRefE21_7x_7)</f>
        <v>175</v>
      </c>
      <c r="Q51" s="2">
        <f>SUM(OSRRefD20_7x)+IFERROR(SUM(OSRRefE20_7x),0)</f>
        <v>921</v>
      </c>
    </row>
    <row r="52" spans="1:17" s="34" customFormat="1" hidden="1" outlineLevel="1" x14ac:dyDescent="0.25">
      <c r="A52" s="35"/>
      <c r="B52" s="13" t="str">
        <f>CONCATENATE("          ","6309", " - ","TELEPHONE")</f>
        <v xml:space="preserve">          6309 - TELEPHONE</v>
      </c>
      <c r="C52" s="15"/>
      <c r="D52" s="2">
        <v>73</v>
      </c>
      <c r="E52" s="2">
        <v>50</v>
      </c>
      <c r="F52" s="2">
        <v>225</v>
      </c>
      <c r="G52" s="2">
        <v>-77</v>
      </c>
      <c r="H52" s="2">
        <v>25</v>
      </c>
      <c r="I52" s="2">
        <v>175</v>
      </c>
      <c r="J52" s="2">
        <v>25</v>
      </c>
      <c r="K52" s="2">
        <v>25</v>
      </c>
      <c r="L52" s="2">
        <v>175</v>
      </c>
      <c r="M52" s="2">
        <v>25</v>
      </c>
      <c r="N52" s="2">
        <v>25</v>
      </c>
      <c r="O52" s="2">
        <v>175</v>
      </c>
      <c r="P52" s="9"/>
      <c r="Q52" s="2">
        <f>SUM(OSRRefD21_7_0x)+IFERROR(SUM(OSRRefE21_7_0x),0)</f>
        <v>921</v>
      </c>
    </row>
    <row r="53" spans="1:17" s="28" customFormat="1" x14ac:dyDescent="0.25">
      <c r="A53" s="20"/>
      <c r="B53" s="20"/>
      <c r="C53" s="20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Q53" s="1"/>
    </row>
    <row r="54" spans="1:17" s="9" customFormat="1" x14ac:dyDescent="0.25">
      <c r="A54" s="22"/>
      <c r="B54" s="16" t="s">
        <v>0</v>
      </c>
      <c r="C54" s="23"/>
      <c r="D54" s="3">
        <f t="shared" ref="D54:G54" si="4">0</f>
        <v>0</v>
      </c>
      <c r="E54" s="3">
        <f t="shared" si="4"/>
        <v>0</v>
      </c>
      <c r="F54" s="3">
        <f t="shared" si="4"/>
        <v>0</v>
      </c>
      <c r="G54" s="3">
        <f t="shared" si="4"/>
        <v>0</v>
      </c>
      <c r="H54" s="3"/>
      <c r="I54" s="3"/>
      <c r="J54" s="3"/>
      <c r="K54" s="3"/>
      <c r="L54" s="3"/>
      <c r="M54" s="3"/>
      <c r="N54" s="3"/>
      <c r="O54" s="3"/>
      <c r="Q54" s="2">
        <f>SUM(OSRRefD23_0x)+IFERROR(SUM(OSRRefE23_0x),0)</f>
        <v>0</v>
      </c>
    </row>
    <row r="55" spans="1:17" x14ac:dyDescent="0.25">
      <c r="A55" s="5"/>
      <c r="B55" s="8"/>
      <c r="C55" s="8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</row>
    <row r="56" spans="1:17" s="14" customFormat="1" x14ac:dyDescent="0.25">
      <c r="A56" s="8"/>
      <c r="B56" s="17" t="s">
        <v>3</v>
      </c>
      <c r="C56" s="17"/>
      <c r="D56" s="6">
        <f t="shared" ref="D56:O56" si="5">IFERROR(+D14-D17+D54, 0)</f>
        <v>-9379.26</v>
      </c>
      <c r="E56" s="6">
        <f t="shared" si="5"/>
        <v>-7276.8300000000008</v>
      </c>
      <c r="F56" s="6">
        <f t="shared" si="5"/>
        <v>-7471.87</v>
      </c>
      <c r="G56" s="6">
        <f t="shared" si="5"/>
        <v>-9324.8100000000013</v>
      </c>
      <c r="H56" s="6">
        <f t="shared" si="5"/>
        <v>-6990.2521538461542</v>
      </c>
      <c r="I56" s="6">
        <f t="shared" si="5"/>
        <v>-7140.2521538461542</v>
      </c>
      <c r="J56" s="6">
        <f t="shared" si="5"/>
        <v>-8531.0651923076912</v>
      </c>
      <c r="K56" s="6">
        <f t="shared" si="5"/>
        <v>-7140.2521538461542</v>
      </c>
      <c r="L56" s="6">
        <f t="shared" si="5"/>
        <v>-7140.2521538461542</v>
      </c>
      <c r="M56" s="6">
        <f t="shared" si="5"/>
        <v>-13531.065192307691</v>
      </c>
      <c r="N56" s="6">
        <f t="shared" si="5"/>
        <v>-7140.2521538461542</v>
      </c>
      <c r="O56" s="6">
        <f t="shared" si="5"/>
        <v>-7290.2521538461542</v>
      </c>
      <c r="Q56" s="6">
        <f>IFERROR(+Q14-Q17+Q54, 0)</f>
        <v>-98356.413307692317</v>
      </c>
    </row>
    <row r="57" spans="1:17" s="8" customFormat="1" x14ac:dyDescent="0.25">
      <c r="B57" s="16"/>
      <c r="C57" s="16"/>
      <c r="D57" s="4">
        <f t="shared" ref="D57:O57" si="6">IFERROR(D56/D10, 0)</f>
        <v>0</v>
      </c>
      <c r="E57" s="4">
        <f t="shared" si="6"/>
        <v>0</v>
      </c>
      <c r="F57" s="4">
        <f t="shared" si="6"/>
        <v>0</v>
      </c>
      <c r="G57" s="4">
        <f t="shared" si="6"/>
        <v>0</v>
      </c>
      <c r="H57" s="4">
        <f t="shared" si="6"/>
        <v>0</v>
      </c>
      <c r="I57" s="4">
        <f t="shared" si="6"/>
        <v>0</v>
      </c>
      <c r="J57" s="4">
        <f t="shared" si="6"/>
        <v>0</v>
      </c>
      <c r="K57" s="4">
        <f t="shared" si="6"/>
        <v>0</v>
      </c>
      <c r="L57" s="4">
        <f t="shared" si="6"/>
        <v>0</v>
      </c>
      <c r="M57" s="4">
        <f t="shared" si="6"/>
        <v>0</v>
      </c>
      <c r="N57" s="4">
        <f t="shared" si="6"/>
        <v>0</v>
      </c>
      <c r="O57" s="4">
        <f t="shared" si="6"/>
        <v>0</v>
      </c>
      <c r="P57" s="18"/>
      <c r="Q57" s="4">
        <f>IFERROR(Q56/Q10, 0)</f>
        <v>0</v>
      </c>
    </row>
    <row r="58" spans="1:17" x14ac:dyDescent="0.25">
      <c r="A58" s="5"/>
      <c r="B58" s="8"/>
      <c r="C58" s="5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Q58" s="3"/>
    </row>
    <row r="59" spans="1:17" s="14" customFormat="1" x14ac:dyDescent="0.25">
      <c r="A59" s="25"/>
      <c r="B59" s="8" t="s">
        <v>8</v>
      </c>
      <c r="C59" s="8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2">
        <f>SUM(OSRRefD28_0x)+IFERROR(SUM(OSRRefE28_0x),0)</f>
        <v>0</v>
      </c>
    </row>
    <row r="60" spans="1:17" x14ac:dyDescent="0.25">
      <c r="A60" s="5"/>
      <c r="B60" s="8"/>
      <c r="C60" s="8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4" customFormat="1" ht="15.75" thickBot="1" x14ac:dyDescent="0.3">
      <c r="A61" s="8"/>
      <c r="B61" s="17" t="s">
        <v>4</v>
      </c>
      <c r="C61" s="17"/>
      <c r="D61" s="7">
        <f t="shared" ref="D61:O61" si="7">IFERROR(+D56-D59, 0)</f>
        <v>-9379.26</v>
      </c>
      <c r="E61" s="7">
        <f t="shared" si="7"/>
        <v>-7276.8300000000008</v>
      </c>
      <c r="F61" s="7">
        <f t="shared" si="7"/>
        <v>-7471.87</v>
      </c>
      <c r="G61" s="7">
        <f t="shared" si="7"/>
        <v>-9324.8100000000013</v>
      </c>
      <c r="H61" s="7">
        <f t="shared" si="7"/>
        <v>-6990.2521538461542</v>
      </c>
      <c r="I61" s="7">
        <f t="shared" si="7"/>
        <v>-7140.2521538461542</v>
      </c>
      <c r="J61" s="7">
        <f t="shared" si="7"/>
        <v>-8531.0651923076912</v>
      </c>
      <c r="K61" s="7">
        <f t="shared" si="7"/>
        <v>-7140.2521538461542</v>
      </c>
      <c r="L61" s="7">
        <f t="shared" si="7"/>
        <v>-7140.2521538461542</v>
      </c>
      <c r="M61" s="7">
        <f t="shared" si="7"/>
        <v>-13531.065192307691</v>
      </c>
      <c r="N61" s="7">
        <f t="shared" si="7"/>
        <v>-7140.2521538461542</v>
      </c>
      <c r="O61" s="7">
        <f t="shared" si="7"/>
        <v>-7290.2521538461542</v>
      </c>
      <c r="Q61" s="7">
        <f>IFERROR(+Q56-Q59, 0)</f>
        <v>-98356.413307692317</v>
      </c>
    </row>
    <row r="62" spans="1:17" ht="15.75" thickTop="1" x14ac:dyDescent="0.25">
      <c r="A62" s="5"/>
      <c r="B62" s="5"/>
      <c r="C62" s="5"/>
      <c r="D62" s="4">
        <f t="shared" ref="D62:O62" si="8">IFERROR(D61/D10, 0)</f>
        <v>0</v>
      </c>
      <c r="E62" s="4">
        <f t="shared" si="8"/>
        <v>0</v>
      </c>
      <c r="F62" s="4">
        <f t="shared" si="8"/>
        <v>0</v>
      </c>
      <c r="G62" s="4">
        <f t="shared" si="8"/>
        <v>0</v>
      </c>
      <c r="H62" s="4">
        <f t="shared" si="8"/>
        <v>0</v>
      </c>
      <c r="I62" s="4">
        <f t="shared" si="8"/>
        <v>0</v>
      </c>
      <c r="J62" s="4">
        <f t="shared" si="8"/>
        <v>0</v>
      </c>
      <c r="K62" s="4">
        <f t="shared" si="8"/>
        <v>0</v>
      </c>
      <c r="L62" s="4">
        <f t="shared" si="8"/>
        <v>0</v>
      </c>
      <c r="M62" s="4">
        <f t="shared" si="8"/>
        <v>0</v>
      </c>
      <c r="N62" s="4">
        <f t="shared" si="8"/>
        <v>0</v>
      </c>
      <c r="O62" s="4">
        <f t="shared" si="8"/>
        <v>0</v>
      </c>
      <c r="P62" s="18"/>
      <c r="Q62" s="4">
        <f>IFERROR(Q61/Q10, 0)</f>
        <v>0</v>
      </c>
    </row>
    <row r="63" spans="1:17" x14ac:dyDescent="0.25">
      <c r="A63" s="5"/>
      <c r="B63" s="5"/>
      <c r="C63" s="5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3"/>
    </row>
    <row r="64" spans="1:17" x14ac:dyDescent="0.25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s="14" customFormat="1" ht="15.75" thickBot="1" x14ac:dyDescent="0.3">
      <c r="A65" s="8"/>
      <c r="B65" s="17" t="s">
        <v>5</v>
      </c>
      <c r="C65" s="17"/>
      <c r="D65" s="7">
        <f t="shared" ref="D65:O65" si="9">IFERROR(SUM(D61:D64), 0)</f>
        <v>-9379.26</v>
      </c>
      <c r="E65" s="7">
        <f t="shared" si="9"/>
        <v>-7276.8300000000008</v>
      </c>
      <c r="F65" s="7">
        <f t="shared" si="9"/>
        <v>-7471.87</v>
      </c>
      <c r="G65" s="7">
        <f t="shared" si="9"/>
        <v>-9324.8100000000013</v>
      </c>
      <c r="H65" s="7">
        <f t="shared" si="9"/>
        <v>-6990.2521538461542</v>
      </c>
      <c r="I65" s="7">
        <f t="shared" si="9"/>
        <v>-7140.2521538461542</v>
      </c>
      <c r="J65" s="7">
        <f t="shared" si="9"/>
        <v>-8531.0651923076912</v>
      </c>
      <c r="K65" s="7">
        <f t="shared" si="9"/>
        <v>-7140.2521538461542</v>
      </c>
      <c r="L65" s="7">
        <f t="shared" si="9"/>
        <v>-7140.2521538461542</v>
      </c>
      <c r="M65" s="7">
        <f t="shared" si="9"/>
        <v>-13531.065192307691</v>
      </c>
      <c r="N65" s="7">
        <f t="shared" si="9"/>
        <v>-7140.2521538461542</v>
      </c>
      <c r="O65" s="7">
        <f t="shared" si="9"/>
        <v>-7290.2521538461542</v>
      </c>
      <c r="Q65" s="7">
        <f>IFERROR(SUM(Q61:Q64), 0)</f>
        <v>-98356.413307692317</v>
      </c>
    </row>
    <row r="66" spans="1:17" ht="15.75" thickTop="1" x14ac:dyDescent="0.25">
      <c r="A66" s="5"/>
      <c r="C66" s="5"/>
      <c r="D66" s="4">
        <f t="shared" ref="D66:O66" si="10">IFERROR(D65/D10, 0)</f>
        <v>0</v>
      </c>
      <c r="E66" s="4">
        <f t="shared" si="10"/>
        <v>0</v>
      </c>
      <c r="F66" s="4">
        <f t="shared" si="10"/>
        <v>0</v>
      </c>
      <c r="G66" s="4">
        <f t="shared" si="10"/>
        <v>0</v>
      </c>
      <c r="H66" s="4">
        <f t="shared" si="10"/>
        <v>0</v>
      </c>
      <c r="I66" s="4">
        <f t="shared" si="10"/>
        <v>0</v>
      </c>
      <c r="J66" s="4">
        <f t="shared" si="10"/>
        <v>0</v>
      </c>
      <c r="K66" s="4">
        <f t="shared" si="10"/>
        <v>0</v>
      </c>
      <c r="L66" s="4">
        <f t="shared" si="10"/>
        <v>0</v>
      </c>
      <c r="M66" s="4">
        <f t="shared" si="10"/>
        <v>0</v>
      </c>
      <c r="N66" s="4">
        <f t="shared" si="10"/>
        <v>0</v>
      </c>
      <c r="O66" s="4">
        <f t="shared" si="10"/>
        <v>0</v>
      </c>
      <c r="P66" s="18"/>
      <c r="Q66" s="4">
        <f>IFERROR(Q65/Q10, 0)</f>
        <v>0</v>
      </c>
    </row>
    <row r="67" spans="1:17" x14ac:dyDescent="0.25">
      <c r="A67" s="5"/>
      <c r="B67" s="26">
        <v>44151.564743252318</v>
      </c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Q67" s="12"/>
    </row>
    <row r="68" spans="1:17" x14ac:dyDescent="0.25">
      <c r="A68" s="5"/>
      <c r="B68" s="30" t="s">
        <v>311</v>
      </c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Q68" s="12"/>
    </row>
    <row r="69" spans="1:17" x14ac:dyDescent="0.25">
      <c r="A69" s="5"/>
      <c r="B69" s="31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Q69" s="12"/>
    </row>
    <row r="70" spans="1:17" x14ac:dyDescent="0.25"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Q70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6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","206", " - ", "Graphics")</f>
        <v>Department 206 - Graphics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0">
        <f>SUM(OSRRefD20x_0)</f>
        <v>10356.060000000001</v>
      </c>
      <c r="E17" s="10">
        <f>SUM(OSRRefD20x_1)</f>
        <v>8415.8599999999988</v>
      </c>
      <c r="F17" s="10">
        <f>SUM(OSRRefD20x_2)</f>
        <v>7691.3700000000008</v>
      </c>
      <c r="G17" s="10">
        <f>SUM(OSRRefD20x_3)</f>
        <v>10192.200000000001</v>
      </c>
      <c r="H17" s="10">
        <f>SUM(OSRRefE20x_0)</f>
        <v>17391.590153846155</v>
      </c>
      <c r="I17" s="10">
        <f>SUM(OSRRefE20x_1)</f>
        <v>17391.590153846155</v>
      </c>
      <c r="J17" s="10">
        <f>SUM(OSRRefE20x_2)</f>
        <v>19169.737692307692</v>
      </c>
      <c r="K17" s="10">
        <f>SUM(OSRRefE20x_3)</f>
        <v>17120.590153846155</v>
      </c>
      <c r="L17" s="10">
        <f>SUM(OSRRefE20x_4)</f>
        <v>17120.590153846155</v>
      </c>
      <c r="M17" s="10">
        <f>SUM(OSRRefE20x_5)</f>
        <v>18898.737692307692</v>
      </c>
      <c r="N17" s="10">
        <f>SUM(OSRRefE20x_6)</f>
        <v>17212.426153846154</v>
      </c>
      <c r="O17" s="10">
        <f>SUM(OSRRefE20x_7)</f>
        <v>17216.426153846154</v>
      </c>
      <c r="Q17" s="10">
        <f>SUM(OSRRefG20x)</f>
        <v>178177.17830769232</v>
      </c>
    </row>
    <row r="18" spans="1:17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1548.91</v>
      </c>
      <c r="E18" s="1">
        <f>SUM(OSRRefD21_0x_1)</f>
        <v>1529.65</v>
      </c>
      <c r="F18" s="1">
        <f>SUM(OSRRefD21_0x_2)</f>
        <v>1489.6699999999998</v>
      </c>
      <c r="G18" s="1">
        <f>SUM(OSRRefD21_0x_3)</f>
        <v>1891.0900000000001</v>
      </c>
      <c r="H18" s="1">
        <f>SUM(OSRRefE21_0x_0)</f>
        <v>1611.590153846154</v>
      </c>
      <c r="I18" s="1">
        <f>SUM(OSRRefE21_0x_1)</f>
        <v>1611.590153846154</v>
      </c>
      <c r="J18" s="1">
        <f>SUM(OSRRefE21_0x_2)</f>
        <v>1970.737692307692</v>
      </c>
      <c r="K18" s="1">
        <f>SUM(OSRRefE21_0x_3)</f>
        <v>1611.590153846154</v>
      </c>
      <c r="L18" s="1">
        <f>SUM(OSRRefE21_0x_4)</f>
        <v>1611.590153846154</v>
      </c>
      <c r="M18" s="1">
        <f>SUM(OSRRefE21_0x_5)</f>
        <v>1970.737692307692</v>
      </c>
      <c r="N18" s="1">
        <f>SUM(OSRRefE21_0x_6)</f>
        <v>1703.426153846154</v>
      </c>
      <c r="O18" s="1">
        <f>SUM(OSRRefE21_0x_7)</f>
        <v>1703.426153846154</v>
      </c>
      <c r="Q18" s="2">
        <f>SUM(OSRRefD20_0x)+IFERROR(SUM(OSRRefE20_0x),0)</f>
        <v>20254.008307692307</v>
      </c>
    </row>
    <row r="19" spans="1:17" s="34" customFormat="1" hidden="1" outlineLevel="1" x14ac:dyDescent="0.25">
      <c r="A19" s="35"/>
      <c r="B19" s="13" t="str">
        <f>CONCATENATE("          ","6111", " - ","F.I.C.A.")</f>
        <v xml:space="preserve">          6111 - F.I.C.A.</v>
      </c>
      <c r="C19" s="15"/>
      <c r="D19" s="2">
        <v>404.65</v>
      </c>
      <c r="E19" s="2">
        <v>384.71</v>
      </c>
      <c r="F19" s="2">
        <v>348.86</v>
      </c>
      <c r="G19" s="2">
        <v>546.95000000000005</v>
      </c>
      <c r="H19" s="2">
        <v>367.34399999999999</v>
      </c>
      <c r="I19" s="2">
        <v>367.34399999999999</v>
      </c>
      <c r="J19" s="2">
        <v>459.18</v>
      </c>
      <c r="K19" s="2">
        <v>367.34399999999999</v>
      </c>
      <c r="L19" s="2">
        <v>367.34399999999999</v>
      </c>
      <c r="M19" s="2">
        <v>459.18</v>
      </c>
      <c r="N19" s="2">
        <v>459.18</v>
      </c>
      <c r="O19" s="2">
        <v>459.18</v>
      </c>
      <c r="P19" s="9"/>
      <c r="Q19" s="2">
        <f>SUM(OSRRefD21_0_0x)+IFERROR(SUM(OSRRefE21_0_0x),0)</f>
        <v>4991.2659999999996</v>
      </c>
    </row>
    <row r="20" spans="1:17" s="34" customFormat="1" hidden="1" outlineLevel="1" x14ac:dyDescent="0.2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20.8</v>
      </c>
      <c r="E20" s="2">
        <v>21.18</v>
      </c>
      <c r="F20" s="2">
        <v>18.87</v>
      </c>
      <c r="G20" s="2">
        <v>19</v>
      </c>
      <c r="H20" s="2">
        <v>19.8</v>
      </c>
      <c r="I20" s="2">
        <v>19.8</v>
      </c>
      <c r="J20" s="2">
        <v>24.75</v>
      </c>
      <c r="K20" s="2">
        <v>19.8</v>
      </c>
      <c r="L20" s="2">
        <v>19.8</v>
      </c>
      <c r="M20" s="2">
        <v>24.75</v>
      </c>
      <c r="N20" s="2">
        <v>19.8</v>
      </c>
      <c r="O20" s="2">
        <v>19.8</v>
      </c>
      <c r="P20" s="9"/>
      <c r="Q20" s="2">
        <f>SUM(OSRRefD21_0_1x)+IFERROR(SUM(OSRRefE21_0_1x),0)</f>
        <v>248.15000000000003</v>
      </c>
    </row>
    <row r="21" spans="1:17" s="34" customFormat="1" hidden="1" outlineLevel="1" x14ac:dyDescent="0.25">
      <c r="A21" s="35"/>
      <c r="B21" s="13" t="str">
        <f>CONCATENATE("          ","6113", " - ","GROUP INSURANCE")</f>
        <v xml:space="preserve">          6113 - GROUP INSURANCE</v>
      </c>
      <c r="C21" s="15"/>
      <c r="D21" s="2">
        <v>700.87</v>
      </c>
      <c r="E21" s="2">
        <v>700.87</v>
      </c>
      <c r="F21" s="2">
        <v>700.87</v>
      </c>
      <c r="G21" s="2">
        <v>700.87</v>
      </c>
      <c r="H21" s="2">
        <v>613.84615384615404</v>
      </c>
      <c r="I21" s="2">
        <v>613.84615384615404</v>
      </c>
      <c r="J21" s="2">
        <v>767.30769230769204</v>
      </c>
      <c r="K21" s="2">
        <v>613.84615384615404</v>
      </c>
      <c r="L21" s="2">
        <v>613.84615384615404</v>
      </c>
      <c r="M21" s="2">
        <v>767.30769230769204</v>
      </c>
      <c r="N21" s="2">
        <v>613.84615384615404</v>
      </c>
      <c r="O21" s="2">
        <v>613.84615384615404</v>
      </c>
      <c r="P21" s="9"/>
      <c r="Q21" s="2">
        <f>SUM(OSRRefD21_0_2x)+IFERROR(SUM(OSRRefE21_0_2x),0)</f>
        <v>8021.1723076923081</v>
      </c>
    </row>
    <row r="22" spans="1:17" s="34" customFormat="1" hidden="1" outlineLevel="1" x14ac:dyDescent="0.2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16.39</v>
      </c>
      <c r="E22" s="2">
        <v>16.690000000000001</v>
      </c>
      <c r="F22" s="2">
        <v>14.87</v>
      </c>
      <c r="G22" s="2">
        <v>14.97</v>
      </c>
      <c r="H22" s="2">
        <v>15.6</v>
      </c>
      <c r="I22" s="2">
        <v>15.6</v>
      </c>
      <c r="J22" s="2">
        <v>19.5</v>
      </c>
      <c r="K22" s="2">
        <v>15.6</v>
      </c>
      <c r="L22" s="2">
        <v>15.6</v>
      </c>
      <c r="M22" s="2">
        <v>19.5</v>
      </c>
      <c r="N22" s="2">
        <v>15.6</v>
      </c>
      <c r="O22" s="2">
        <v>15.6</v>
      </c>
      <c r="P22" s="9"/>
      <c r="Q22" s="2">
        <f>SUM(OSRRefD21_0_3x)+IFERROR(SUM(OSRRefE21_0_3x),0)</f>
        <v>195.51999999999998</v>
      </c>
    </row>
    <row r="23" spans="1:17" s="34" customFormat="1" hidden="1" outlineLevel="1" x14ac:dyDescent="0.25">
      <c r="A23" s="35"/>
      <c r="B23" s="13" t="str">
        <f>CONCATENATE("          ","6115", " - ","P.E.R.S.")</f>
        <v xml:space="preserve">          6115 - P.E.R.S.</v>
      </c>
      <c r="C23" s="15"/>
      <c r="D23" s="2"/>
      <c r="E23" s="2"/>
      <c r="F23" s="2"/>
      <c r="G23" s="2"/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0</v>
      </c>
    </row>
    <row r="24" spans="1:17" s="34" customFormat="1" hidden="1" outlineLevel="1" x14ac:dyDescent="0.25">
      <c r="A24" s="35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3" t="str">
        <f>CONCATENATE("          ","6118", " - ","VACATION")</f>
        <v xml:space="preserve">          6118 - VACATION</v>
      </c>
      <c r="C25" s="15"/>
      <c r="D25" s="2">
        <v>184.8</v>
      </c>
      <c r="E25" s="2">
        <v>184.8</v>
      </c>
      <c r="F25" s="2">
        <v>184.8</v>
      </c>
      <c r="G25" s="2">
        <v>277.2</v>
      </c>
      <c r="H25" s="2">
        <v>240</v>
      </c>
      <c r="I25" s="2">
        <v>240</v>
      </c>
      <c r="J25" s="2">
        <v>300</v>
      </c>
      <c r="K25" s="2">
        <v>240</v>
      </c>
      <c r="L25" s="2">
        <v>240</v>
      </c>
      <c r="M25" s="2">
        <v>300</v>
      </c>
      <c r="N25" s="2">
        <v>240</v>
      </c>
      <c r="O25" s="2">
        <v>240</v>
      </c>
      <c r="P25" s="9"/>
      <c r="Q25" s="2">
        <f>SUM(OSRRefD21_0_6x)+IFERROR(SUM(OSRRefE21_0_6x),0)</f>
        <v>2871.6000000000004</v>
      </c>
    </row>
    <row r="26" spans="1:17" s="34" customFormat="1" hidden="1" outlineLevel="1" x14ac:dyDescent="0.25">
      <c r="A26" s="35"/>
      <c r="B26" s="13" t="str">
        <f>CONCATENATE("          ","6119", " - ","SICK LEAVE")</f>
        <v xml:space="preserve">          6119 - SICK LEAVE</v>
      </c>
      <c r="C26" s="15"/>
      <c r="D26" s="2">
        <v>221.4</v>
      </c>
      <c r="E26" s="2">
        <v>221.4</v>
      </c>
      <c r="F26" s="2">
        <v>221.4</v>
      </c>
      <c r="G26" s="2">
        <v>332.1</v>
      </c>
      <c r="H26" s="2">
        <v>180</v>
      </c>
      <c r="I26" s="2">
        <v>180</v>
      </c>
      <c r="J26" s="2">
        <v>225</v>
      </c>
      <c r="K26" s="2">
        <v>180</v>
      </c>
      <c r="L26" s="2">
        <v>180</v>
      </c>
      <c r="M26" s="2">
        <v>225</v>
      </c>
      <c r="N26" s="2">
        <v>180</v>
      </c>
      <c r="O26" s="2">
        <v>180</v>
      </c>
      <c r="P26" s="9"/>
      <c r="Q26" s="2">
        <f>SUM(OSRRefD21_0_7x)+IFERROR(SUM(OSRRefE21_0_7x),0)</f>
        <v>2526.3000000000002</v>
      </c>
    </row>
    <row r="27" spans="1:17" s="34" customFormat="1" hidden="1" outlineLevel="1" x14ac:dyDescent="0.25">
      <c r="A27" s="35"/>
      <c r="B27" s="13" t="str">
        <f>CONCATENATE("          ","6156", " - ","EMPLOYEE MEALS")</f>
        <v xml:space="preserve">          6156 - EMPLOYEE MEALS</v>
      </c>
      <c r="C27" s="15"/>
      <c r="D27" s="2"/>
      <c r="E27" s="2"/>
      <c r="F27" s="2"/>
      <c r="G27" s="2"/>
      <c r="H27" s="2">
        <v>175</v>
      </c>
      <c r="I27" s="2">
        <v>175</v>
      </c>
      <c r="J27" s="2">
        <v>175</v>
      </c>
      <c r="K27" s="2">
        <v>175</v>
      </c>
      <c r="L27" s="2">
        <v>175</v>
      </c>
      <c r="M27" s="2">
        <v>175</v>
      </c>
      <c r="N27" s="2">
        <v>175</v>
      </c>
      <c r="O27" s="2">
        <v>175</v>
      </c>
      <c r="P27" s="9"/>
      <c r="Q27" s="2">
        <f>SUM(OSRRefD21_0_8x)+IFERROR(SUM(OSRRefE21_0_8x),0)</f>
        <v>1400</v>
      </c>
    </row>
    <row r="28" spans="1:17" s="34" customFormat="1" collapsed="1" x14ac:dyDescent="0.25">
      <c r="A28" s="35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8499.880000000001</v>
      </c>
      <c r="E28" s="1">
        <f>SUM(OSRRefD21_1x_1)</f>
        <v>6405.73</v>
      </c>
      <c r="F28" s="1">
        <f>SUM(OSRRefD21_1x_2)</f>
        <v>5757.22</v>
      </c>
      <c r="G28" s="1">
        <f>SUM(OSRRefD21_1x_3)</f>
        <v>7820.63</v>
      </c>
      <c r="H28" s="1">
        <f>SUM(OSRRefE21_1x_0)</f>
        <v>5676</v>
      </c>
      <c r="I28" s="1">
        <f>SUM(OSRRefE21_1x_1)</f>
        <v>5676</v>
      </c>
      <c r="J28" s="1">
        <f>SUM(OSRRefE21_1x_2)</f>
        <v>7095</v>
      </c>
      <c r="K28" s="1">
        <f>SUM(OSRRefE21_1x_3)</f>
        <v>5676</v>
      </c>
      <c r="L28" s="1">
        <f>SUM(OSRRefE21_1x_4)</f>
        <v>5676</v>
      </c>
      <c r="M28" s="1">
        <f>SUM(OSRRefE21_1x_5)</f>
        <v>7095</v>
      </c>
      <c r="N28" s="1">
        <f>SUM(OSRRefE21_1x_6)</f>
        <v>5676</v>
      </c>
      <c r="O28" s="1">
        <f>SUM(OSRRefE21_1x_7)</f>
        <v>5676</v>
      </c>
      <c r="Q28" s="2">
        <f>SUM(OSRRefD20_1x)+IFERROR(SUM(OSRRefE20_1x),0)</f>
        <v>76729.460000000006</v>
      </c>
    </row>
    <row r="29" spans="1:17" s="34" customFormat="1" hidden="1" outlineLevel="1" x14ac:dyDescent="0.25">
      <c r="A29" s="35"/>
      <c r="B29" s="13" t="str">
        <f>CONCATENATE("          ","6001", " - ","ADMINISTRATIVE SALARIES")</f>
        <v xml:space="preserve">          6001 - ADMINISTRATIVE SALARIES</v>
      </c>
      <c r="C29" s="15"/>
      <c r="D29" s="2"/>
      <c r="E29" s="2"/>
      <c r="F29" s="2"/>
      <c r="G29" s="2"/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4" customFormat="1" hidden="1" outlineLevel="1" x14ac:dyDescent="0.25">
      <c r="A30" s="35"/>
      <c r="B30" s="13" t="str">
        <f>CONCATENATE("          ","6002", " - ","STAFF SALARIES")</f>
        <v xml:space="preserve">          6002 - STAFF SALARIES</v>
      </c>
      <c r="C30" s="15"/>
      <c r="D30" s="2"/>
      <c r="E30" s="2"/>
      <c r="F30" s="2"/>
      <c r="G30" s="2"/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0</v>
      </c>
    </row>
    <row r="31" spans="1:17" s="34" customFormat="1" hidden="1" outlineLevel="1" x14ac:dyDescent="0.25">
      <c r="A31" s="35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25">
      <c r="A32" s="35"/>
      <c r="B32" s="13" t="str">
        <f>CONCATENATE("          ","6004", " - ","STAFF HOURLY")</f>
        <v xml:space="preserve">          6004 - STAFF HOURLY</v>
      </c>
      <c r="C32" s="15"/>
      <c r="D32" s="2">
        <v>5426.25</v>
      </c>
      <c r="E32" s="2">
        <v>5182.5</v>
      </c>
      <c r="F32" s="2">
        <v>4593.75</v>
      </c>
      <c r="G32" s="2">
        <v>7320</v>
      </c>
      <c r="H32" s="2">
        <v>4512</v>
      </c>
      <c r="I32" s="2">
        <v>4512</v>
      </c>
      <c r="J32" s="2">
        <v>5640</v>
      </c>
      <c r="K32" s="2">
        <v>4512</v>
      </c>
      <c r="L32" s="2">
        <v>4512</v>
      </c>
      <c r="M32" s="2">
        <v>5640</v>
      </c>
      <c r="N32" s="2">
        <v>4512</v>
      </c>
      <c r="O32" s="2">
        <v>4512</v>
      </c>
      <c r="P32" s="9"/>
      <c r="Q32" s="2">
        <f>SUM(OSRRefD21_1_3x)+IFERROR(SUM(OSRRefE21_1_3x),0)</f>
        <v>60874.5</v>
      </c>
    </row>
    <row r="33" spans="1:17" s="34" customFormat="1" hidden="1" outlineLevel="1" x14ac:dyDescent="0.25">
      <c r="A33" s="35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25">
      <c r="A34" s="35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25">
      <c r="A35" s="35"/>
      <c r="B35" s="13" t="str">
        <f>CONCATENATE("          ","6007", " - ","STUDENT HOURLY")</f>
        <v xml:space="preserve">          6007 - STUDENT HOURLY</v>
      </c>
      <c r="C35" s="15"/>
      <c r="D35" s="2">
        <v>1845</v>
      </c>
      <c r="E35" s="2">
        <v>-587</v>
      </c>
      <c r="F35" s="2">
        <v>-7</v>
      </c>
      <c r="G35" s="2">
        <v>-1251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1164</v>
      </c>
      <c r="O35" s="2">
        <v>1164</v>
      </c>
      <c r="P35" s="9"/>
      <c r="Q35" s="2">
        <f>SUM(OSRRefD21_1_6x)+IFERROR(SUM(OSRRefE21_1_6x),0)</f>
        <v>2328</v>
      </c>
    </row>
    <row r="36" spans="1:17" s="34" customFormat="1" hidden="1" outlineLevel="1" x14ac:dyDescent="0.25">
      <c r="A36" s="35"/>
      <c r="B36" s="13" t="str">
        <f>CONCATENATE("          ","6008", " - ","STUDENT HOURLY-FICA EXEMPT")</f>
        <v xml:space="preserve">          6008 - STUDENT HOURLY-FICA EXEMPT</v>
      </c>
      <c r="C36" s="15"/>
      <c r="D36" s="2">
        <v>1228.6300000000001</v>
      </c>
      <c r="E36" s="2">
        <v>1810.23</v>
      </c>
      <c r="F36" s="2">
        <v>1170.47</v>
      </c>
      <c r="G36" s="2">
        <v>1751.63</v>
      </c>
      <c r="H36" s="2">
        <v>1164</v>
      </c>
      <c r="I36" s="2">
        <v>1164</v>
      </c>
      <c r="J36" s="2">
        <v>1455</v>
      </c>
      <c r="K36" s="2">
        <v>1164</v>
      </c>
      <c r="L36" s="2">
        <v>1164</v>
      </c>
      <c r="M36" s="2">
        <v>1455</v>
      </c>
      <c r="N36" s="2">
        <v>0</v>
      </c>
      <c r="O36" s="2">
        <v>0</v>
      </c>
      <c r="P36" s="9"/>
      <c r="Q36" s="2">
        <f>SUM(OSRRefD21_1_7x)+IFERROR(SUM(OSRRefE21_1_7x),0)</f>
        <v>13526.96</v>
      </c>
    </row>
    <row r="37" spans="1:17" s="34" customFormat="1" hidden="1" outlineLevel="1" x14ac:dyDescent="0.25">
      <c r="A37" s="35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25">
      <c r="A38" s="35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25">
      <c r="A39" s="35"/>
      <c r="B39" s="15" t="str">
        <f>CONCATENATE("     ","Advertising/Promo                                 ")</f>
        <v xml:space="preserve">     Advertising/Promo                                 </v>
      </c>
      <c r="C39" s="15"/>
      <c r="D39" s="1">
        <f>SUM(OSRRefD21_2x_0)</f>
        <v>0</v>
      </c>
      <c r="E39" s="1">
        <f>SUM(OSRRefD21_2x_1)</f>
        <v>173.21</v>
      </c>
      <c r="F39" s="1">
        <f>SUM(OSRRefD21_2x_2)</f>
        <v>173.21</v>
      </c>
      <c r="G39" s="1">
        <f>SUM(OSRRefD21_2x_3)</f>
        <v>173.21</v>
      </c>
      <c r="H39" s="1">
        <f>SUM(OSRRefE21_2x_0)</f>
        <v>8333</v>
      </c>
      <c r="I39" s="1">
        <f>SUM(OSRRefE21_2x_1)</f>
        <v>8333</v>
      </c>
      <c r="J39" s="1">
        <f>SUM(OSRRefE21_2x_2)</f>
        <v>8333</v>
      </c>
      <c r="K39" s="1">
        <f>SUM(OSRRefE21_2x_3)</f>
        <v>8333</v>
      </c>
      <c r="L39" s="1">
        <f>SUM(OSRRefE21_2x_4)</f>
        <v>8333</v>
      </c>
      <c r="M39" s="1">
        <f>SUM(OSRRefE21_2x_5)</f>
        <v>8333</v>
      </c>
      <c r="N39" s="1">
        <f>SUM(OSRRefE21_2x_6)</f>
        <v>8333</v>
      </c>
      <c r="O39" s="1">
        <f>SUM(OSRRefE21_2x_7)</f>
        <v>8337</v>
      </c>
      <c r="Q39" s="2">
        <f>SUM(OSRRefD20_2x)+IFERROR(SUM(OSRRefE20_2x),0)</f>
        <v>67187.63</v>
      </c>
    </row>
    <row r="40" spans="1:17" s="34" customFormat="1" hidden="1" outlineLevel="1" x14ac:dyDescent="0.25">
      <c r="A40" s="35"/>
      <c r="B40" s="13" t="str">
        <f>CONCATENATE("          ","6362", " - ","ADVERTISING EXPENSE")</f>
        <v xml:space="preserve">          6362 - ADVERTISING EXPENSE</v>
      </c>
      <c r="C40" s="15"/>
      <c r="D40" s="2"/>
      <c r="E40" s="2">
        <v>173.21</v>
      </c>
      <c r="F40" s="2">
        <v>173.21</v>
      </c>
      <c r="G40" s="2">
        <v>173.21</v>
      </c>
      <c r="H40" s="2">
        <v>8333</v>
      </c>
      <c r="I40" s="2">
        <v>8333</v>
      </c>
      <c r="J40" s="2">
        <v>8333</v>
      </c>
      <c r="K40" s="2">
        <v>8333</v>
      </c>
      <c r="L40" s="2">
        <v>8333</v>
      </c>
      <c r="M40" s="2">
        <v>8333</v>
      </c>
      <c r="N40" s="2">
        <v>8333</v>
      </c>
      <c r="O40" s="2">
        <v>8337</v>
      </c>
      <c r="P40" s="9"/>
      <c r="Q40" s="2">
        <f>SUM(OSRRefD21_2_0x)+IFERROR(SUM(OSRRefE21_2_0x),0)</f>
        <v>67187.63</v>
      </c>
    </row>
    <row r="41" spans="1:17" s="34" customFormat="1" collapsed="1" x14ac:dyDescent="0.25">
      <c r="A41" s="35"/>
      <c r="B41" s="15" t="str">
        <f>CONCATENATE("     ","Depreciation                                      ")</f>
        <v xml:space="preserve">     Depreciation                                      </v>
      </c>
      <c r="C41" s="15"/>
      <c r="D41" s="1">
        <f>SUM(OSRRefD21_3x_0)</f>
        <v>271.27</v>
      </c>
      <c r="E41" s="1">
        <f>SUM(OSRRefD21_3x_1)</f>
        <v>271.27</v>
      </c>
      <c r="F41" s="1">
        <f>SUM(OSRRefD21_3x_2)</f>
        <v>271.27</v>
      </c>
      <c r="G41" s="1">
        <f>SUM(OSRRefD21_3x_3)</f>
        <v>271.27</v>
      </c>
      <c r="H41" s="1">
        <f>SUM(OSRRefE21_3x_0)</f>
        <v>271</v>
      </c>
      <c r="I41" s="1">
        <f>SUM(OSRRefE21_3x_1)</f>
        <v>271</v>
      </c>
      <c r="J41" s="1">
        <f>SUM(OSRRefE21_3x_2)</f>
        <v>271</v>
      </c>
      <c r="K41" s="1">
        <f>SUM(OSRRefE21_3x_3)</f>
        <v>0</v>
      </c>
      <c r="L41" s="1">
        <f>SUM(OSRRefE21_3x_4)</f>
        <v>0</v>
      </c>
      <c r="M41" s="1">
        <f>SUM(OSRRefE21_3x_5)</f>
        <v>0</v>
      </c>
      <c r="N41" s="1">
        <f>SUM(OSRRefE21_3x_6)</f>
        <v>0</v>
      </c>
      <c r="O41" s="1">
        <f>SUM(OSRRefE21_3x_7)</f>
        <v>0</v>
      </c>
      <c r="Q41" s="2">
        <f>SUM(OSRRefD20_3x)+IFERROR(SUM(OSRRefE20_3x),0)</f>
        <v>1898.08</v>
      </c>
    </row>
    <row r="42" spans="1:17" s="34" customFormat="1" hidden="1" outlineLevel="1" x14ac:dyDescent="0.25">
      <c r="A42" s="35"/>
      <c r="B42" s="13" t="str">
        <f>CONCATENATE("          ","6322", " - ","EQUIPMENT DEPRECIATION EXPENSE")</f>
        <v xml:space="preserve">          6322 - EQUIPMENT DEPRECIATION EXPENSE</v>
      </c>
      <c r="C42" s="15"/>
      <c r="D42" s="2">
        <v>271.27</v>
      </c>
      <c r="E42" s="2">
        <v>271.27</v>
      </c>
      <c r="F42" s="2">
        <v>271.27</v>
      </c>
      <c r="G42" s="2">
        <v>271.27</v>
      </c>
      <c r="H42" s="2">
        <v>271</v>
      </c>
      <c r="I42" s="2">
        <v>271</v>
      </c>
      <c r="J42" s="2">
        <v>271</v>
      </c>
      <c r="K42" s="2"/>
      <c r="L42" s="2"/>
      <c r="M42" s="2"/>
      <c r="N42" s="2"/>
      <c r="O42" s="2"/>
      <c r="P42" s="9"/>
      <c r="Q42" s="2">
        <f>SUM(OSRRefD21_3_0x)+IFERROR(SUM(OSRRefE21_3_0x),0)</f>
        <v>1898.08</v>
      </c>
    </row>
    <row r="43" spans="1:17" s="34" customFormat="1" collapsed="1" x14ac:dyDescent="0.25">
      <c r="A43" s="35"/>
      <c r="B43" s="15" t="str">
        <f>CONCATENATE("     ","Repair and Maintenance                            ")</f>
        <v xml:space="preserve">     Repair and Maintenance                            </v>
      </c>
      <c r="C43" s="15"/>
      <c r="D43" s="1">
        <f>SUM(OSRRefD21_4x_0)</f>
        <v>0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SUM(OSRRefE21_4x_0)</f>
        <v>667</v>
      </c>
      <c r="I43" s="1">
        <f>SUM(OSRRefE21_4x_1)</f>
        <v>667</v>
      </c>
      <c r="J43" s="1">
        <f>SUM(OSRRefE21_4x_2)</f>
        <v>667</v>
      </c>
      <c r="K43" s="1">
        <f>SUM(OSRRefE21_4x_3)</f>
        <v>667</v>
      </c>
      <c r="L43" s="1">
        <f>SUM(OSRRefE21_4x_4)</f>
        <v>667</v>
      </c>
      <c r="M43" s="1">
        <f>SUM(OSRRefE21_4x_5)</f>
        <v>667</v>
      </c>
      <c r="N43" s="1">
        <f>SUM(OSRRefE21_4x_6)</f>
        <v>667</v>
      </c>
      <c r="O43" s="1">
        <f>SUM(OSRRefE21_4x_7)</f>
        <v>663</v>
      </c>
      <c r="Q43" s="2">
        <f>SUM(OSRRefD20_4x)+IFERROR(SUM(OSRRefE20_4x),0)</f>
        <v>5332</v>
      </c>
    </row>
    <row r="44" spans="1:17" s="34" customFormat="1" hidden="1" outlineLevel="1" x14ac:dyDescent="0.25">
      <c r="A44" s="35"/>
      <c r="B44" s="13" t="str">
        <f>CONCATENATE("          ","6371", " - ","COMPUTER SOFTWARE MAINTENANCE")</f>
        <v xml:space="preserve">          6371 - COMPUTER SOFTWARE MAINTENANCE</v>
      </c>
      <c r="C44" s="15"/>
      <c r="D44" s="2"/>
      <c r="E44" s="2"/>
      <c r="F44" s="2"/>
      <c r="G44" s="2"/>
      <c r="H44" s="2">
        <v>667</v>
      </c>
      <c r="I44" s="2">
        <v>667</v>
      </c>
      <c r="J44" s="2">
        <v>667</v>
      </c>
      <c r="K44" s="2">
        <v>667</v>
      </c>
      <c r="L44" s="2">
        <v>667</v>
      </c>
      <c r="M44" s="2">
        <v>667</v>
      </c>
      <c r="N44" s="2">
        <v>667</v>
      </c>
      <c r="O44" s="2">
        <v>663</v>
      </c>
      <c r="P44" s="9"/>
      <c r="Q44" s="2">
        <f>SUM(OSRRefD21_4_0x)+IFERROR(SUM(OSRRefE21_4_0x),0)</f>
        <v>5332</v>
      </c>
    </row>
    <row r="45" spans="1:17" s="34" customFormat="1" collapsed="1" x14ac:dyDescent="0.25">
      <c r="A45" s="35"/>
      <c r="B45" s="15" t="str">
        <f>CONCATENATE("     ","Supplies                                          ")</f>
        <v xml:space="preserve">     Supplies                                          </v>
      </c>
      <c r="C45" s="15"/>
      <c r="D45" s="1">
        <f>SUM(OSRRefD21_5x_0)</f>
        <v>0</v>
      </c>
      <c r="E45" s="1">
        <f>SUM(OSRRefD21_5x_1)</f>
        <v>0</v>
      </c>
      <c r="F45" s="1">
        <f>SUM(OSRRefD21_5x_2)</f>
        <v>0</v>
      </c>
      <c r="G45" s="1">
        <f>SUM(OSRRefD21_5x_3)</f>
        <v>0</v>
      </c>
      <c r="H45" s="1">
        <f>SUM(OSRRefE21_5x_0)</f>
        <v>833</v>
      </c>
      <c r="I45" s="1">
        <f>SUM(OSRRefE21_5x_1)</f>
        <v>833</v>
      </c>
      <c r="J45" s="1">
        <f>SUM(OSRRefE21_5x_2)</f>
        <v>833</v>
      </c>
      <c r="K45" s="1">
        <f>SUM(OSRRefE21_5x_3)</f>
        <v>833</v>
      </c>
      <c r="L45" s="1">
        <f>SUM(OSRRefE21_5x_4)</f>
        <v>833</v>
      </c>
      <c r="M45" s="1">
        <f>SUM(OSRRefE21_5x_5)</f>
        <v>833</v>
      </c>
      <c r="N45" s="1">
        <f>SUM(OSRRefE21_5x_6)</f>
        <v>833</v>
      </c>
      <c r="O45" s="1">
        <f>SUM(OSRRefE21_5x_7)</f>
        <v>837</v>
      </c>
      <c r="Q45" s="2">
        <f>SUM(OSRRefD20_5x)+IFERROR(SUM(OSRRefE20_5x),0)</f>
        <v>6668</v>
      </c>
    </row>
    <row r="46" spans="1:17" s="34" customFormat="1" hidden="1" outlineLevel="1" x14ac:dyDescent="0.25">
      <c r="A46" s="35"/>
      <c r="B46" s="13" t="str">
        <f>CONCATENATE("          ","6241", " - ","OFFICE EXPENSE")</f>
        <v xml:space="preserve">          6241 - OFFICE EXPENSE</v>
      </c>
      <c r="C46" s="15"/>
      <c r="D46" s="2"/>
      <c r="E46" s="2"/>
      <c r="F46" s="2"/>
      <c r="G46" s="2"/>
      <c r="H46" s="2">
        <v>833</v>
      </c>
      <c r="I46" s="2">
        <v>833</v>
      </c>
      <c r="J46" s="2">
        <v>833</v>
      </c>
      <c r="K46" s="2">
        <v>833</v>
      </c>
      <c r="L46" s="2">
        <v>833</v>
      </c>
      <c r="M46" s="2">
        <v>833</v>
      </c>
      <c r="N46" s="2">
        <v>833</v>
      </c>
      <c r="O46" s="2">
        <v>837</v>
      </c>
      <c r="P46" s="9"/>
      <c r="Q46" s="2">
        <f>SUM(OSRRefD21_5_0x)+IFERROR(SUM(OSRRefE21_5_0x),0)</f>
        <v>6668</v>
      </c>
    </row>
    <row r="47" spans="1:17" s="34" customFormat="1" collapsed="1" x14ac:dyDescent="0.25">
      <c r="A47" s="35"/>
      <c r="B47" s="15" t="str">
        <f>CONCATENATE("     ","Telephone/Data Lines                              ")</f>
        <v xml:space="preserve">     Telephone/Data Lines                              </v>
      </c>
      <c r="C47" s="15"/>
      <c r="D47" s="1">
        <f>SUM(OSRRefD21_6x_0)</f>
        <v>36</v>
      </c>
      <c r="E47" s="1">
        <f>SUM(OSRRefD21_6x_1)</f>
        <v>36</v>
      </c>
      <c r="F47" s="1">
        <f>SUM(OSRRefD21_6x_2)</f>
        <v>0</v>
      </c>
      <c r="G47" s="1">
        <f>SUM(OSRRefD21_6x_3)</f>
        <v>36</v>
      </c>
      <c r="H47" s="1">
        <f>SUM(OSRRefE21_6x_0)</f>
        <v>0</v>
      </c>
      <c r="I47" s="1">
        <f>SUM(OSRRefE21_6x_1)</f>
        <v>0</v>
      </c>
      <c r="J47" s="1">
        <f>SUM(OSRRefE21_6x_2)</f>
        <v>0</v>
      </c>
      <c r="K47" s="1">
        <f>SUM(OSRRefE21_6x_3)</f>
        <v>0</v>
      </c>
      <c r="L47" s="1">
        <f>SUM(OSRRefE21_6x_4)</f>
        <v>0</v>
      </c>
      <c r="M47" s="1">
        <f>SUM(OSRRefE21_6x_5)</f>
        <v>0</v>
      </c>
      <c r="N47" s="1">
        <f>SUM(OSRRefE21_6x_6)</f>
        <v>0</v>
      </c>
      <c r="O47" s="1">
        <f>SUM(OSRRefE21_6x_7)</f>
        <v>0</v>
      </c>
      <c r="Q47" s="2">
        <f>SUM(OSRRefD20_6x)+IFERROR(SUM(OSRRefE20_6x),0)</f>
        <v>108</v>
      </c>
    </row>
    <row r="48" spans="1:17" s="34" customFormat="1" hidden="1" outlineLevel="1" x14ac:dyDescent="0.25">
      <c r="A48" s="35"/>
      <c r="B48" s="13" t="str">
        <f>CONCATENATE("          ","6309", " - ","TELEPHONE")</f>
        <v xml:space="preserve">          6309 - TELEPHONE</v>
      </c>
      <c r="C48" s="15"/>
      <c r="D48" s="2">
        <v>36</v>
      </c>
      <c r="E48" s="2">
        <v>36</v>
      </c>
      <c r="F48" s="2"/>
      <c r="G48" s="2">
        <v>36</v>
      </c>
      <c r="H48" s="2"/>
      <c r="I48" s="2"/>
      <c r="J48" s="2"/>
      <c r="K48" s="2"/>
      <c r="L48" s="2"/>
      <c r="M48" s="2"/>
      <c r="N48" s="2"/>
      <c r="O48" s="2"/>
      <c r="P48" s="9"/>
      <c r="Q48" s="2">
        <f>SUM(OSRRefD21_6_0x)+IFERROR(SUM(OSRRefE21_6_0x),0)</f>
        <v>108</v>
      </c>
    </row>
    <row r="49" spans="1:17" s="28" customFormat="1" x14ac:dyDescent="0.25">
      <c r="A49" s="20"/>
      <c r="B49" s="20"/>
      <c r="C49" s="20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9" customFormat="1" x14ac:dyDescent="0.25">
      <c r="A50" s="22"/>
      <c r="B50" s="16" t="s">
        <v>0</v>
      </c>
      <c r="C50" s="23"/>
      <c r="D50" s="3">
        <f t="shared" ref="D50:G50" si="4">0</f>
        <v>0</v>
      </c>
      <c r="E50" s="3">
        <f t="shared" si="4"/>
        <v>0</v>
      </c>
      <c r="F50" s="3">
        <f t="shared" si="4"/>
        <v>0</v>
      </c>
      <c r="G50" s="3">
        <f t="shared" si="4"/>
        <v>0</v>
      </c>
      <c r="H50" s="3"/>
      <c r="I50" s="3"/>
      <c r="J50" s="3"/>
      <c r="K50" s="3"/>
      <c r="L50" s="3"/>
      <c r="M50" s="3"/>
      <c r="N50" s="3"/>
      <c r="O50" s="3"/>
      <c r="Q50" s="2">
        <f>SUM(OSRRefD23_0x)+IFERROR(SUM(OSRRefE23_0x),0)</f>
        <v>0</v>
      </c>
    </row>
    <row r="51" spans="1:17" x14ac:dyDescent="0.25">
      <c r="A51" s="5"/>
      <c r="B51" s="8"/>
      <c r="C51" s="8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4" customFormat="1" x14ac:dyDescent="0.25">
      <c r="A52" s="8"/>
      <c r="B52" s="17" t="s">
        <v>3</v>
      </c>
      <c r="C52" s="17"/>
      <c r="D52" s="6">
        <f t="shared" ref="D52:O52" si="5">IFERROR(+D14-D17+D50, 0)</f>
        <v>-10356.060000000001</v>
      </c>
      <c r="E52" s="6">
        <f t="shared" si="5"/>
        <v>-8415.8599999999988</v>
      </c>
      <c r="F52" s="6">
        <f t="shared" si="5"/>
        <v>-7691.3700000000008</v>
      </c>
      <c r="G52" s="6">
        <f t="shared" si="5"/>
        <v>-10192.200000000001</v>
      </c>
      <c r="H52" s="6">
        <f t="shared" si="5"/>
        <v>-17391.590153846155</v>
      </c>
      <c r="I52" s="6">
        <f t="shared" si="5"/>
        <v>-17391.590153846155</v>
      </c>
      <c r="J52" s="6">
        <f t="shared" si="5"/>
        <v>-19169.737692307692</v>
      </c>
      <c r="K52" s="6">
        <f t="shared" si="5"/>
        <v>-17120.590153846155</v>
      </c>
      <c r="L52" s="6">
        <f t="shared" si="5"/>
        <v>-17120.590153846155</v>
      </c>
      <c r="M52" s="6">
        <f t="shared" si="5"/>
        <v>-18898.737692307692</v>
      </c>
      <c r="N52" s="6">
        <f t="shared" si="5"/>
        <v>-17212.426153846154</v>
      </c>
      <c r="O52" s="6">
        <f t="shared" si="5"/>
        <v>-17216.426153846154</v>
      </c>
      <c r="Q52" s="6">
        <f>IFERROR(+Q14-Q17+Q50, 0)</f>
        <v>-178177.17830769232</v>
      </c>
    </row>
    <row r="53" spans="1:17" s="8" customFormat="1" x14ac:dyDescent="0.25">
      <c r="B53" s="16"/>
      <c r="C53" s="16"/>
      <c r="D53" s="4">
        <f t="shared" ref="D53:O53" si="6">IFERROR(D52/D10, 0)</f>
        <v>0</v>
      </c>
      <c r="E53" s="4">
        <f t="shared" si="6"/>
        <v>0</v>
      </c>
      <c r="F53" s="4">
        <f t="shared" si="6"/>
        <v>0</v>
      </c>
      <c r="G53" s="4">
        <f t="shared" si="6"/>
        <v>0</v>
      </c>
      <c r="H53" s="4">
        <f t="shared" si="6"/>
        <v>0</v>
      </c>
      <c r="I53" s="4">
        <f t="shared" si="6"/>
        <v>0</v>
      </c>
      <c r="J53" s="4">
        <f t="shared" si="6"/>
        <v>0</v>
      </c>
      <c r="K53" s="4">
        <f t="shared" si="6"/>
        <v>0</v>
      </c>
      <c r="L53" s="4">
        <f t="shared" si="6"/>
        <v>0</v>
      </c>
      <c r="M53" s="4">
        <f t="shared" si="6"/>
        <v>0</v>
      </c>
      <c r="N53" s="4">
        <f t="shared" si="6"/>
        <v>0</v>
      </c>
      <c r="O53" s="4">
        <f t="shared" si="6"/>
        <v>0</v>
      </c>
      <c r="P53" s="18"/>
      <c r="Q53" s="4">
        <f>IFERROR(Q52/Q10, 0)</f>
        <v>0</v>
      </c>
    </row>
    <row r="54" spans="1:17" x14ac:dyDescent="0.25">
      <c r="A54" s="5"/>
      <c r="B54" s="8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s="14" customFormat="1" x14ac:dyDescent="0.25">
      <c r="A55" s="25"/>
      <c r="B55" s="8" t="s">
        <v>8</v>
      </c>
      <c r="C55" s="8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2">
        <f>SUM(OSRRefD28_0x)+IFERROR(SUM(OSRRefE28_0x),0)</f>
        <v>0</v>
      </c>
    </row>
    <row r="56" spans="1:17" x14ac:dyDescent="0.25">
      <c r="A56" s="5"/>
      <c r="B56" s="8"/>
      <c r="C56" s="8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4" customFormat="1" ht="15.75" thickBot="1" x14ac:dyDescent="0.3">
      <c r="A57" s="8"/>
      <c r="B57" s="17" t="s">
        <v>4</v>
      </c>
      <c r="C57" s="17"/>
      <c r="D57" s="7">
        <f t="shared" ref="D57:O57" si="7">IFERROR(+D52-D55, 0)</f>
        <v>-10356.060000000001</v>
      </c>
      <c r="E57" s="7">
        <f t="shared" si="7"/>
        <v>-8415.8599999999988</v>
      </c>
      <c r="F57" s="7">
        <f t="shared" si="7"/>
        <v>-7691.3700000000008</v>
      </c>
      <c r="G57" s="7">
        <f t="shared" si="7"/>
        <v>-10192.200000000001</v>
      </c>
      <c r="H57" s="7">
        <f t="shared" si="7"/>
        <v>-17391.590153846155</v>
      </c>
      <c r="I57" s="7">
        <f t="shared" si="7"/>
        <v>-17391.590153846155</v>
      </c>
      <c r="J57" s="7">
        <f t="shared" si="7"/>
        <v>-19169.737692307692</v>
      </c>
      <c r="K57" s="7">
        <f t="shared" si="7"/>
        <v>-17120.590153846155</v>
      </c>
      <c r="L57" s="7">
        <f t="shared" si="7"/>
        <v>-17120.590153846155</v>
      </c>
      <c r="M57" s="7">
        <f t="shared" si="7"/>
        <v>-18898.737692307692</v>
      </c>
      <c r="N57" s="7">
        <f t="shared" si="7"/>
        <v>-17212.426153846154</v>
      </c>
      <c r="O57" s="7">
        <f t="shared" si="7"/>
        <v>-17216.426153846154</v>
      </c>
      <c r="Q57" s="7">
        <f>IFERROR(+Q52-Q55, 0)</f>
        <v>-178177.17830769232</v>
      </c>
    </row>
    <row r="58" spans="1:17" ht="15.75" thickTop="1" x14ac:dyDescent="0.25">
      <c r="A58" s="5"/>
      <c r="B58" s="5"/>
      <c r="C58" s="5"/>
      <c r="D58" s="4">
        <f t="shared" ref="D58:O58" si="8">IFERROR(D57/D10, 0)</f>
        <v>0</v>
      </c>
      <c r="E58" s="4">
        <f t="shared" si="8"/>
        <v>0</v>
      </c>
      <c r="F58" s="4">
        <f t="shared" si="8"/>
        <v>0</v>
      </c>
      <c r="G58" s="4">
        <f t="shared" si="8"/>
        <v>0</v>
      </c>
      <c r="H58" s="4">
        <f t="shared" si="8"/>
        <v>0</v>
      </c>
      <c r="I58" s="4">
        <f t="shared" si="8"/>
        <v>0</v>
      </c>
      <c r="J58" s="4">
        <f t="shared" si="8"/>
        <v>0</v>
      </c>
      <c r="K58" s="4">
        <f t="shared" si="8"/>
        <v>0</v>
      </c>
      <c r="L58" s="4">
        <f t="shared" si="8"/>
        <v>0</v>
      </c>
      <c r="M58" s="4">
        <f t="shared" si="8"/>
        <v>0</v>
      </c>
      <c r="N58" s="4">
        <f t="shared" si="8"/>
        <v>0</v>
      </c>
      <c r="O58" s="4">
        <f t="shared" si="8"/>
        <v>0</v>
      </c>
      <c r="P58" s="18"/>
      <c r="Q58" s="4">
        <f>IFERROR(Q57/Q10, 0)</f>
        <v>0</v>
      </c>
    </row>
    <row r="59" spans="1:17" x14ac:dyDescent="0.25">
      <c r="A59" s="5"/>
      <c r="B59" s="5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x14ac:dyDescent="0.25">
      <c r="A60" s="5"/>
      <c r="B60" s="5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4" customFormat="1" ht="15.75" thickBot="1" x14ac:dyDescent="0.3">
      <c r="A61" s="8"/>
      <c r="B61" s="17" t="s">
        <v>5</v>
      </c>
      <c r="C61" s="17"/>
      <c r="D61" s="7">
        <f t="shared" ref="D61:O61" si="9">IFERROR(SUM(D57:D60), 0)</f>
        <v>-10356.060000000001</v>
      </c>
      <c r="E61" s="7">
        <f t="shared" si="9"/>
        <v>-8415.8599999999988</v>
      </c>
      <c r="F61" s="7">
        <f t="shared" si="9"/>
        <v>-7691.3700000000008</v>
      </c>
      <c r="G61" s="7">
        <f t="shared" si="9"/>
        <v>-10192.200000000001</v>
      </c>
      <c r="H61" s="7">
        <f t="shared" si="9"/>
        <v>-17391.590153846155</v>
      </c>
      <c r="I61" s="7">
        <f t="shared" si="9"/>
        <v>-17391.590153846155</v>
      </c>
      <c r="J61" s="7">
        <f t="shared" si="9"/>
        <v>-19169.737692307692</v>
      </c>
      <c r="K61" s="7">
        <f t="shared" si="9"/>
        <v>-17120.590153846155</v>
      </c>
      <c r="L61" s="7">
        <f t="shared" si="9"/>
        <v>-17120.590153846155</v>
      </c>
      <c r="M61" s="7">
        <f t="shared" si="9"/>
        <v>-18898.737692307692</v>
      </c>
      <c r="N61" s="7">
        <f t="shared" si="9"/>
        <v>-17212.426153846154</v>
      </c>
      <c r="O61" s="7">
        <f t="shared" si="9"/>
        <v>-17216.426153846154</v>
      </c>
      <c r="Q61" s="7">
        <f>IFERROR(SUM(Q57:Q60), 0)</f>
        <v>-178177.17830769232</v>
      </c>
    </row>
    <row r="62" spans="1:17" ht="15.75" thickTop="1" x14ac:dyDescent="0.25">
      <c r="A62" s="5"/>
      <c r="C62" s="5"/>
      <c r="D62" s="4">
        <f t="shared" ref="D62:O62" si="10">IFERROR(D61/D10, 0)</f>
        <v>0</v>
      </c>
      <c r="E62" s="4">
        <f t="shared" si="10"/>
        <v>0</v>
      </c>
      <c r="F62" s="4">
        <f t="shared" si="10"/>
        <v>0</v>
      </c>
      <c r="G62" s="4">
        <f t="shared" si="10"/>
        <v>0</v>
      </c>
      <c r="H62" s="4">
        <f t="shared" si="10"/>
        <v>0</v>
      </c>
      <c r="I62" s="4">
        <f t="shared" si="10"/>
        <v>0</v>
      </c>
      <c r="J62" s="4">
        <f t="shared" si="10"/>
        <v>0</v>
      </c>
      <c r="K62" s="4">
        <f t="shared" si="10"/>
        <v>0</v>
      </c>
      <c r="L62" s="4">
        <f t="shared" si="10"/>
        <v>0</v>
      </c>
      <c r="M62" s="4">
        <f t="shared" si="10"/>
        <v>0</v>
      </c>
      <c r="N62" s="4">
        <f t="shared" si="10"/>
        <v>0</v>
      </c>
      <c r="O62" s="4">
        <f t="shared" si="10"/>
        <v>0</v>
      </c>
      <c r="P62" s="18"/>
      <c r="Q62" s="4">
        <f>IFERROR(Q61/Q10, 0)</f>
        <v>0</v>
      </c>
    </row>
    <row r="63" spans="1:17" x14ac:dyDescent="0.25">
      <c r="A63" s="5"/>
      <c r="B63" s="26">
        <v>44151.564751967591</v>
      </c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Q63" s="12"/>
    </row>
    <row r="64" spans="1:17" x14ac:dyDescent="0.25">
      <c r="A64" s="5"/>
      <c r="B64" s="30" t="s">
        <v>311</v>
      </c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Q64" s="12"/>
    </row>
    <row r="65" spans="1:17" x14ac:dyDescent="0.25">
      <c r="A65" s="5"/>
      <c r="B65" s="31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Q65" s="12"/>
    </row>
    <row r="66" spans="1:17" x14ac:dyDescent="0.25"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Q66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22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">
        <v>295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227667.24999999994</v>
      </c>
      <c r="E10" s="3">
        <f>SUM(OSRRefD11x_1)</f>
        <v>1597913.1100000003</v>
      </c>
      <c r="F10" s="3">
        <f>SUM(OSRRefD11x_2)</f>
        <v>370907.34</v>
      </c>
      <c r="G10" s="3">
        <f>SUM(OSRRefD11x_3)</f>
        <v>160109.03000000003</v>
      </c>
      <c r="H10" s="3">
        <f>SUM(OSRRefE11x_0)</f>
        <v>304424.2</v>
      </c>
      <c r="I10" s="3">
        <f>SUM(OSRRefE11x_1)</f>
        <v>313761</v>
      </c>
      <c r="J10" s="3">
        <f>SUM(OSRRefE11x_2)</f>
        <v>1143137.3999999999</v>
      </c>
      <c r="K10" s="3">
        <f>SUM(OSRRefE11x_3)</f>
        <v>395086.7</v>
      </c>
      <c r="L10" s="3">
        <f>SUM(OSRRefE11x_4)</f>
        <v>281935.3</v>
      </c>
      <c r="M10" s="3">
        <f>SUM(OSRRefE11x_5)</f>
        <v>270450.55</v>
      </c>
      <c r="N10" s="3">
        <f>SUM(OSRRefE11x_6)</f>
        <v>381866.8</v>
      </c>
      <c r="O10" s="3">
        <f>SUM(OSRRefE11x_7)</f>
        <v>306108.90000000002</v>
      </c>
      <c r="P10" s="24"/>
      <c r="Q10" s="3">
        <f>SUM(OSRRefG11x)</f>
        <v>5753367.5799999982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-10723.46</f>
        <v>-10723.46</v>
      </c>
      <c r="E11" s="2">
        <f>-17230.39</f>
        <v>-17230.39</v>
      </c>
      <c r="F11" s="2">
        <f>-8123.23</f>
        <v>-8123.23</v>
      </c>
      <c r="G11" s="2">
        <f>-11383.24</f>
        <v>-11383.24</v>
      </c>
      <c r="H11" s="2">
        <v>303915.2</v>
      </c>
      <c r="I11" s="2">
        <v>313015</v>
      </c>
      <c r="J11" s="2">
        <v>1142579.3999999999</v>
      </c>
      <c r="K11" s="2">
        <v>394458.7</v>
      </c>
      <c r="L11" s="2">
        <v>280892.3</v>
      </c>
      <c r="M11" s="2">
        <v>269712.55</v>
      </c>
      <c r="N11" s="2">
        <v>380935.8</v>
      </c>
      <c r="O11" s="2">
        <v>305757.90000000002</v>
      </c>
      <c r="Q11" s="2">
        <f>SUM(OSRRefD11_0x)+IFERROR(SUM(OSRRefE11_0x),0)</f>
        <v>3343806.5299999993</v>
      </c>
    </row>
    <row r="12" spans="1:18" s="9" customFormat="1" hidden="1" outlineLevel="1" x14ac:dyDescent="0.2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712327.57</v>
      </c>
    </row>
    <row r="13" spans="1:18" s="9" customFormat="1" hidden="1" outlineLevel="1" x14ac:dyDescent="0.2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319139.52</v>
      </c>
    </row>
    <row r="14" spans="1:18" s="9" customFormat="1" hidden="1" outlineLevel="1" x14ac:dyDescent="0.2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10665.630000000001</v>
      </c>
    </row>
    <row r="15" spans="1:18" s="9" customFormat="1" hidden="1" outlineLevel="1" x14ac:dyDescent="0.2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2459.56</v>
      </c>
    </row>
    <row r="16" spans="1:18" s="9" customFormat="1" hidden="1" outlineLevel="1" x14ac:dyDescent="0.2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197.37</v>
      </c>
    </row>
    <row r="17" spans="1:17" s="9" customFormat="1" hidden="1" outlineLevel="1" x14ac:dyDescent="0.2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/>
      <c r="I17" s="2"/>
      <c r="J17" s="2"/>
      <c r="K17" s="2"/>
      <c r="L17" s="2"/>
      <c r="M17" s="2"/>
      <c r="N17" s="2"/>
      <c r="O17" s="2"/>
      <c r="Q17" s="2">
        <f>SUM(OSRRefD11_6x)+IFERROR(SUM(OSRRefE11_6x),0)</f>
        <v>340.24</v>
      </c>
    </row>
    <row r="18" spans="1:17" s="9" customFormat="1" hidden="1" outlineLevel="1" x14ac:dyDescent="0.2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/>
      <c r="I18" s="2"/>
      <c r="J18" s="2"/>
      <c r="K18" s="2"/>
      <c r="L18" s="2"/>
      <c r="M18" s="2"/>
      <c r="N18" s="2"/>
      <c r="O18" s="2"/>
      <c r="Q18" s="2">
        <f>SUM(OSRRefD11_7x)+IFERROR(SUM(OSRRefE11_7x),0)</f>
        <v>183.89000000000001</v>
      </c>
    </row>
    <row r="19" spans="1:17" s="9" customFormat="1" hidden="1" outlineLevel="1" x14ac:dyDescent="0.25">
      <c r="A19" s="22"/>
      <c r="B19" s="13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/>
      <c r="I19" s="2"/>
      <c r="J19" s="2"/>
      <c r="K19" s="2"/>
      <c r="L19" s="2"/>
      <c r="M19" s="2"/>
      <c r="N19" s="2"/>
      <c r="O19" s="2"/>
      <c r="Q19" s="2">
        <f>SUM(OSRRefD11_8x)+IFERROR(SUM(OSRRefE11_8x),0)</f>
        <v>278.83</v>
      </c>
    </row>
    <row r="20" spans="1:17" s="9" customFormat="1" hidden="1" outlineLevel="1" x14ac:dyDescent="0.25">
      <c r="A20" s="22"/>
      <c r="B20" s="13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/>
      <c r="I20" s="2"/>
      <c r="J20" s="2"/>
      <c r="K20" s="2"/>
      <c r="L20" s="2"/>
      <c r="M20" s="2"/>
      <c r="N20" s="2"/>
      <c r="O20" s="2"/>
      <c r="Q20" s="2">
        <f>SUM(OSRRefD11_9x)+IFERROR(SUM(OSRRefE11_9x),0)</f>
        <v>35003.5</v>
      </c>
    </row>
    <row r="21" spans="1:17" s="9" customFormat="1" hidden="1" outlineLevel="1" x14ac:dyDescent="0.25">
      <c r="A21" s="22"/>
      <c r="B21" s="13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/>
      <c r="I21" s="2"/>
      <c r="J21" s="2"/>
      <c r="K21" s="2"/>
      <c r="L21" s="2"/>
      <c r="M21" s="2"/>
      <c r="N21" s="2"/>
      <c r="O21" s="2"/>
      <c r="Q21" s="2">
        <f>SUM(OSRRefD11_10x)+IFERROR(SUM(OSRRefE11_10x),0)</f>
        <v>14268.850000000002</v>
      </c>
    </row>
    <row r="22" spans="1:17" s="9" customFormat="1" hidden="1" outlineLevel="1" x14ac:dyDescent="0.25">
      <c r="A22" s="22"/>
      <c r="B22" s="13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/>
      <c r="I22" s="2"/>
      <c r="J22" s="2"/>
      <c r="K22" s="2"/>
      <c r="L22" s="2"/>
      <c r="M22" s="2"/>
      <c r="N22" s="2"/>
      <c r="O22" s="2"/>
      <c r="Q22" s="2">
        <f>SUM(OSRRefD11_11x)+IFERROR(SUM(OSRRefE11_11x),0)</f>
        <v>1667.9599999999998</v>
      </c>
    </row>
    <row r="23" spans="1:17" s="9" customFormat="1" hidden="1" outlineLevel="1" x14ac:dyDescent="0.25">
      <c r="A23" s="22"/>
      <c r="B23" s="13" t="str">
        <f>CONCATENATE("          ","4032", " - ","TAXABLE SALES-JUICE")</f>
        <v xml:space="preserve">          4032 - TAXABLE SALES-JUICE</v>
      </c>
      <c r="C23" s="23"/>
      <c r="D23" s="2">
        <f>0</f>
        <v>0</v>
      </c>
      <c r="E23" s="2">
        <f>--88.2</f>
        <v>88.2</v>
      </c>
      <c r="F23" s="2">
        <f>--356.39</f>
        <v>356.39</v>
      </c>
      <c r="G23" s="2">
        <f t="shared" ref="G23:G24" si="1">0</f>
        <v>0</v>
      </c>
      <c r="H23" s="2"/>
      <c r="I23" s="2"/>
      <c r="J23" s="2"/>
      <c r="K23" s="2"/>
      <c r="L23" s="2"/>
      <c r="M23" s="2"/>
      <c r="N23" s="2"/>
      <c r="O23" s="2"/>
      <c r="Q23" s="2">
        <f>SUM(OSRRefD11_12x)+IFERROR(SUM(OSRRefE11_12x),0)</f>
        <v>444.59</v>
      </c>
    </row>
    <row r="24" spans="1:17" s="9" customFormat="1" hidden="1" outlineLevel="1" x14ac:dyDescent="0.25">
      <c r="A24" s="22"/>
      <c r="B24" s="13" t="str">
        <f>CONCATENATE("          ","4034", " - ","TAXABLE SALES-SODA")</f>
        <v xml:space="preserve">          4034 - TAXABLE SALES-SODA</v>
      </c>
      <c r="C24" s="23"/>
      <c r="D24" s="2">
        <f>--6.78</f>
        <v>6.78</v>
      </c>
      <c r="E24" s="2">
        <f t="shared" ref="E24:F24" si="2">0</f>
        <v>0</v>
      </c>
      <c r="F24" s="2">
        <f t="shared" si="2"/>
        <v>0</v>
      </c>
      <c r="G24" s="2">
        <f t="shared" si="1"/>
        <v>0</v>
      </c>
      <c r="H24" s="2"/>
      <c r="I24" s="2"/>
      <c r="J24" s="2"/>
      <c r="K24" s="2"/>
      <c r="L24" s="2"/>
      <c r="M24" s="2"/>
      <c r="N24" s="2"/>
      <c r="O24" s="2"/>
      <c r="Q24" s="2">
        <f>SUM(OSRRefD11_13x)+IFERROR(SUM(OSRRefE11_13x),0)</f>
        <v>6.78</v>
      </c>
    </row>
    <row r="25" spans="1:17" s="9" customFormat="1" hidden="1" outlineLevel="1" x14ac:dyDescent="0.25">
      <c r="A25" s="22"/>
      <c r="B25" s="13" t="str">
        <f>CONCATENATE("          ","4040", " - ","TAXABLE SALES-LOGO CLOTHING")</f>
        <v xml:space="preserve">          4040 - TAXABLE SALES-LOGO CLOTHING</v>
      </c>
      <c r="C25" s="23"/>
      <c r="D25" s="2">
        <f>--72292.26</f>
        <v>72292.259999999995</v>
      </c>
      <c r="E25" s="2">
        <f>--177286.09</f>
        <v>177286.09</v>
      </c>
      <c r="F25" s="2">
        <f>--78841.84</f>
        <v>78841.84</v>
      </c>
      <c r="G25" s="2">
        <f>--54384.72</f>
        <v>54384.72</v>
      </c>
      <c r="H25" s="2"/>
      <c r="I25" s="2"/>
      <c r="J25" s="2"/>
      <c r="K25" s="2"/>
      <c r="L25" s="2"/>
      <c r="M25" s="2"/>
      <c r="N25" s="2"/>
      <c r="O25" s="2"/>
      <c r="Q25" s="2">
        <f>SUM(OSRRefD11_14x)+IFERROR(SUM(OSRRefE11_14x),0)</f>
        <v>382804.90999999992</v>
      </c>
    </row>
    <row r="26" spans="1:17" s="9" customFormat="1" hidden="1" outlineLevel="1" x14ac:dyDescent="0.25">
      <c r="A26" s="22"/>
      <c r="B26" s="13" t="str">
        <f>CONCATENATE("          ","4041", " - ","TAXABLE SALES-LOGO GIFTS")</f>
        <v xml:space="preserve">          4041 - TAXABLE SALES-LOGO GIFTS</v>
      </c>
      <c r="C26" s="23"/>
      <c r="D26" s="2">
        <f>--21188.91</f>
        <v>21188.91</v>
      </c>
      <c r="E26" s="2">
        <f>--82120.65</f>
        <v>82120.649999999994</v>
      </c>
      <c r="F26" s="2">
        <f>--27724.06</f>
        <v>27724.06</v>
      </c>
      <c r="G26" s="2">
        <f>--22053.6</f>
        <v>22053.599999999999</v>
      </c>
      <c r="H26" s="2"/>
      <c r="I26" s="2"/>
      <c r="J26" s="2"/>
      <c r="K26" s="2"/>
      <c r="L26" s="2"/>
      <c r="M26" s="2"/>
      <c r="N26" s="2"/>
      <c r="O26" s="2"/>
      <c r="Q26" s="2">
        <f>SUM(OSRRefD11_15x)+IFERROR(SUM(OSRRefE11_15x),0)</f>
        <v>153087.22</v>
      </c>
    </row>
    <row r="27" spans="1:17" s="9" customFormat="1" hidden="1" outlineLevel="1" x14ac:dyDescent="0.25">
      <c r="A27" s="22"/>
      <c r="B27" s="13" t="str">
        <f>CONCATENATE("          ","4042", " - ","TAXABLE SALES-EVERYDAY GIFTS")</f>
        <v xml:space="preserve">          4042 - TAXABLE SALES-EVERYDAY GIFTS</v>
      </c>
      <c r="C27" s="23"/>
      <c r="D27" s="2">
        <f>--9503.9</f>
        <v>9503.9</v>
      </c>
      <c r="E27" s="2">
        <f>--30421.14</f>
        <v>30421.14</v>
      </c>
      <c r="F27" s="2">
        <f>--8004.46</f>
        <v>8004.46</v>
      </c>
      <c r="G27" s="2">
        <f>--6854.18</f>
        <v>6854.18</v>
      </c>
      <c r="H27" s="2"/>
      <c r="I27" s="2"/>
      <c r="J27" s="2"/>
      <c r="K27" s="2"/>
      <c r="L27" s="2"/>
      <c r="M27" s="2"/>
      <c r="N27" s="2"/>
      <c r="O27" s="2"/>
      <c r="Q27" s="2">
        <f>SUM(OSRRefD11_16x)+IFERROR(SUM(OSRRefE11_16x),0)</f>
        <v>54783.68</v>
      </c>
    </row>
    <row r="28" spans="1:17" s="9" customFormat="1" hidden="1" outlineLevel="1" x14ac:dyDescent="0.25">
      <c r="A28" s="22"/>
      <c r="B28" s="13" t="str">
        <f>CONCATENATE("          ","4043", " - ","TAXABLE SALES-CARDS")</f>
        <v xml:space="preserve">          4043 - TAXABLE SALES-CARDS</v>
      </c>
      <c r="C28" s="23"/>
      <c r="D28" s="2">
        <f>--217.36</f>
        <v>217.36</v>
      </c>
      <c r="E28" s="2">
        <f>--6768.27</f>
        <v>6768.27</v>
      </c>
      <c r="F28" s="2">
        <f>--2805.53</f>
        <v>2805.53</v>
      </c>
      <c r="G28" s="2">
        <f>--30454.88</f>
        <v>30454.880000000001</v>
      </c>
      <c r="H28" s="2"/>
      <c r="I28" s="2"/>
      <c r="J28" s="2"/>
      <c r="K28" s="2"/>
      <c r="L28" s="2"/>
      <c r="M28" s="2"/>
      <c r="N28" s="2"/>
      <c r="O28" s="2"/>
      <c r="Q28" s="2">
        <f>SUM(OSRRefD11_17x)+IFERROR(SUM(OSRRefE11_17x),0)</f>
        <v>40246.04</v>
      </c>
    </row>
    <row r="29" spans="1:17" s="9" customFormat="1" hidden="1" outlineLevel="1" x14ac:dyDescent="0.25">
      <c r="A29" s="22"/>
      <c r="B29" s="13" t="str">
        <f>CONCATENATE("          ","4044", " - ","TAXABLE SALES-ACCESSORIES")</f>
        <v xml:space="preserve">          4044 - TAXABLE SALES-ACCESSORIES</v>
      </c>
      <c r="C29" s="23"/>
      <c r="D29" s="2">
        <f>--1800.68</f>
        <v>1800.68</v>
      </c>
      <c r="E29" s="2">
        <f>--6568.52</f>
        <v>6568.52</v>
      </c>
      <c r="F29" s="2">
        <f>--2962.32</f>
        <v>2962.32</v>
      </c>
      <c r="G29" s="2">
        <f>--1157.64</f>
        <v>1157.6400000000001</v>
      </c>
      <c r="H29" s="2"/>
      <c r="I29" s="2"/>
      <c r="J29" s="2"/>
      <c r="K29" s="2"/>
      <c r="L29" s="2"/>
      <c r="M29" s="2"/>
      <c r="N29" s="2"/>
      <c r="O29" s="2"/>
      <c r="Q29" s="2">
        <f>SUM(OSRRefD11_18x)+IFERROR(SUM(OSRRefE11_18x),0)</f>
        <v>12489.16</v>
      </c>
    </row>
    <row r="30" spans="1:17" s="9" customFormat="1" hidden="1" outlineLevel="1" x14ac:dyDescent="0.25">
      <c r="A30" s="22"/>
      <c r="B30" s="13" t="str">
        <f>CONCATENATE("          ","4045", " - ","TAXABLE SALES-SPECIAL ORDERS")</f>
        <v xml:space="preserve">          4045 - TAXABLE SALES-SPECIAL ORDERS</v>
      </c>
      <c r="C30" s="23"/>
      <c r="D30" s="2">
        <f>--43426.73</f>
        <v>43426.73</v>
      </c>
      <c r="E30" s="2">
        <f>--46004.35</f>
        <v>46004.35</v>
      </c>
      <c r="F30" s="2">
        <f>--2575.36</f>
        <v>2575.36</v>
      </c>
      <c r="G30" s="2">
        <f>--4950.17</f>
        <v>4950.17</v>
      </c>
      <c r="H30" s="2"/>
      <c r="I30" s="2"/>
      <c r="J30" s="2"/>
      <c r="K30" s="2"/>
      <c r="L30" s="2"/>
      <c r="M30" s="2"/>
      <c r="N30" s="2"/>
      <c r="O30" s="2"/>
      <c r="Q30" s="2">
        <f>SUM(OSRRefD11_19x)+IFERROR(SUM(OSRRefE11_19x),0)</f>
        <v>96956.61</v>
      </c>
    </row>
    <row r="31" spans="1:17" s="9" customFormat="1" hidden="1" outlineLevel="1" x14ac:dyDescent="0.25">
      <c r="A31" s="22"/>
      <c r="B31" s="13" t="str">
        <f>CONCATENATE("          ","4081", " - ","TAXABLE SALES-ELECTRONICS")</f>
        <v xml:space="preserve">          4081 - TAXABLE SALES-ELECTRONICS</v>
      </c>
      <c r="C31" s="23"/>
      <c r="D31" s="2">
        <f t="shared" ref="D31:E32" si="3">0</f>
        <v>0</v>
      </c>
      <c r="E31" s="2">
        <f t="shared" si="3"/>
        <v>0</v>
      </c>
      <c r="F31" s="2">
        <f>--71.95</f>
        <v>71.95</v>
      </c>
      <c r="G31" s="2">
        <f t="shared" ref="G31:G32" si="4">0</f>
        <v>0</v>
      </c>
      <c r="H31" s="2"/>
      <c r="I31" s="2"/>
      <c r="J31" s="2"/>
      <c r="K31" s="2"/>
      <c r="L31" s="2"/>
      <c r="M31" s="2"/>
      <c r="N31" s="2"/>
      <c r="O31" s="2"/>
      <c r="Q31" s="2">
        <f>SUM(OSRRefD11_20x)+IFERROR(SUM(OSRRefE11_20x),0)</f>
        <v>71.95</v>
      </c>
    </row>
    <row r="32" spans="1:17" s="9" customFormat="1" hidden="1" outlineLevel="1" x14ac:dyDescent="0.25">
      <c r="A32" s="22"/>
      <c r="B32" s="13" t="str">
        <f>CONCATENATE("          ","4083", " - ","TAXABLE SALES-COMPUTER EQUIPME")</f>
        <v xml:space="preserve">          4083 - TAXABLE SALES-COMPUTER EQUIPME</v>
      </c>
      <c r="C32" s="23"/>
      <c r="D32" s="2">
        <f t="shared" si="3"/>
        <v>0</v>
      </c>
      <c r="E32" s="2">
        <f t="shared" si="3"/>
        <v>0</v>
      </c>
      <c r="F32" s="2">
        <f>--9.99</f>
        <v>9.99</v>
      </c>
      <c r="G32" s="2">
        <f t="shared" si="4"/>
        <v>0</v>
      </c>
      <c r="H32" s="2"/>
      <c r="I32" s="2"/>
      <c r="J32" s="2"/>
      <c r="K32" s="2"/>
      <c r="L32" s="2"/>
      <c r="M32" s="2"/>
      <c r="N32" s="2"/>
      <c r="O32" s="2"/>
      <c r="Q32" s="2">
        <f>SUM(OSRRefD11_21x)+IFERROR(SUM(OSRRefE11_21x),0)</f>
        <v>9.99</v>
      </c>
    </row>
    <row r="33" spans="1:17" s="9" customFormat="1" hidden="1" outlineLevel="1" x14ac:dyDescent="0.25">
      <c r="A33" s="22"/>
      <c r="B33" s="13" t="str">
        <f>CONCATENATE("          ","4100", " - ","NON-TAXABLE SALES")</f>
        <v xml:space="preserve">          4100 - NON-TAXABLE SALES</v>
      </c>
      <c r="C33" s="23"/>
      <c r="D33" s="2">
        <f>--3038.3</f>
        <v>3038.3</v>
      </c>
      <c r="E33" s="2">
        <f>--150360.03</f>
        <v>150360.03</v>
      </c>
      <c r="F33" s="2">
        <f>--10945.69</f>
        <v>10945.69</v>
      </c>
      <c r="G33" s="2">
        <f>--135.79</f>
        <v>135.79</v>
      </c>
      <c r="H33" s="2">
        <v>509</v>
      </c>
      <c r="I33" s="2">
        <v>746</v>
      </c>
      <c r="J33" s="2">
        <v>558</v>
      </c>
      <c r="K33" s="2">
        <v>628</v>
      </c>
      <c r="L33" s="2">
        <v>1043</v>
      </c>
      <c r="M33" s="2">
        <v>738</v>
      </c>
      <c r="N33" s="2">
        <v>931</v>
      </c>
      <c r="O33" s="2">
        <v>351</v>
      </c>
      <c r="Q33" s="2">
        <f>SUM(OSRRefD11_22x)+IFERROR(SUM(OSRRefE11_22x),0)</f>
        <v>169983.81</v>
      </c>
    </row>
    <row r="34" spans="1:17" s="9" customFormat="1" hidden="1" outlineLevel="1" x14ac:dyDescent="0.25">
      <c r="A34" s="22"/>
      <c r="B34" s="13" t="str">
        <f>CONCATENATE("          ","4101", " - ","NON-TAXABLE SALES-NEW TEXT")</f>
        <v xml:space="preserve">          4101 - NON-TAXABLE SALES-NEW TEXT</v>
      </c>
      <c r="C34" s="23"/>
      <c r="D34" s="2">
        <f>--10341.86</f>
        <v>10341.86</v>
      </c>
      <c r="E34" s="2">
        <f>--41238.82</f>
        <v>41238.82</v>
      </c>
      <c r="F34" s="2">
        <f>--18824.16</f>
        <v>18824.16</v>
      </c>
      <c r="G34" s="2">
        <f>--7260.05</f>
        <v>7260.05</v>
      </c>
      <c r="H34" s="2"/>
      <c r="I34" s="2"/>
      <c r="J34" s="2"/>
      <c r="K34" s="2"/>
      <c r="L34" s="2"/>
      <c r="M34" s="2"/>
      <c r="N34" s="2"/>
      <c r="O34" s="2"/>
      <c r="Q34" s="2">
        <f>SUM(OSRRefD11_23x)+IFERROR(SUM(OSRRefE11_23x),0)</f>
        <v>77664.89</v>
      </c>
    </row>
    <row r="35" spans="1:17" s="9" customFormat="1" hidden="1" outlineLevel="1" x14ac:dyDescent="0.25">
      <c r="A35" s="22"/>
      <c r="B35" s="13" t="str">
        <f>CONCATENATE("          ","4102", " - ","NON-TAXABLE SALES-USED TEXT")</f>
        <v xml:space="preserve">          4102 - NON-TAXABLE SALES-USED TEXT</v>
      </c>
      <c r="C35" s="23"/>
      <c r="D35" s="2">
        <f>--4190.44</f>
        <v>4190.4399999999996</v>
      </c>
      <c r="E35" s="2">
        <f>--17373.3</f>
        <v>17373.3</v>
      </c>
      <c r="F35" s="2">
        <f>--8807.08</f>
        <v>8807.08</v>
      </c>
      <c r="G35" s="2">
        <f>--2341.65</f>
        <v>2341.65</v>
      </c>
      <c r="H35" s="2"/>
      <c r="I35" s="2"/>
      <c r="J35" s="2"/>
      <c r="K35" s="2"/>
      <c r="L35" s="2"/>
      <c r="M35" s="2"/>
      <c r="N35" s="2"/>
      <c r="O35" s="2"/>
      <c r="Q35" s="2">
        <f>SUM(OSRRefD11_24x)+IFERROR(SUM(OSRRefE11_24x),0)</f>
        <v>32712.47</v>
      </c>
    </row>
    <row r="36" spans="1:17" s="9" customFormat="1" hidden="1" outlineLevel="1" x14ac:dyDescent="0.25">
      <c r="A36" s="22"/>
      <c r="B36" s="13" t="str">
        <f>CONCATENATE("          ","4103", " - ","NON-TAXABLE SALES-RENTAL TEXT")</f>
        <v xml:space="preserve">          4103 - NON-TAXABLE SALES-RENTAL TEXT</v>
      </c>
      <c r="C36" s="23"/>
      <c r="D36" s="2">
        <f t="shared" ref="D36:E36" si="5">0</f>
        <v>0</v>
      </c>
      <c r="E36" s="2">
        <f t="shared" si="5"/>
        <v>0</v>
      </c>
      <c r="F36" s="2">
        <f>--284.97</f>
        <v>284.97000000000003</v>
      </c>
      <c r="G36" s="2">
        <f>0</f>
        <v>0</v>
      </c>
      <c r="H36" s="2"/>
      <c r="I36" s="2"/>
      <c r="J36" s="2"/>
      <c r="K36" s="2"/>
      <c r="L36" s="2"/>
      <c r="M36" s="2"/>
      <c r="N36" s="2"/>
      <c r="O36" s="2"/>
      <c r="Q36" s="2">
        <f>SUM(OSRRefD11_25x)+IFERROR(SUM(OSRRefE11_25x),0)</f>
        <v>284.97000000000003</v>
      </c>
    </row>
    <row r="37" spans="1:17" s="9" customFormat="1" hidden="1" outlineLevel="1" x14ac:dyDescent="0.25">
      <c r="A37" s="22"/>
      <c r="B37" s="13" t="str">
        <f>CONCATENATE("          ","4104", " - ","NON-TAXABLE SALES-DIGITAL TEXT")</f>
        <v xml:space="preserve">          4104 - NON-TAXABLE SALES-DIGITAL TEXT</v>
      </c>
      <c r="C37" s="23"/>
      <c r="D37" s="2">
        <f>--7485.52</f>
        <v>7485.52</v>
      </c>
      <c r="E37" s="2">
        <f>--205404.66</f>
        <v>205404.66</v>
      </c>
      <c r="F37" s="2">
        <f>--73817.67</f>
        <v>73817.67</v>
      </c>
      <c r="G37" s="2">
        <f>--6767.67</f>
        <v>6767.67</v>
      </c>
      <c r="H37" s="2"/>
      <c r="I37" s="2"/>
      <c r="J37" s="2"/>
      <c r="K37" s="2"/>
      <c r="L37" s="2"/>
      <c r="M37" s="2"/>
      <c r="N37" s="2"/>
      <c r="O37" s="2"/>
      <c r="Q37" s="2">
        <f>SUM(OSRRefD11_26x)+IFERROR(SUM(OSRRefE11_26x),0)</f>
        <v>293475.51999999996</v>
      </c>
    </row>
    <row r="38" spans="1:17" s="9" customFormat="1" hidden="1" outlineLevel="1" x14ac:dyDescent="0.25">
      <c r="A38" s="22"/>
      <c r="B38" s="13" t="str">
        <f>CONCATENATE("          ","4113", " - ","NON-TAXABLE SALES-TRADE BOOKS")</f>
        <v xml:space="preserve">          4113 - NON-TAXABLE SALES-TRADE BOOKS</v>
      </c>
      <c r="C38" s="23"/>
      <c r="D38" s="2">
        <f t="shared" ref="D38:F38" si="6">0</f>
        <v>0</v>
      </c>
      <c r="E38" s="2">
        <f t="shared" si="6"/>
        <v>0</v>
      </c>
      <c r="F38" s="2">
        <f t="shared" si="6"/>
        <v>0</v>
      </c>
      <c r="G38" s="2">
        <f>--1655.95</f>
        <v>1655.95</v>
      </c>
      <c r="H38" s="2"/>
      <c r="I38" s="2"/>
      <c r="J38" s="2"/>
      <c r="K38" s="2"/>
      <c r="L38" s="2"/>
      <c r="M38" s="2"/>
      <c r="N38" s="2"/>
      <c r="O38" s="2"/>
      <c r="Q38" s="2">
        <f>SUM(OSRRefD11_27x)+IFERROR(SUM(OSRRefE11_27x),0)</f>
        <v>1655.95</v>
      </c>
    </row>
    <row r="39" spans="1:17" s="9" customFormat="1" hidden="1" outlineLevel="1" x14ac:dyDescent="0.25">
      <c r="A39" s="22"/>
      <c r="B39" s="13" t="str">
        <f>CONCATENATE("          ","4118", " - ","NON-TAXABLE SALES-STUDY GUIDES")</f>
        <v xml:space="preserve">          4118 - NON-TAXABLE SALES-STUDY GUIDES</v>
      </c>
      <c r="C39" s="23"/>
      <c r="D39" s="2">
        <f>--53.96</f>
        <v>53.96</v>
      </c>
      <c r="E39" s="2">
        <f>--47.87</f>
        <v>47.87</v>
      </c>
      <c r="F39" s="2">
        <f>--6.5</f>
        <v>6.5</v>
      </c>
      <c r="G39" s="2">
        <f>--97.3</f>
        <v>97.3</v>
      </c>
      <c r="H39" s="2"/>
      <c r="I39" s="2"/>
      <c r="J39" s="2"/>
      <c r="K39" s="2"/>
      <c r="L39" s="2"/>
      <c r="M39" s="2"/>
      <c r="N39" s="2"/>
      <c r="O39" s="2"/>
      <c r="Q39" s="2">
        <f>SUM(OSRRefD11_28x)+IFERROR(SUM(OSRRefE11_28x),0)</f>
        <v>205.63</v>
      </c>
    </row>
    <row r="40" spans="1:17" s="9" customFormat="1" hidden="1" outlineLevel="1" x14ac:dyDescent="0.25">
      <c r="A40" s="22"/>
      <c r="B40" s="13" t="str">
        <f>CONCATENATE("          ","4126", " - ","NON-TAXABLE SALES-WRITING INST")</f>
        <v xml:space="preserve">          4126 - NON-TAXABLE SALES-WRITING INST</v>
      </c>
      <c r="C40" s="23"/>
      <c r="D40" s="2">
        <f>--52.68</f>
        <v>52.68</v>
      </c>
      <c r="E40" s="2">
        <f t="shared" ref="E40:G40" si="7">0</f>
        <v>0</v>
      </c>
      <c r="F40" s="2">
        <f t="shared" si="7"/>
        <v>0</v>
      </c>
      <c r="G40" s="2">
        <f t="shared" si="7"/>
        <v>0</v>
      </c>
      <c r="H40" s="2"/>
      <c r="I40" s="2"/>
      <c r="J40" s="2"/>
      <c r="K40" s="2"/>
      <c r="L40" s="2"/>
      <c r="M40" s="2"/>
      <c r="N40" s="2"/>
      <c r="O40" s="2"/>
      <c r="Q40" s="2">
        <f>SUM(OSRRefD11_29x)+IFERROR(SUM(OSRRefE11_29x),0)</f>
        <v>52.68</v>
      </c>
    </row>
    <row r="41" spans="1:17" s="9" customFormat="1" hidden="1" outlineLevel="1" x14ac:dyDescent="0.25">
      <c r="A41" s="22"/>
      <c r="B41" s="13" t="str">
        <f>CONCATENATE("          ","4127", " - ","NON-TAXABLE SALES-SCHOOL SUPPL")</f>
        <v xml:space="preserve">          4127 - NON-TAXABLE SALES-SCHOOL SUPPL</v>
      </c>
      <c r="C41" s="23"/>
      <c r="D41" s="2">
        <f>--72.25</f>
        <v>72.25</v>
      </c>
      <c r="E41" s="2">
        <f>--1788.16</f>
        <v>1788.16</v>
      </c>
      <c r="F41" s="2">
        <f>--810.33</f>
        <v>810.33</v>
      </c>
      <c r="G41" s="2">
        <f>--160.95</f>
        <v>160.94999999999999</v>
      </c>
      <c r="H41" s="2"/>
      <c r="I41" s="2"/>
      <c r="J41" s="2"/>
      <c r="K41" s="2"/>
      <c r="L41" s="2"/>
      <c r="M41" s="2"/>
      <c r="N41" s="2"/>
      <c r="O41" s="2"/>
      <c r="Q41" s="2">
        <f>SUM(OSRRefD11_30x)+IFERROR(SUM(OSRRefE11_30x),0)</f>
        <v>2831.69</v>
      </c>
    </row>
    <row r="42" spans="1:17" s="9" customFormat="1" hidden="1" outlineLevel="1" x14ac:dyDescent="0.25">
      <c r="A42" s="22"/>
      <c r="B42" s="13" t="str">
        <f>CONCATENATE("          ","4131", " - ","NON-TAXABLE SALES-FOOD")</f>
        <v xml:space="preserve">          4131 - NON-TAXABLE SALES-FOOD</v>
      </c>
      <c r="C42" s="23"/>
      <c r="D42" s="2">
        <f>--259.43</f>
        <v>259.43</v>
      </c>
      <c r="E42" s="2">
        <f>--1575.79</f>
        <v>1575.79</v>
      </c>
      <c r="F42" s="2">
        <f>--2168.74</f>
        <v>2168.7399999999998</v>
      </c>
      <c r="G42" s="2">
        <f>--1521.48</f>
        <v>1521.48</v>
      </c>
      <c r="H42" s="2"/>
      <c r="I42" s="2"/>
      <c r="J42" s="2"/>
      <c r="K42" s="2"/>
      <c r="L42" s="2"/>
      <c r="M42" s="2"/>
      <c r="N42" s="2"/>
      <c r="O42" s="2"/>
      <c r="Q42" s="2">
        <f>SUM(OSRRefD11_31x)+IFERROR(SUM(OSRRefE11_31x),0)</f>
        <v>5525.4400000000005</v>
      </c>
    </row>
    <row r="43" spans="1:17" s="9" customFormat="1" hidden="1" outlineLevel="1" x14ac:dyDescent="0.25">
      <c r="A43" s="22"/>
      <c r="B43" s="13" t="str">
        <f>CONCATENATE("          ","4132", " - ","NON-TAXABLE SALES-JUICE")</f>
        <v xml:space="preserve">          4132 - NON-TAXABLE SALES-JUICE</v>
      </c>
      <c r="C43" s="23"/>
      <c r="D43" s="2">
        <f>--22.49</f>
        <v>22.49</v>
      </c>
      <c r="E43" s="2">
        <f>--625.8</f>
        <v>625.79999999999995</v>
      </c>
      <c r="F43" s="2">
        <f>--1406.08</f>
        <v>1406.08</v>
      </c>
      <c r="G43" s="2">
        <f t="shared" ref="G43:G46" si="8">0</f>
        <v>0</v>
      </c>
      <c r="H43" s="2"/>
      <c r="I43" s="2"/>
      <c r="J43" s="2"/>
      <c r="K43" s="2"/>
      <c r="L43" s="2"/>
      <c r="M43" s="2"/>
      <c r="N43" s="2"/>
      <c r="O43" s="2"/>
      <c r="Q43" s="2">
        <f>SUM(OSRRefD11_32x)+IFERROR(SUM(OSRRefE11_32x),0)</f>
        <v>2054.37</v>
      </c>
    </row>
    <row r="44" spans="1:17" s="9" customFormat="1" hidden="1" outlineLevel="1" x14ac:dyDescent="0.25">
      <c r="A44" s="22"/>
      <c r="B44" s="13" t="str">
        <f>CONCATENATE("          ","4133", " - ","NON-TAXABLE SALES-CANDY")</f>
        <v xml:space="preserve">          4133 - NON-TAXABLE SALES-CANDY</v>
      </c>
      <c r="C44" s="23"/>
      <c r="D44" s="2">
        <f>--68.28</f>
        <v>68.28</v>
      </c>
      <c r="E44" s="2">
        <f>--12.43</f>
        <v>12.43</v>
      </c>
      <c r="F44" s="2">
        <f t="shared" ref="F44:F46" si="9">0</f>
        <v>0</v>
      </c>
      <c r="G44" s="2">
        <f t="shared" si="8"/>
        <v>0</v>
      </c>
      <c r="H44" s="2"/>
      <c r="I44" s="2"/>
      <c r="J44" s="2"/>
      <c r="K44" s="2"/>
      <c r="L44" s="2"/>
      <c r="M44" s="2"/>
      <c r="N44" s="2"/>
      <c r="O44" s="2"/>
      <c r="Q44" s="2">
        <f>SUM(OSRRefD11_33x)+IFERROR(SUM(OSRRefE11_33x),0)</f>
        <v>80.710000000000008</v>
      </c>
    </row>
    <row r="45" spans="1:17" s="9" customFormat="1" hidden="1" outlineLevel="1" x14ac:dyDescent="0.25">
      <c r="A45" s="22"/>
      <c r="B45" s="13" t="str">
        <f>CONCATENATE("          ","4134", " - ","NON-TAXABLE SALES-SODA")</f>
        <v xml:space="preserve">          4134 - NON-TAXABLE SALES-SODA</v>
      </c>
      <c r="C45" s="23"/>
      <c r="D45" s="2">
        <f>--45.53</f>
        <v>45.53</v>
      </c>
      <c r="E45" s="2">
        <f t="shared" ref="E45:E46" si="10">0</f>
        <v>0</v>
      </c>
      <c r="F45" s="2">
        <f t="shared" si="9"/>
        <v>0</v>
      </c>
      <c r="G45" s="2">
        <f t="shared" si="8"/>
        <v>0</v>
      </c>
      <c r="H45" s="2"/>
      <c r="I45" s="2"/>
      <c r="J45" s="2"/>
      <c r="K45" s="2"/>
      <c r="L45" s="2"/>
      <c r="M45" s="2"/>
      <c r="N45" s="2"/>
      <c r="O45" s="2"/>
      <c r="Q45" s="2">
        <f>SUM(OSRRefD11_34x)+IFERROR(SUM(OSRRefE11_34x),0)</f>
        <v>45.53</v>
      </c>
    </row>
    <row r="46" spans="1:17" s="9" customFormat="1" hidden="1" outlineLevel="1" x14ac:dyDescent="0.25">
      <c r="A46" s="22"/>
      <c r="B46" s="13" t="str">
        <f>CONCATENATE("          ","4137", " - ","NON-TAXABLE SALES-WATER")</f>
        <v xml:space="preserve">          4137 - NON-TAXABLE SALES-WATER</v>
      </c>
      <c r="C46" s="23"/>
      <c r="D46" s="2">
        <f>--68.25</f>
        <v>68.25</v>
      </c>
      <c r="E46" s="2">
        <f t="shared" si="10"/>
        <v>0</v>
      </c>
      <c r="F46" s="2">
        <f t="shared" si="9"/>
        <v>0</v>
      </c>
      <c r="G46" s="2">
        <f t="shared" si="8"/>
        <v>0</v>
      </c>
      <c r="H46" s="2"/>
      <c r="I46" s="2"/>
      <c r="J46" s="2"/>
      <c r="K46" s="2"/>
      <c r="L46" s="2"/>
      <c r="M46" s="2"/>
      <c r="N46" s="2"/>
      <c r="O46" s="2"/>
      <c r="Q46" s="2">
        <f>SUM(OSRRefD11_35x)+IFERROR(SUM(OSRRefE11_35x),0)</f>
        <v>68.25</v>
      </c>
    </row>
    <row r="47" spans="1:17" s="9" customFormat="1" hidden="1" outlineLevel="1" x14ac:dyDescent="0.25">
      <c r="A47" s="22"/>
      <c r="B47" s="13" t="str">
        <f>CONCATENATE("          ","4140", " - ","NON-TAXABLE SALES-LOGO CLOTHIN")</f>
        <v xml:space="preserve">          4140 - NON-TAXABLE SALES-LOGO CLOTHIN</v>
      </c>
      <c r="C47" s="23"/>
      <c r="D47" s="2">
        <f>--6846.24</f>
        <v>6846.24</v>
      </c>
      <c r="E47" s="2">
        <f>--7266.5</f>
        <v>7266.5</v>
      </c>
      <c r="F47" s="2">
        <f>--3339.7</f>
        <v>3339.7</v>
      </c>
      <c r="G47" s="2">
        <f>--13163.04</f>
        <v>13163.04</v>
      </c>
      <c r="H47" s="2"/>
      <c r="I47" s="2"/>
      <c r="J47" s="2"/>
      <c r="K47" s="2"/>
      <c r="L47" s="2"/>
      <c r="M47" s="2"/>
      <c r="N47" s="2"/>
      <c r="O47" s="2"/>
      <c r="Q47" s="2">
        <f>SUM(OSRRefD11_36x)+IFERROR(SUM(OSRRefE11_36x),0)</f>
        <v>30615.48</v>
      </c>
    </row>
    <row r="48" spans="1:17" s="9" customFormat="1" hidden="1" outlineLevel="1" x14ac:dyDescent="0.25">
      <c r="A48" s="22"/>
      <c r="B48" s="13" t="str">
        <f>CONCATENATE("          ","4141", " - ","NON-TAXABLE SALES-LOGO GIFTS")</f>
        <v xml:space="preserve">          4141 - NON-TAXABLE SALES-LOGO GIFTS</v>
      </c>
      <c r="C48" s="23"/>
      <c r="D48" s="2">
        <f>--1200.19</f>
        <v>1200.19</v>
      </c>
      <c r="E48" s="2">
        <f>--1189.06</f>
        <v>1189.06</v>
      </c>
      <c r="F48" s="2">
        <f>--555.74</f>
        <v>555.74</v>
      </c>
      <c r="G48" s="2">
        <f>--437.71</f>
        <v>437.71</v>
      </c>
      <c r="H48" s="2"/>
      <c r="I48" s="2"/>
      <c r="J48" s="2"/>
      <c r="K48" s="2"/>
      <c r="L48" s="2"/>
      <c r="M48" s="2"/>
      <c r="N48" s="2"/>
      <c r="O48" s="2"/>
      <c r="Q48" s="2">
        <f>SUM(OSRRefD11_37x)+IFERROR(SUM(OSRRefE11_37x),0)</f>
        <v>3382.7</v>
      </c>
    </row>
    <row r="49" spans="1:17" s="9" customFormat="1" hidden="1" outlineLevel="1" x14ac:dyDescent="0.25">
      <c r="A49" s="22"/>
      <c r="B49" s="13" t="str">
        <f>CONCATENATE("          ","4142", " - ","NON-TAXABLE SALES-EVERYDAY GIF")</f>
        <v xml:space="preserve">          4142 - NON-TAXABLE SALES-EVERYDAY GIF</v>
      </c>
      <c r="C49" s="23"/>
      <c r="D49" s="2">
        <f>--640.17</f>
        <v>640.16999999999996</v>
      </c>
      <c r="E49" s="2">
        <f>--339.4</f>
        <v>339.4</v>
      </c>
      <c r="F49" s="2">
        <f>--30.16</f>
        <v>30.16</v>
      </c>
      <c r="G49" s="2">
        <f>--310.68</f>
        <v>310.68</v>
      </c>
      <c r="H49" s="2"/>
      <c r="I49" s="2"/>
      <c r="J49" s="2"/>
      <c r="K49" s="2"/>
      <c r="L49" s="2"/>
      <c r="M49" s="2"/>
      <c r="N49" s="2"/>
      <c r="O49" s="2"/>
      <c r="Q49" s="2">
        <f>SUM(OSRRefD11_38x)+IFERROR(SUM(OSRRefE11_38x),0)</f>
        <v>1320.4099999999999</v>
      </c>
    </row>
    <row r="50" spans="1:17" s="9" customFormat="1" hidden="1" outlineLevel="1" x14ac:dyDescent="0.25">
      <c r="A50" s="22"/>
      <c r="B50" s="13" t="str">
        <f>CONCATENATE("          ","4143", " - ","NON-TAXABLE SALES-CARDS")</f>
        <v xml:space="preserve">          4143 - NON-TAXABLE SALES-CARDS</v>
      </c>
      <c r="C50" s="23"/>
      <c r="D50" s="2">
        <f>0</f>
        <v>0</v>
      </c>
      <c r="E50" s="2">
        <f>--19.98</f>
        <v>19.98</v>
      </c>
      <c r="F50" s="2">
        <f>0</f>
        <v>0</v>
      </c>
      <c r="G50" s="2">
        <f>--9.99</f>
        <v>9.99</v>
      </c>
      <c r="H50" s="2"/>
      <c r="I50" s="2"/>
      <c r="J50" s="2"/>
      <c r="K50" s="2"/>
      <c r="L50" s="2"/>
      <c r="M50" s="2"/>
      <c r="N50" s="2"/>
      <c r="O50" s="2"/>
      <c r="Q50" s="2">
        <f>SUM(OSRRefD11_39x)+IFERROR(SUM(OSRRefE11_39x),0)</f>
        <v>29.97</v>
      </c>
    </row>
    <row r="51" spans="1:17" s="9" customFormat="1" hidden="1" outlineLevel="1" x14ac:dyDescent="0.25">
      <c r="A51" s="22"/>
      <c r="B51" s="13" t="str">
        <f>CONCATENATE("          ","4144", " - ","NON-TAXABLE SALES-ACCESSORIES")</f>
        <v xml:space="preserve">          4144 - NON-TAXABLE SALES-ACCESSORIES</v>
      </c>
      <c r="C51" s="23"/>
      <c r="D51" s="2">
        <f>--47.85</f>
        <v>47.85</v>
      </c>
      <c r="E51" s="2">
        <f>--107.95</f>
        <v>107.95</v>
      </c>
      <c r="F51" s="2">
        <f>--59.95</f>
        <v>59.95</v>
      </c>
      <c r="G51" s="2">
        <f>--154</f>
        <v>154</v>
      </c>
      <c r="H51" s="2"/>
      <c r="I51" s="2"/>
      <c r="J51" s="2"/>
      <c r="K51" s="2"/>
      <c r="L51" s="2"/>
      <c r="M51" s="2"/>
      <c r="N51" s="2"/>
      <c r="O51" s="2"/>
      <c r="Q51" s="2">
        <f>SUM(OSRRefD11_40x)+IFERROR(SUM(OSRRefE11_40x),0)</f>
        <v>369.75</v>
      </c>
    </row>
    <row r="52" spans="1:17" s="9" customFormat="1" hidden="1" outlineLevel="1" x14ac:dyDescent="0.25">
      <c r="A52" s="22"/>
      <c r="B52" s="13" t="str">
        <f>CONCATENATE("          ","4145", " - ","NON-TAXABLE SALES-SPECIAL ORDE")</f>
        <v xml:space="preserve">          4145 - NON-TAXABLE SALES-SPECIAL ORDE</v>
      </c>
      <c r="C52" s="23"/>
      <c r="D52" s="2">
        <f>--35496</f>
        <v>35496</v>
      </c>
      <c r="E52" s="2">
        <f>--350</f>
        <v>350</v>
      </c>
      <c r="F52" s="2">
        <f t="shared" ref="F52:G52" si="11">0</f>
        <v>0</v>
      </c>
      <c r="G52" s="2">
        <f t="shared" si="11"/>
        <v>0</v>
      </c>
      <c r="H52" s="2"/>
      <c r="I52" s="2"/>
      <c r="J52" s="2"/>
      <c r="K52" s="2"/>
      <c r="L52" s="2"/>
      <c r="M52" s="2"/>
      <c r="N52" s="2"/>
      <c r="O52" s="2"/>
      <c r="Q52" s="2">
        <f>SUM(OSRRefD11_41x)+IFERROR(SUM(OSRRefE11_41x),0)</f>
        <v>35846</v>
      </c>
    </row>
    <row r="53" spans="1:17" s="9" customFormat="1" hidden="1" outlineLevel="1" x14ac:dyDescent="0.25">
      <c r="A53" s="22"/>
      <c r="B53" s="13" t="str">
        <f>CONCATENATE("          ","4146", " - ","NON-TAXABLE SALES-COIN OP MACH")</f>
        <v xml:space="preserve">          4146 - NON-TAXABLE SALES-COIN OP MACH</v>
      </c>
      <c r="C53" s="23"/>
      <c r="D53" s="2">
        <f>0</f>
        <v>0</v>
      </c>
      <c r="E53" s="2">
        <f>--15.5</f>
        <v>15.5</v>
      </c>
      <c r="F53" s="2">
        <f>--49.7</f>
        <v>49.7</v>
      </c>
      <c r="G53" s="2">
        <f>--21.3</f>
        <v>21.3</v>
      </c>
      <c r="H53" s="2"/>
      <c r="I53" s="2"/>
      <c r="J53" s="2"/>
      <c r="K53" s="2"/>
      <c r="L53" s="2"/>
      <c r="M53" s="2"/>
      <c r="N53" s="2"/>
      <c r="O53" s="2"/>
      <c r="Q53" s="2">
        <f>SUM(OSRRefD11_42x)+IFERROR(SUM(OSRRefE11_42x),0)</f>
        <v>86.5</v>
      </c>
    </row>
    <row r="54" spans="1:17" s="9" customFormat="1" hidden="1" outlineLevel="1" x14ac:dyDescent="0.25">
      <c r="A54" s="22"/>
      <c r="B54" s="13" t="str">
        <f>CONCATENATE("          ","4147", " - ","NON-TAXABLE SALES-MISC")</f>
        <v xml:space="preserve">          4147 - NON-TAXABLE SALES-MISC</v>
      </c>
      <c r="C54" s="23"/>
      <c r="D54" s="2">
        <f>--1</f>
        <v>1</v>
      </c>
      <c r="E54" s="2">
        <f>--23</f>
        <v>23</v>
      </c>
      <c r="F54" s="2">
        <f>--24</f>
        <v>24</v>
      </c>
      <c r="G54" s="2">
        <f>--38.5</f>
        <v>38.5</v>
      </c>
      <c r="H54" s="2"/>
      <c r="I54" s="2"/>
      <c r="J54" s="2"/>
      <c r="K54" s="2"/>
      <c r="L54" s="2"/>
      <c r="M54" s="2"/>
      <c r="N54" s="2"/>
      <c r="O54" s="2"/>
      <c r="Q54" s="2">
        <f>SUM(OSRRefD11_43x)+IFERROR(SUM(OSRRefE11_43x),0)</f>
        <v>86.5</v>
      </c>
    </row>
    <row r="55" spans="1:17" s="9" customFormat="1" hidden="1" outlineLevel="1" x14ac:dyDescent="0.25">
      <c r="A55" s="22"/>
      <c r="B55" s="13" t="str">
        <f>CONCATENATE("          ","4153", " - ","NON-TAXABLE SALES-FOOD")</f>
        <v xml:space="preserve">          4153 - NON-TAXABLE SALES-FOOD</v>
      </c>
      <c r="C55" s="23"/>
      <c r="D55" s="2">
        <f>0</f>
        <v>0</v>
      </c>
      <c r="E55" s="2">
        <f>--110</f>
        <v>110</v>
      </c>
      <c r="F55" s="2">
        <f t="shared" ref="F55:G55" si="12">0</f>
        <v>0</v>
      </c>
      <c r="G55" s="2">
        <f t="shared" si="12"/>
        <v>0</v>
      </c>
      <c r="H55" s="2"/>
      <c r="I55" s="2"/>
      <c r="J55" s="2"/>
      <c r="K55" s="2"/>
      <c r="L55" s="2"/>
      <c r="M55" s="2"/>
      <c r="N55" s="2"/>
      <c r="O55" s="2"/>
      <c r="Q55" s="2">
        <f>SUM(OSRRefD11_44x)+IFERROR(SUM(OSRRefE11_44x),0)</f>
        <v>110</v>
      </c>
    </row>
    <row r="56" spans="1:17" s="9" customFormat="1" hidden="1" outlineLevel="1" x14ac:dyDescent="0.25">
      <c r="A56" s="22"/>
      <c r="B56" s="13" t="str">
        <f>CONCATENATE("          ","4201", " - ","SALES RETURN TAXABLE-NEW TEXT")</f>
        <v xml:space="preserve">          4201 - SALES RETURN TAXABLE-NEW TEXT</v>
      </c>
      <c r="C56" s="23"/>
      <c r="D56" s="2">
        <f>-633.4</f>
        <v>-633.4</v>
      </c>
      <c r="E56" s="2">
        <f>-18222.39</f>
        <v>-18222.39</v>
      </c>
      <c r="F56" s="2">
        <f>-13393.2</f>
        <v>-13393.2</v>
      </c>
      <c r="G56" s="2">
        <f>-1512.25</f>
        <v>-1512.25</v>
      </c>
      <c r="H56" s="2"/>
      <c r="I56" s="2"/>
      <c r="J56" s="2"/>
      <c r="K56" s="2"/>
      <c r="L56" s="2"/>
      <c r="M56" s="2"/>
      <c r="N56" s="2"/>
      <c r="O56" s="2"/>
      <c r="Q56" s="2">
        <f>SUM(OSRRefD11_45x)+IFERROR(SUM(OSRRefE11_45x),0)</f>
        <v>-33761.240000000005</v>
      </c>
    </row>
    <row r="57" spans="1:17" s="9" customFormat="1" hidden="1" outlineLevel="1" x14ac:dyDescent="0.25">
      <c r="A57" s="22"/>
      <c r="B57" s="13" t="str">
        <f>CONCATENATE("          ","4202", " - ","SALES RETURN TAXABLE-USED TEXT")</f>
        <v xml:space="preserve">          4202 - SALES RETURN TAXABLE-USED TEXT</v>
      </c>
      <c r="C57" s="23"/>
      <c r="D57" s="2">
        <f>-178.35</f>
        <v>-178.35</v>
      </c>
      <c r="E57" s="2">
        <f>-8869.4</f>
        <v>-8869.4</v>
      </c>
      <c r="F57" s="2">
        <f>-1345.2</f>
        <v>-1345.2</v>
      </c>
      <c r="G57" s="2">
        <f>-136.05</f>
        <v>-136.05000000000001</v>
      </c>
      <c r="H57" s="2"/>
      <c r="I57" s="2"/>
      <c r="J57" s="2"/>
      <c r="K57" s="2"/>
      <c r="L57" s="2"/>
      <c r="M57" s="2"/>
      <c r="N57" s="2"/>
      <c r="O57" s="2"/>
      <c r="Q57" s="2">
        <f>SUM(OSRRefD11_46x)+IFERROR(SUM(OSRRefE11_46x),0)</f>
        <v>-10529</v>
      </c>
    </row>
    <row r="58" spans="1:17" s="9" customFormat="1" hidden="1" outlineLevel="1" x14ac:dyDescent="0.25">
      <c r="A58" s="22"/>
      <c r="B58" s="13" t="str">
        <f>CONCATENATE("          ","4204", " - ","SALES RETURN TAXABLE-DIGITAL T")</f>
        <v xml:space="preserve">          4204 - SALES RETURN TAXABLE-DIGITAL T</v>
      </c>
      <c r="C58" s="23"/>
      <c r="D58" s="2">
        <f>0</f>
        <v>0</v>
      </c>
      <c r="E58" s="2">
        <f>-1141.08</f>
        <v>-1141.08</v>
      </c>
      <c r="F58" s="2">
        <f>-105.87</f>
        <v>-105.87</v>
      </c>
      <c r="G58" s="2">
        <f>-383.9</f>
        <v>-383.9</v>
      </c>
      <c r="H58" s="2"/>
      <c r="I58" s="2"/>
      <c r="J58" s="2"/>
      <c r="K58" s="2"/>
      <c r="L58" s="2"/>
      <c r="M58" s="2"/>
      <c r="N58" s="2"/>
      <c r="O58" s="2"/>
      <c r="Q58" s="2">
        <f>SUM(OSRRefD11_47x)+IFERROR(SUM(OSRRefE11_47x),0)</f>
        <v>-1630.85</v>
      </c>
    </row>
    <row r="59" spans="1:17" s="9" customFormat="1" hidden="1" outlineLevel="1" x14ac:dyDescent="0.25">
      <c r="A59" s="22"/>
      <c r="B59" s="13" t="str">
        <f>CONCATENATE("          ","4226", " - ","SALES RETURN TAXABLE-WRITING I")</f>
        <v xml:space="preserve">          4226 - SALES RETURN TAXABLE-WRITING I</v>
      </c>
      <c r="C59" s="23"/>
      <c r="D59" s="2">
        <f>-6.38</f>
        <v>-6.38</v>
      </c>
      <c r="E59" s="2">
        <f>0</f>
        <v>0</v>
      </c>
      <c r="F59" s="2">
        <f>-22.49</f>
        <v>-22.49</v>
      </c>
      <c r="G59" s="2">
        <f>-5.36</f>
        <v>-5.36</v>
      </c>
      <c r="H59" s="2"/>
      <c r="I59" s="2"/>
      <c r="J59" s="2"/>
      <c r="K59" s="2"/>
      <c r="L59" s="2"/>
      <c r="M59" s="2"/>
      <c r="N59" s="2"/>
      <c r="O59" s="2"/>
      <c r="Q59" s="2">
        <f>SUM(OSRRefD11_48x)+IFERROR(SUM(OSRRefE11_48x),0)</f>
        <v>-34.229999999999997</v>
      </c>
    </row>
    <row r="60" spans="1:17" s="9" customFormat="1" hidden="1" outlineLevel="1" x14ac:dyDescent="0.25">
      <c r="A60" s="22"/>
      <c r="B60" s="13" t="str">
        <f>CONCATENATE("          ","4227", " - ","SALES RETURN TAXABLE-SCHOOL SU")</f>
        <v xml:space="preserve">          4227 - SALES RETURN TAXABLE-SCHOOL SU</v>
      </c>
      <c r="C60" s="23"/>
      <c r="D60" s="2">
        <f>-56.77</f>
        <v>-56.77</v>
      </c>
      <c r="E60" s="2">
        <f>-359.61</f>
        <v>-359.61</v>
      </c>
      <c r="F60" s="2">
        <f>-152.29</f>
        <v>-152.29</v>
      </c>
      <c r="G60" s="2">
        <f>-9.99</f>
        <v>-9.99</v>
      </c>
      <c r="H60" s="2"/>
      <c r="I60" s="2"/>
      <c r="J60" s="2"/>
      <c r="K60" s="2"/>
      <c r="L60" s="2"/>
      <c r="M60" s="2"/>
      <c r="N60" s="2"/>
      <c r="O60" s="2"/>
      <c r="Q60" s="2">
        <f>SUM(OSRRefD11_49x)+IFERROR(SUM(OSRRefE11_49x),0)</f>
        <v>-578.66</v>
      </c>
    </row>
    <row r="61" spans="1:17" s="9" customFormat="1" hidden="1" outlineLevel="1" x14ac:dyDescent="0.25">
      <c r="A61" s="22"/>
      <c r="B61" s="13" t="str">
        <f>CONCATENATE("          ","4228", " - ","SALES RETURN TAXABLE-ART/TECH")</f>
        <v xml:space="preserve">          4228 - SALES RETURN TAXABLE-ART/TECH</v>
      </c>
      <c r="C61" s="23"/>
      <c r="D61" s="2">
        <f>0</f>
        <v>0</v>
      </c>
      <c r="E61" s="2">
        <f>-164.44</f>
        <v>-164.44</v>
      </c>
      <c r="F61" s="2">
        <f>-57.76</f>
        <v>-57.76</v>
      </c>
      <c r="G61" s="2">
        <f>0</f>
        <v>0</v>
      </c>
      <c r="H61" s="2"/>
      <c r="I61" s="2"/>
      <c r="J61" s="2"/>
      <c r="K61" s="2"/>
      <c r="L61" s="2"/>
      <c r="M61" s="2"/>
      <c r="N61" s="2"/>
      <c r="O61" s="2"/>
      <c r="Q61" s="2">
        <f>SUM(OSRRefD11_50x)+IFERROR(SUM(OSRRefE11_50x),0)</f>
        <v>-222.2</v>
      </c>
    </row>
    <row r="62" spans="1:17" s="9" customFormat="1" hidden="1" outlineLevel="1" x14ac:dyDescent="0.25">
      <c r="A62" s="22"/>
      <c r="B62" s="13" t="str">
        <f>CONCATENATE("          ","4240", " - ","SALES RETURN TAXABLE-LOGO CLOT")</f>
        <v xml:space="preserve">          4240 - SALES RETURN TAXABLE-LOGO CLOT</v>
      </c>
      <c r="C62" s="23"/>
      <c r="D62" s="2">
        <f>-3368.1</f>
        <v>-3368.1</v>
      </c>
      <c r="E62" s="2">
        <f>-4788.72</f>
        <v>-4788.72</v>
      </c>
      <c r="F62" s="2">
        <f>-3453.14</f>
        <v>-3453.14</v>
      </c>
      <c r="G62" s="2">
        <f>-2239.56</f>
        <v>-2239.56</v>
      </c>
      <c r="H62" s="2"/>
      <c r="I62" s="2"/>
      <c r="J62" s="2"/>
      <c r="K62" s="2"/>
      <c r="L62" s="2"/>
      <c r="M62" s="2"/>
      <c r="N62" s="2"/>
      <c r="O62" s="2"/>
      <c r="Q62" s="2">
        <f>SUM(OSRRefD11_51x)+IFERROR(SUM(OSRRefE11_51x),0)</f>
        <v>-13849.519999999999</v>
      </c>
    </row>
    <row r="63" spans="1:17" s="9" customFormat="1" hidden="1" outlineLevel="1" x14ac:dyDescent="0.25">
      <c r="A63" s="22"/>
      <c r="B63" s="13" t="str">
        <f>CONCATENATE("          ","4241", " - ","SALES RETURN TAXABLE-LOGO GIFT")</f>
        <v xml:space="preserve">          4241 - SALES RETURN TAXABLE-LOGO GIFT</v>
      </c>
      <c r="C63" s="23"/>
      <c r="D63" s="2">
        <f>-341.98</f>
        <v>-341.98</v>
      </c>
      <c r="E63" s="2">
        <f>-986.21</f>
        <v>-986.21</v>
      </c>
      <c r="F63" s="2">
        <f>-988.92</f>
        <v>-988.92</v>
      </c>
      <c r="G63" s="2">
        <f>-379.45</f>
        <v>-379.45</v>
      </c>
      <c r="H63" s="2"/>
      <c r="I63" s="2"/>
      <c r="J63" s="2"/>
      <c r="K63" s="2"/>
      <c r="L63" s="2"/>
      <c r="M63" s="2"/>
      <c r="N63" s="2"/>
      <c r="O63" s="2"/>
      <c r="Q63" s="2">
        <f>SUM(OSRRefD11_52x)+IFERROR(SUM(OSRRefE11_52x),0)</f>
        <v>-2696.56</v>
      </c>
    </row>
    <row r="64" spans="1:17" s="9" customFormat="1" hidden="1" outlineLevel="1" x14ac:dyDescent="0.25">
      <c r="A64" s="22"/>
      <c r="B64" s="13" t="str">
        <f>CONCATENATE("          ","4242", " - ","SALES RETURN TAXABLE-EVERYDAY")</f>
        <v xml:space="preserve">          4242 - SALES RETURN TAXABLE-EVERYDAY</v>
      </c>
      <c r="C64" s="23"/>
      <c r="D64" s="2">
        <f>-178.96</f>
        <v>-178.96</v>
      </c>
      <c r="E64" s="2">
        <f>-470.53</f>
        <v>-470.53</v>
      </c>
      <c r="F64" s="2">
        <f>-405.07</f>
        <v>-405.07</v>
      </c>
      <c r="G64" s="2">
        <f>-266.95</f>
        <v>-266.95</v>
      </c>
      <c r="H64" s="2"/>
      <c r="I64" s="2"/>
      <c r="J64" s="2"/>
      <c r="K64" s="2"/>
      <c r="L64" s="2"/>
      <c r="M64" s="2"/>
      <c r="N64" s="2"/>
      <c r="O64" s="2"/>
      <c r="Q64" s="2">
        <f>SUM(OSRRefD11_53x)+IFERROR(SUM(OSRRefE11_53x),0)</f>
        <v>-1321.51</v>
      </c>
    </row>
    <row r="65" spans="1:17" s="9" customFormat="1" hidden="1" outlineLevel="1" x14ac:dyDescent="0.25">
      <c r="A65" s="22"/>
      <c r="B65" s="13" t="str">
        <f>CONCATENATE("          ","4243", " - ","SALES RETURN TAXABLE-CARDS")</f>
        <v xml:space="preserve">          4243 - SALES RETURN TAXABLE-CARDS</v>
      </c>
      <c r="C65" s="23"/>
      <c r="D65" s="2">
        <f t="shared" ref="D65:D66" si="13">0</f>
        <v>0</v>
      </c>
      <c r="E65" s="2">
        <f>-93.43</f>
        <v>-93.43</v>
      </c>
      <c r="F65" s="2">
        <f>-59.94</f>
        <v>-59.94</v>
      </c>
      <c r="G65" s="2">
        <f>-829.55</f>
        <v>-829.55</v>
      </c>
      <c r="H65" s="2"/>
      <c r="I65" s="2"/>
      <c r="J65" s="2"/>
      <c r="K65" s="2"/>
      <c r="L65" s="2"/>
      <c r="M65" s="2"/>
      <c r="N65" s="2"/>
      <c r="O65" s="2"/>
      <c r="Q65" s="2">
        <f>SUM(OSRRefD11_54x)+IFERROR(SUM(OSRRefE11_54x),0)</f>
        <v>-982.92</v>
      </c>
    </row>
    <row r="66" spans="1:17" s="9" customFormat="1" hidden="1" outlineLevel="1" x14ac:dyDescent="0.25">
      <c r="A66" s="22"/>
      <c r="B66" s="13" t="str">
        <f>CONCATENATE("          ","4244", " - ","SALES RETURN TAXABLE-ACCESSORI")</f>
        <v xml:space="preserve">          4244 - SALES RETURN TAXABLE-ACCESSORI</v>
      </c>
      <c r="C66" s="23"/>
      <c r="D66" s="2">
        <f t="shared" si="13"/>
        <v>0</v>
      </c>
      <c r="E66" s="2">
        <f>-350.99</f>
        <v>-350.99</v>
      </c>
      <c r="F66" s="2">
        <f>-60</f>
        <v>-60</v>
      </c>
      <c r="G66" s="2">
        <f>0</f>
        <v>0</v>
      </c>
      <c r="H66" s="2"/>
      <c r="I66" s="2"/>
      <c r="J66" s="2"/>
      <c r="K66" s="2"/>
      <c r="L66" s="2"/>
      <c r="M66" s="2"/>
      <c r="N66" s="2"/>
      <c r="O66" s="2"/>
      <c r="Q66" s="2">
        <f>SUM(OSRRefD11_55x)+IFERROR(SUM(OSRRefE11_55x),0)</f>
        <v>-410.99</v>
      </c>
    </row>
    <row r="67" spans="1:17" s="9" customFormat="1" hidden="1" outlineLevel="1" x14ac:dyDescent="0.25">
      <c r="A67" s="22"/>
      <c r="B67" s="13" t="str">
        <f>CONCATENATE("          ","4245", " - ","SALES RETURN TAXABLE-SPECIAL O")</f>
        <v xml:space="preserve">          4245 - SALES RETURN TAXABLE-SPECIAL O</v>
      </c>
      <c r="C67" s="23"/>
      <c r="D67" s="2">
        <f>-1121</f>
        <v>-1121</v>
      </c>
      <c r="E67" s="2">
        <f>-57.96</f>
        <v>-57.96</v>
      </c>
      <c r="F67" s="2">
        <f>-3.99</f>
        <v>-3.99</v>
      </c>
      <c r="G67" s="2">
        <f>-363.98</f>
        <v>-363.98</v>
      </c>
      <c r="H67" s="2"/>
      <c r="I67" s="2"/>
      <c r="J67" s="2"/>
      <c r="K67" s="2"/>
      <c r="L67" s="2"/>
      <c r="M67" s="2"/>
      <c r="N67" s="2"/>
      <c r="O67" s="2"/>
      <c r="Q67" s="2">
        <f>SUM(OSRRefD11_56x)+IFERROR(SUM(OSRRefE11_56x),0)</f>
        <v>-1546.93</v>
      </c>
    </row>
    <row r="68" spans="1:17" s="9" customFormat="1" hidden="1" outlineLevel="1" x14ac:dyDescent="0.25">
      <c r="A68" s="22"/>
      <c r="B68" s="13" t="str">
        <f>CONCATENATE("          ","4301", " - ","SALES RETURN NON TAXABLE-NEW T")</f>
        <v xml:space="preserve">          4301 - SALES RETURN NON TAXABLE-NEW T</v>
      </c>
      <c r="C68" s="23"/>
      <c r="D68" s="2">
        <f>0</f>
        <v>0</v>
      </c>
      <c r="E68" s="2">
        <f>-20.25</f>
        <v>-20.25</v>
      </c>
      <c r="F68" s="2">
        <f>-1820.43</f>
        <v>-1820.43</v>
      </c>
      <c r="G68" s="2">
        <f>-535.49</f>
        <v>-535.49</v>
      </c>
      <c r="H68" s="2"/>
      <c r="I68" s="2"/>
      <c r="J68" s="2"/>
      <c r="K68" s="2"/>
      <c r="L68" s="2"/>
      <c r="M68" s="2"/>
      <c r="N68" s="2"/>
      <c r="O68" s="2"/>
      <c r="Q68" s="2">
        <f>SUM(OSRRefD11_57x)+IFERROR(SUM(OSRRefE11_57x),0)</f>
        <v>-2376.17</v>
      </c>
    </row>
    <row r="69" spans="1:17" s="9" customFormat="1" hidden="1" outlineLevel="1" x14ac:dyDescent="0.25">
      <c r="A69" s="22"/>
      <c r="B69" s="13" t="str">
        <f>CONCATENATE("          ","4302", " - ","SALES RETURN NON TAXABLE-TEXT")</f>
        <v xml:space="preserve">          4302 - SALES RETURN NON TAXABLE-TEXT</v>
      </c>
      <c r="C69" s="23"/>
      <c r="D69" s="2">
        <f>-63.67</f>
        <v>-63.67</v>
      </c>
      <c r="E69" s="2">
        <f>-346.17</f>
        <v>-346.17</v>
      </c>
      <c r="F69" s="2">
        <f>-737.24</f>
        <v>-737.24</v>
      </c>
      <c r="G69" s="2">
        <f>-169.72</f>
        <v>-169.72</v>
      </c>
      <c r="H69" s="2"/>
      <c r="I69" s="2"/>
      <c r="J69" s="2"/>
      <c r="K69" s="2"/>
      <c r="L69" s="2"/>
      <c r="M69" s="2"/>
      <c r="N69" s="2"/>
      <c r="O69" s="2"/>
      <c r="Q69" s="2">
        <f>SUM(OSRRefD11_58x)+IFERROR(SUM(OSRRefE11_58x),0)</f>
        <v>-1316.8</v>
      </c>
    </row>
    <row r="70" spans="1:17" s="9" customFormat="1" hidden="1" outlineLevel="1" x14ac:dyDescent="0.25">
      <c r="A70" s="22"/>
      <c r="B70" s="13" t="str">
        <f>CONCATENATE("          ","4304", " - ","SALES RETURN NON TAXABLE-DIGIT")</f>
        <v xml:space="preserve">          4304 - SALES RETURN NON TAXABLE-DIGIT</v>
      </c>
      <c r="C70" s="23"/>
      <c r="D70" s="2">
        <f>-452.05</f>
        <v>-452.05</v>
      </c>
      <c r="E70" s="2">
        <f>-5500.68</f>
        <v>-5500.68</v>
      </c>
      <c r="F70" s="2">
        <f>-7456.63</f>
        <v>-7456.63</v>
      </c>
      <c r="G70" s="2">
        <f>-692.75</f>
        <v>-692.75</v>
      </c>
      <c r="H70" s="2"/>
      <c r="I70" s="2"/>
      <c r="J70" s="2"/>
      <c r="K70" s="2"/>
      <c r="L70" s="2"/>
      <c r="M70" s="2"/>
      <c r="N70" s="2"/>
      <c r="O70" s="2"/>
      <c r="Q70" s="2">
        <f>SUM(OSRRefD11_59x)+IFERROR(SUM(OSRRefE11_59x),0)</f>
        <v>-14102.11</v>
      </c>
    </row>
    <row r="71" spans="1:17" s="9" customFormat="1" hidden="1" outlineLevel="1" x14ac:dyDescent="0.25">
      <c r="A71" s="22"/>
      <c r="B71" s="13" t="str">
        <f>CONCATENATE("          ","4340", " - ","SALES RETURN NON TAXABLE-LOGO")</f>
        <v xml:space="preserve">          4340 - SALES RETURN NON TAXABLE-LOGO</v>
      </c>
      <c r="C71" s="23"/>
      <c r="D71" s="2">
        <f>-434.24</f>
        <v>-434.24</v>
      </c>
      <c r="E71" s="2">
        <f>-69.9</f>
        <v>-69.900000000000006</v>
      </c>
      <c r="F71" s="2">
        <f>-36.9</f>
        <v>-36.9</v>
      </c>
      <c r="G71" s="2">
        <f>-195.69</f>
        <v>-195.69</v>
      </c>
      <c r="H71" s="2"/>
      <c r="I71" s="2"/>
      <c r="J71" s="2"/>
      <c r="K71" s="2"/>
      <c r="L71" s="2"/>
      <c r="M71" s="2"/>
      <c r="N71" s="2"/>
      <c r="O71" s="2"/>
      <c r="Q71" s="2">
        <f>SUM(OSRRefD11_60x)+IFERROR(SUM(OSRRefE11_60x),0)</f>
        <v>-736.73</v>
      </c>
    </row>
    <row r="72" spans="1:17" s="9" customFormat="1" hidden="1" outlineLevel="1" x14ac:dyDescent="0.25">
      <c r="A72" s="22"/>
      <c r="B72" s="13" t="str">
        <f>CONCATENATE("          ","4341", " - ","SALES RETURN NON TAXABLE-LOGO")</f>
        <v xml:space="preserve">          4341 - SALES RETURN NON TAXABLE-LOGO</v>
      </c>
      <c r="C72" s="23"/>
      <c r="D72" s="2">
        <f>-16.95</f>
        <v>-16.95</v>
      </c>
      <c r="E72" s="2">
        <f>0</f>
        <v>0</v>
      </c>
      <c r="F72" s="2">
        <f>-129.95</f>
        <v>-129.94999999999999</v>
      </c>
      <c r="G72" s="2">
        <f t="shared" ref="G72:G73" si="14">0</f>
        <v>0</v>
      </c>
      <c r="H72" s="2"/>
      <c r="I72" s="2"/>
      <c r="J72" s="2"/>
      <c r="K72" s="2"/>
      <c r="L72" s="2"/>
      <c r="M72" s="2"/>
      <c r="N72" s="2"/>
      <c r="O72" s="2"/>
      <c r="Q72" s="2">
        <f>SUM(OSRRefD11_61x)+IFERROR(SUM(OSRRefE11_61x),0)</f>
        <v>-146.89999999999998</v>
      </c>
    </row>
    <row r="73" spans="1:17" s="9" customFormat="1" hidden="1" outlineLevel="1" x14ac:dyDescent="0.25">
      <c r="A73" s="22"/>
      <c r="B73" s="13" t="str">
        <f>CONCATENATE("          ","4342", " - ","SALES RETURN NON TAXABLE-EVERY")</f>
        <v xml:space="preserve">          4342 - SALES RETURN NON TAXABLE-EVERY</v>
      </c>
      <c r="C73" s="23"/>
      <c r="D73" s="2">
        <f>-79.85</f>
        <v>-79.849999999999994</v>
      </c>
      <c r="E73" s="2">
        <f>-13.9</f>
        <v>-13.9</v>
      </c>
      <c r="F73" s="2">
        <f>-24.95</f>
        <v>-24.95</v>
      </c>
      <c r="G73" s="2">
        <f t="shared" si="14"/>
        <v>0</v>
      </c>
      <c r="H73" s="2"/>
      <c r="I73" s="2"/>
      <c r="J73" s="2"/>
      <c r="K73" s="2"/>
      <c r="L73" s="2"/>
      <c r="M73" s="2"/>
      <c r="N73" s="2"/>
      <c r="O73" s="2"/>
      <c r="Q73" s="2">
        <f>SUM(OSRRefD11_62x)+IFERROR(SUM(OSRRefE11_62x),0)</f>
        <v>-118.7</v>
      </c>
    </row>
    <row r="74" spans="1:17" x14ac:dyDescent="0.25">
      <c r="A74" s="5"/>
      <c r="B74" s="8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9" customFormat="1" collapsed="1" x14ac:dyDescent="0.25">
      <c r="A75" s="22"/>
      <c r="B75" s="16" t="s">
        <v>290</v>
      </c>
      <c r="C75" s="23"/>
      <c r="D75" s="3">
        <f>SUM(OSRRefD14x_0)</f>
        <v>141168.40000000002</v>
      </c>
      <c r="E75" s="3">
        <f>SUM(OSRRefD14x_1)</f>
        <v>1079380.29</v>
      </c>
      <c r="F75" s="3">
        <f>SUM(OSRRefD14x_2)</f>
        <v>231194.24999999991</v>
      </c>
      <c r="G75" s="3">
        <f>SUM(OSRRefD14x_3)</f>
        <v>97529.329999999973</v>
      </c>
      <c r="H75" s="3">
        <f>SUM(OSRRefE14x_0)</f>
        <v>162903</v>
      </c>
      <c r="I75" s="3">
        <f>SUM(OSRRefE14x_1)</f>
        <v>170298</v>
      </c>
      <c r="J75" s="3">
        <f>SUM(OSRRefE14x_2)</f>
        <v>771589</v>
      </c>
      <c r="K75" s="3">
        <f>SUM(OSRRefE14x_3)</f>
        <v>237253.00000000003</v>
      </c>
      <c r="L75" s="3">
        <f>SUM(OSRRefE14x_4)</f>
        <v>154956</v>
      </c>
      <c r="M75" s="3">
        <f>SUM(OSRRefE14x_5)</f>
        <v>150014</v>
      </c>
      <c r="N75" s="3">
        <f>SUM(OSRRefE14x_6)</f>
        <v>215362</v>
      </c>
      <c r="O75" s="3">
        <f>SUM(OSRRefE14x_7)</f>
        <v>164623</v>
      </c>
      <c r="Q75" s="3">
        <f>SUM(OSRRefG14x)</f>
        <v>3576270.2700000014</v>
      </c>
    </row>
    <row r="76" spans="1:17" s="9" customFormat="1" hidden="1" outlineLevel="1" x14ac:dyDescent="0.25">
      <c r="A76" s="22"/>
      <c r="B76" s="13" t="str">
        <f>CONCATENATE("          ","5000", " - ","PURCHASES @ COST")</f>
        <v xml:space="preserve">          5000 - PURCHASES @ COST</v>
      </c>
      <c r="C76" s="23"/>
      <c r="D76" s="2"/>
      <c r="E76" s="2"/>
      <c r="F76" s="2"/>
      <c r="G76" s="2"/>
      <c r="H76" s="2">
        <v>162903</v>
      </c>
      <c r="I76" s="2">
        <v>170298</v>
      </c>
      <c r="J76" s="2">
        <v>771589</v>
      </c>
      <c r="K76" s="2">
        <v>237253.00000000003</v>
      </c>
      <c r="L76" s="2">
        <v>154956</v>
      </c>
      <c r="M76" s="2">
        <v>150014</v>
      </c>
      <c r="N76" s="2">
        <v>215362</v>
      </c>
      <c r="O76" s="2">
        <v>164623</v>
      </c>
      <c r="Q76" s="2">
        <f>SUM(OSRRefD14_0x)+IFERROR(SUM(OSRRefE14_0x),0)</f>
        <v>2026998</v>
      </c>
    </row>
    <row r="77" spans="1:17" s="9" customFormat="1" hidden="1" outlineLevel="1" x14ac:dyDescent="0.25">
      <c r="A77" s="22"/>
      <c r="B77" s="13" t="str">
        <f>CONCATENATE("          ","5001", " - ","PURCHASES @ COST-NEW TEXT")</f>
        <v xml:space="preserve">          5001 - PURCHASES @ COST-NEW TEXT</v>
      </c>
      <c r="C77" s="23"/>
      <c r="D77" s="2">
        <v>153110.63</v>
      </c>
      <c r="E77" s="2">
        <v>538222.14</v>
      </c>
      <c r="F77" s="2">
        <v>602088.99</v>
      </c>
      <c r="G77" s="2">
        <v>55775.07</v>
      </c>
      <c r="H77" s="2"/>
      <c r="I77" s="2"/>
      <c r="J77" s="2"/>
      <c r="K77" s="2"/>
      <c r="L77" s="2"/>
      <c r="M77" s="2"/>
      <c r="N77" s="2"/>
      <c r="O77" s="2"/>
      <c r="Q77" s="2">
        <f>SUM(OSRRefD14_1x)+IFERROR(SUM(OSRRefE14_1x),0)</f>
        <v>1349196.83</v>
      </c>
    </row>
    <row r="78" spans="1:17" s="9" customFormat="1" hidden="1" outlineLevel="1" x14ac:dyDescent="0.25">
      <c r="A78" s="22"/>
      <c r="B78" s="13" t="str">
        <f>CONCATENATE("          ","5002", " - ","PURCHASES @ COST-USED TEXT")</f>
        <v xml:space="preserve">          5002 - PURCHASES @ COST-USED TEXT</v>
      </c>
      <c r="C78" s="23"/>
      <c r="D78" s="2">
        <v>60324.850000000006</v>
      </c>
      <c r="E78" s="2">
        <v>128042.67</v>
      </c>
      <c r="F78" s="2">
        <v>108363.86</v>
      </c>
      <c r="G78" s="2">
        <v>6331.95</v>
      </c>
      <c r="H78" s="2"/>
      <c r="I78" s="2"/>
      <c r="J78" s="2"/>
      <c r="K78" s="2"/>
      <c r="L78" s="2"/>
      <c r="M78" s="2"/>
      <c r="N78" s="2"/>
      <c r="O78" s="2"/>
      <c r="Q78" s="2">
        <f>SUM(OSRRefD14_2x)+IFERROR(SUM(OSRRefE14_2x),0)</f>
        <v>303063.33</v>
      </c>
    </row>
    <row r="79" spans="1:17" s="9" customFormat="1" hidden="1" outlineLevel="1" x14ac:dyDescent="0.25">
      <c r="A79" s="22"/>
      <c r="B79" s="13" t="str">
        <f>CONCATENATE("          ","5003", " - ","PURCHASES @ COST-RENTAL TEXT")</f>
        <v xml:space="preserve">          5003 - PURCHASES @ COST-RENTAL TEXT</v>
      </c>
      <c r="C79" s="23"/>
      <c r="D79" s="2">
        <v>-11926.64</v>
      </c>
      <c r="E79" s="2">
        <v>58.8</v>
      </c>
      <c r="F79" s="2">
        <v>781.74</v>
      </c>
      <c r="G79" s="2">
        <v>10600.69</v>
      </c>
      <c r="H79" s="2"/>
      <c r="I79" s="2"/>
      <c r="J79" s="2"/>
      <c r="K79" s="2"/>
      <c r="L79" s="2"/>
      <c r="M79" s="2"/>
      <c r="N79" s="2"/>
      <c r="O79" s="2"/>
      <c r="Q79" s="2">
        <f>SUM(OSRRefD14_3x)+IFERROR(SUM(OSRRefE14_3x),0)</f>
        <v>-485.40999999999985</v>
      </c>
    </row>
    <row r="80" spans="1:17" s="9" customFormat="1" hidden="1" outlineLevel="1" x14ac:dyDescent="0.25">
      <c r="A80" s="22"/>
      <c r="B80" s="13" t="str">
        <f>CONCATENATE("          ","5004", " - ","PURCHASES @ COST-DIGITAL TEXT")</f>
        <v xml:space="preserve">          5004 - PURCHASES @ COST-DIGITAL TEXT</v>
      </c>
      <c r="C80" s="23"/>
      <c r="D80" s="2">
        <v>4925.4799999999996</v>
      </c>
      <c r="E80" s="2">
        <v>117504.49</v>
      </c>
      <c r="F80" s="2">
        <v>60186.1</v>
      </c>
      <c r="G80" s="2">
        <v>12903.46</v>
      </c>
      <c r="H80" s="2"/>
      <c r="I80" s="2"/>
      <c r="J80" s="2"/>
      <c r="K80" s="2"/>
      <c r="L80" s="2"/>
      <c r="M80" s="2"/>
      <c r="N80" s="2"/>
      <c r="O80" s="2"/>
      <c r="Q80" s="2">
        <f>SUM(OSRRefD14_4x)+IFERROR(SUM(OSRRefE14_4x),0)</f>
        <v>195519.53</v>
      </c>
    </row>
    <row r="81" spans="1:17" s="9" customFormat="1" hidden="1" outlineLevel="1" x14ac:dyDescent="0.25">
      <c r="A81" s="22"/>
      <c r="B81" s="13" t="str">
        <f>CONCATENATE("          ","5011", " - ","PURCHASES @ COST-NO VALUE TEXT")</f>
        <v xml:space="preserve">          5011 - PURCHASES @ COST-NO VALUE TEXT</v>
      </c>
      <c r="C81" s="23"/>
      <c r="D81" s="2"/>
      <c r="E81" s="2"/>
      <c r="F81" s="2"/>
      <c r="G81" s="2">
        <v>67.17</v>
      </c>
      <c r="H81" s="2"/>
      <c r="I81" s="2"/>
      <c r="J81" s="2"/>
      <c r="K81" s="2"/>
      <c r="L81" s="2"/>
      <c r="M81" s="2"/>
      <c r="N81" s="2"/>
      <c r="O81" s="2"/>
      <c r="Q81" s="2">
        <f>SUM(OSRRefD14_5x)+IFERROR(SUM(OSRRefE14_5x),0)</f>
        <v>67.17</v>
      </c>
    </row>
    <row r="82" spans="1:17" s="9" customFormat="1" hidden="1" outlineLevel="1" x14ac:dyDescent="0.25">
      <c r="A82" s="22"/>
      <c r="B82" s="13" t="str">
        <f>CONCATENATE("          ","5013", " - ","PURCHASES @ COST-TRADE BOOKS")</f>
        <v xml:space="preserve">          5013 - PURCHASES @ COST-TRADE BOOKS</v>
      </c>
      <c r="C82" s="23"/>
      <c r="D82" s="2">
        <v>108.54</v>
      </c>
      <c r="E82" s="2"/>
      <c r="F82" s="2">
        <v>-9.36</v>
      </c>
      <c r="G82" s="2">
        <v>1384.46</v>
      </c>
      <c r="H82" s="2"/>
      <c r="I82" s="2"/>
      <c r="J82" s="2"/>
      <c r="K82" s="2"/>
      <c r="L82" s="2"/>
      <c r="M82" s="2"/>
      <c r="N82" s="2"/>
      <c r="O82" s="2"/>
      <c r="Q82" s="2">
        <f>SUM(OSRRefD14_6x)+IFERROR(SUM(OSRRefE14_6x),0)</f>
        <v>1483.64</v>
      </c>
    </row>
    <row r="83" spans="1:17" s="9" customFormat="1" hidden="1" outlineLevel="1" x14ac:dyDescent="0.25">
      <c r="A83" s="22"/>
      <c r="B83" s="13" t="str">
        <f>CONCATENATE("          ","5014", " - ","PURCHASES @ COST-REMAINDERS")</f>
        <v xml:space="preserve">          5014 - PURCHASES @ COST-REMAINDERS</v>
      </c>
      <c r="C83" s="23"/>
      <c r="D83" s="2">
        <v>-12.51</v>
      </c>
      <c r="E83" s="2"/>
      <c r="F83" s="2"/>
      <c r="G83" s="2">
        <v>102.92</v>
      </c>
      <c r="H83" s="2"/>
      <c r="I83" s="2"/>
      <c r="J83" s="2"/>
      <c r="K83" s="2"/>
      <c r="L83" s="2"/>
      <c r="M83" s="2"/>
      <c r="N83" s="2"/>
      <c r="O83" s="2"/>
      <c r="Q83" s="2">
        <f>SUM(OSRRefD14_7x)+IFERROR(SUM(OSRRefE14_7x),0)</f>
        <v>90.41</v>
      </c>
    </row>
    <row r="84" spans="1:17" s="9" customFormat="1" hidden="1" outlineLevel="1" x14ac:dyDescent="0.25">
      <c r="A84" s="22"/>
      <c r="B84" s="13" t="str">
        <f>CONCATENATE("          ","5025", " - ","PURCHASES @ COST-TEST FORMS")</f>
        <v xml:space="preserve">          5025 - PURCHASES @ COST-TEST FORMS</v>
      </c>
      <c r="C84" s="23"/>
      <c r="D84" s="2"/>
      <c r="E84" s="2"/>
      <c r="F84" s="2"/>
      <c r="G84" s="2">
        <v>599.29</v>
      </c>
      <c r="H84" s="2"/>
      <c r="I84" s="2"/>
      <c r="J84" s="2"/>
      <c r="K84" s="2"/>
      <c r="L84" s="2"/>
      <c r="M84" s="2"/>
      <c r="N84" s="2"/>
      <c r="O84" s="2"/>
      <c r="Q84" s="2">
        <f>SUM(OSRRefD14_8x)+IFERROR(SUM(OSRRefE14_8x),0)</f>
        <v>599.29</v>
      </c>
    </row>
    <row r="85" spans="1:17" s="9" customFormat="1" hidden="1" outlineLevel="1" x14ac:dyDescent="0.25">
      <c r="A85" s="22"/>
      <c r="B85" s="13" t="str">
        <f>CONCATENATE("          ","5026", " - ","PURCHASES @ COST-WRITING INSTR")</f>
        <v xml:space="preserve">          5026 - PURCHASES @ COST-WRITING INSTR</v>
      </c>
      <c r="C85" s="23"/>
      <c r="D85" s="2"/>
      <c r="E85" s="2"/>
      <c r="F85" s="2"/>
      <c r="G85" s="2">
        <v>380.02</v>
      </c>
      <c r="H85" s="2"/>
      <c r="I85" s="2"/>
      <c r="J85" s="2"/>
      <c r="K85" s="2"/>
      <c r="L85" s="2"/>
      <c r="M85" s="2"/>
      <c r="N85" s="2"/>
      <c r="O85" s="2"/>
      <c r="Q85" s="2">
        <f>SUM(OSRRefD14_9x)+IFERROR(SUM(OSRRefE14_9x),0)</f>
        <v>380.02</v>
      </c>
    </row>
    <row r="86" spans="1:17" s="9" customFormat="1" hidden="1" outlineLevel="1" x14ac:dyDescent="0.25">
      <c r="A86" s="22"/>
      <c r="B86" s="13" t="str">
        <f>CONCATENATE("          ","5027", " - ","PURCHASES @ COST-SCHOOL SUPPLI")</f>
        <v xml:space="preserve">          5027 - PURCHASES @ COST-SCHOOL SUPPLI</v>
      </c>
      <c r="C86" s="23"/>
      <c r="D86" s="2">
        <v>8503.4</v>
      </c>
      <c r="E86" s="2"/>
      <c r="F86" s="2"/>
      <c r="G86" s="2">
        <v>10567.95</v>
      </c>
      <c r="H86" s="2"/>
      <c r="I86" s="2"/>
      <c r="J86" s="2"/>
      <c r="K86" s="2"/>
      <c r="L86" s="2"/>
      <c r="M86" s="2"/>
      <c r="N86" s="2"/>
      <c r="O86" s="2"/>
      <c r="Q86" s="2">
        <f>SUM(OSRRefD14_10x)+IFERROR(SUM(OSRRefE14_10x),0)</f>
        <v>19071.349999999999</v>
      </c>
    </row>
    <row r="87" spans="1:17" s="9" customFormat="1" hidden="1" outlineLevel="1" x14ac:dyDescent="0.25">
      <c r="A87" s="22"/>
      <c r="B87" s="13" t="str">
        <f>CONCATENATE("          ","5028", " - ","PURCHASES @ COST-ART/TECH")</f>
        <v xml:space="preserve">          5028 - PURCHASES @ COST-ART/TECH</v>
      </c>
      <c r="C87" s="23"/>
      <c r="D87" s="2"/>
      <c r="E87" s="2"/>
      <c r="F87" s="2">
        <v>-83.4</v>
      </c>
      <c r="G87" s="2">
        <v>41425.96</v>
      </c>
      <c r="H87" s="2"/>
      <c r="I87" s="2"/>
      <c r="J87" s="2"/>
      <c r="K87" s="2"/>
      <c r="L87" s="2"/>
      <c r="M87" s="2"/>
      <c r="N87" s="2"/>
      <c r="O87" s="2"/>
      <c r="Q87" s="2">
        <f>SUM(OSRRefD14_11x)+IFERROR(SUM(OSRRefE14_11x),0)</f>
        <v>41342.559999999998</v>
      </c>
    </row>
    <row r="88" spans="1:17" s="9" customFormat="1" hidden="1" outlineLevel="1" x14ac:dyDescent="0.25">
      <c r="A88" s="22"/>
      <c r="B88" s="13" t="str">
        <f>CONCATENATE("          ","5031", " - ","PURCHASES @ COST-FOOD")</f>
        <v xml:space="preserve">          5031 - PURCHASES @ COST-FOOD</v>
      </c>
      <c r="C88" s="23"/>
      <c r="D88" s="2"/>
      <c r="E88" s="2"/>
      <c r="F88" s="2">
        <v>4065.92</v>
      </c>
      <c r="G88" s="2">
        <v>4469.18</v>
      </c>
      <c r="H88" s="2"/>
      <c r="I88" s="2"/>
      <c r="J88" s="2"/>
      <c r="K88" s="2"/>
      <c r="L88" s="2"/>
      <c r="M88" s="2"/>
      <c r="N88" s="2"/>
      <c r="O88" s="2"/>
      <c r="Q88" s="2">
        <f>SUM(OSRRefD14_12x)+IFERROR(SUM(OSRRefE14_12x),0)</f>
        <v>8535.1</v>
      </c>
    </row>
    <row r="89" spans="1:17" s="9" customFormat="1" hidden="1" outlineLevel="1" x14ac:dyDescent="0.25">
      <c r="A89" s="22"/>
      <c r="B89" s="13" t="str">
        <f>CONCATENATE("          ","5040", " - ","PURCHASES @ COST-LOGO CLOTHING")</f>
        <v xml:space="preserve">          5040 - PURCHASES @ COST-LOGO CLOTHING</v>
      </c>
      <c r="C89" s="23"/>
      <c r="D89" s="2">
        <v>1723.07</v>
      </c>
      <c r="E89" s="2">
        <v>7628.83</v>
      </c>
      <c r="F89" s="2">
        <v>4398.1499999999996</v>
      </c>
      <c r="G89" s="2">
        <v>25420.9</v>
      </c>
      <c r="H89" s="2"/>
      <c r="I89" s="2"/>
      <c r="J89" s="2"/>
      <c r="K89" s="2"/>
      <c r="L89" s="2"/>
      <c r="M89" s="2"/>
      <c r="N89" s="2"/>
      <c r="O89" s="2"/>
      <c r="Q89" s="2">
        <f>SUM(OSRRefD14_13x)+IFERROR(SUM(OSRRefE14_13x),0)</f>
        <v>39170.949999999997</v>
      </c>
    </row>
    <row r="90" spans="1:17" s="9" customFormat="1" hidden="1" outlineLevel="1" x14ac:dyDescent="0.25">
      <c r="A90" s="22"/>
      <c r="B90" s="13" t="str">
        <f>CONCATENATE("          ","5041", " - ","PURCHASES @ COST-LOGO GIFTS")</f>
        <v xml:space="preserve">          5041 - PURCHASES @ COST-LOGO GIFTS</v>
      </c>
      <c r="C90" s="23"/>
      <c r="D90" s="2">
        <v>-713.75</v>
      </c>
      <c r="E90" s="2">
        <v>1843.29</v>
      </c>
      <c r="F90" s="2">
        <v>868</v>
      </c>
      <c r="G90" s="2">
        <v>15289.8</v>
      </c>
      <c r="H90" s="2"/>
      <c r="I90" s="2"/>
      <c r="J90" s="2"/>
      <c r="K90" s="2"/>
      <c r="L90" s="2"/>
      <c r="M90" s="2"/>
      <c r="N90" s="2"/>
      <c r="O90" s="2"/>
      <c r="Q90" s="2">
        <f>SUM(OSRRefD14_14x)+IFERROR(SUM(OSRRefE14_14x),0)</f>
        <v>17287.34</v>
      </c>
    </row>
    <row r="91" spans="1:17" s="9" customFormat="1" hidden="1" outlineLevel="1" x14ac:dyDescent="0.25">
      <c r="A91" s="22"/>
      <c r="B91" s="13" t="str">
        <f>CONCATENATE("          ","5042", " - ","PURCHASES @ COST-EVERYDAY GIFT")</f>
        <v xml:space="preserve">          5042 - PURCHASES @ COST-EVERYDAY GIFT</v>
      </c>
      <c r="C91" s="23"/>
      <c r="D91" s="2">
        <v>236.16</v>
      </c>
      <c r="E91" s="2">
        <v>732.99</v>
      </c>
      <c r="F91" s="2">
        <v>522</v>
      </c>
      <c r="G91" s="2">
        <v>9421.5300000000007</v>
      </c>
      <c r="H91" s="2"/>
      <c r="I91" s="2"/>
      <c r="J91" s="2"/>
      <c r="K91" s="2"/>
      <c r="L91" s="2"/>
      <c r="M91" s="2"/>
      <c r="N91" s="2"/>
      <c r="O91" s="2"/>
      <c r="Q91" s="2">
        <f>SUM(OSRRefD14_15x)+IFERROR(SUM(OSRRefE14_15x),0)</f>
        <v>10912.68</v>
      </c>
    </row>
    <row r="92" spans="1:17" s="9" customFormat="1" hidden="1" outlineLevel="1" x14ac:dyDescent="0.25">
      <c r="A92" s="22"/>
      <c r="B92" s="13" t="str">
        <f>CONCATENATE("          ","5043", " - ","PURCHASES @ COST-CARDS")</f>
        <v xml:space="preserve">          5043 - PURCHASES @ COST-CARDS</v>
      </c>
      <c r="C92" s="23"/>
      <c r="D92" s="2">
        <v>308.7</v>
      </c>
      <c r="E92" s="2">
        <v>1406.55</v>
      </c>
      <c r="F92" s="2">
        <v>1401</v>
      </c>
      <c r="G92" s="2">
        <v>2526.75</v>
      </c>
      <c r="H92" s="2"/>
      <c r="I92" s="2"/>
      <c r="J92" s="2"/>
      <c r="K92" s="2"/>
      <c r="L92" s="2"/>
      <c r="M92" s="2"/>
      <c r="N92" s="2"/>
      <c r="O92" s="2"/>
      <c r="Q92" s="2">
        <f>SUM(OSRRefD14_16x)+IFERROR(SUM(OSRRefE14_16x),0)</f>
        <v>5643</v>
      </c>
    </row>
    <row r="93" spans="1:17" s="9" customFormat="1" hidden="1" outlineLevel="1" x14ac:dyDescent="0.25">
      <c r="A93" s="22"/>
      <c r="B93" s="13" t="str">
        <f>CONCATENATE("          ","5045", " - ","PURCHASES @ COST-SPECIAL ORDER")</f>
        <v xml:space="preserve">          5045 - PURCHASES @ COST-SPECIAL ORDER</v>
      </c>
      <c r="C93" s="23"/>
      <c r="D93" s="2">
        <v>2756.21</v>
      </c>
      <c r="E93" s="2">
        <v>5633.96</v>
      </c>
      <c r="F93" s="2">
        <v>52784.12</v>
      </c>
      <c r="G93" s="2">
        <v>10080.23</v>
      </c>
      <c r="H93" s="2"/>
      <c r="I93" s="2"/>
      <c r="J93" s="2"/>
      <c r="K93" s="2"/>
      <c r="L93" s="2"/>
      <c r="M93" s="2"/>
      <c r="N93" s="2"/>
      <c r="O93" s="2"/>
      <c r="Q93" s="2">
        <f>SUM(OSRRefD14_17x)+IFERROR(SUM(OSRRefE14_17x),0)</f>
        <v>71254.52</v>
      </c>
    </row>
    <row r="94" spans="1:17" s="9" customFormat="1" hidden="1" outlineLevel="1" x14ac:dyDescent="0.25">
      <c r="A94" s="22"/>
      <c r="B94" s="13" t="str">
        <f>CONCATENATE("          ","5053", " - ","PURCHASES @ COST-FOOD")</f>
        <v xml:space="preserve">          5053 - PURCHASES @ COST-FOOD</v>
      </c>
      <c r="C94" s="23"/>
      <c r="D94" s="2">
        <v>-226.87</v>
      </c>
      <c r="E94" s="2">
        <v>-2111.6799999999998</v>
      </c>
      <c r="F94" s="2">
        <v>53.15</v>
      </c>
      <c r="G94" s="2">
        <v>-570.16999999999996</v>
      </c>
      <c r="H94" s="2"/>
      <c r="I94" s="2"/>
      <c r="J94" s="2"/>
      <c r="K94" s="2"/>
      <c r="L94" s="2"/>
      <c r="M94" s="2"/>
      <c r="N94" s="2"/>
      <c r="O94" s="2"/>
      <c r="Q94" s="2">
        <f>SUM(OSRRefD14_18x)+IFERROR(SUM(OSRRefE14_18x),0)</f>
        <v>-2855.5699999999997</v>
      </c>
    </row>
    <row r="95" spans="1:17" s="9" customFormat="1" hidden="1" outlineLevel="1" x14ac:dyDescent="0.25">
      <c r="A95" s="22"/>
      <c r="B95" s="13" t="str">
        <f>CONCATENATE("          ","5059", " - ","PURCHASES @ COST-FOOD")</f>
        <v xml:space="preserve">          5059 - PURCHASES @ COST-FOOD</v>
      </c>
      <c r="C95" s="23"/>
      <c r="D95" s="2"/>
      <c r="E95" s="2">
        <v>68.91</v>
      </c>
      <c r="F95" s="2"/>
      <c r="G95" s="2">
        <v>11629</v>
      </c>
      <c r="H95" s="2"/>
      <c r="I95" s="2"/>
      <c r="J95" s="2"/>
      <c r="K95" s="2"/>
      <c r="L95" s="2"/>
      <c r="M95" s="2"/>
      <c r="N95" s="2"/>
      <c r="O95" s="2"/>
      <c r="Q95" s="2">
        <f>SUM(OSRRefD14_19x)+IFERROR(SUM(OSRRefE14_19x),0)</f>
        <v>11697.91</v>
      </c>
    </row>
    <row r="96" spans="1:17" s="9" customFormat="1" hidden="1" outlineLevel="1" x14ac:dyDescent="0.25">
      <c r="A96" s="22"/>
      <c r="B96" s="13" t="str">
        <f>CONCATENATE("          ","5200", " - ","PURCHASES OFFSET")</f>
        <v xml:space="preserve">          5200 - PURCHASES OFFSET</v>
      </c>
      <c r="C96" s="23"/>
      <c r="D96" s="2">
        <v>-215765.28</v>
      </c>
      <c r="E96" s="2">
        <v>-497237.30000000005</v>
      </c>
      <c r="F96" s="2">
        <v>-821971.10000000009</v>
      </c>
      <c r="G96" s="2">
        <v>-234183.50999999998</v>
      </c>
      <c r="H96" s="2"/>
      <c r="I96" s="2"/>
      <c r="J96" s="2"/>
      <c r="K96" s="2"/>
      <c r="L96" s="2"/>
      <c r="M96" s="2"/>
      <c r="N96" s="2"/>
      <c r="O96" s="2"/>
      <c r="Q96" s="2">
        <f>SUM(OSRRefD14_20x)+IFERROR(SUM(OSRRefE14_20x),0)</f>
        <v>-1769157.1900000002</v>
      </c>
    </row>
    <row r="97" spans="1:17" s="9" customFormat="1" hidden="1" outlineLevel="1" x14ac:dyDescent="0.25">
      <c r="A97" s="22"/>
      <c r="B97" s="13" t="str">
        <f>CONCATENATE("          ","5300", " - ","COG$ OFFSET")</f>
        <v xml:space="preserve">          5300 - COG$ OFFSET</v>
      </c>
      <c r="C97" s="23"/>
      <c r="D97" s="2">
        <v>135628</v>
      </c>
      <c r="E97" s="2">
        <v>770429</v>
      </c>
      <c r="F97" s="2">
        <v>204421</v>
      </c>
      <c r="G97" s="2">
        <v>85211</v>
      </c>
      <c r="H97" s="2"/>
      <c r="I97" s="2"/>
      <c r="J97" s="2"/>
      <c r="K97" s="2"/>
      <c r="L97" s="2"/>
      <c r="M97" s="2"/>
      <c r="N97" s="2"/>
      <c r="O97" s="2"/>
      <c r="Q97" s="2">
        <f>SUM(OSRRefD14_21x)+IFERROR(SUM(OSRRefE14_21x),0)</f>
        <v>1195689</v>
      </c>
    </row>
    <row r="98" spans="1:17" s="9" customFormat="1" hidden="1" outlineLevel="1" x14ac:dyDescent="0.25">
      <c r="A98" s="22"/>
      <c r="B98" s="13" t="str">
        <f>CONCATENATE("          ","5501", " - ","FREIGHT-IN-NEW TEXT")</f>
        <v xml:space="preserve">          5501 - FREIGHT-IN-NEW TEXT</v>
      </c>
      <c r="C98" s="23"/>
      <c r="D98" s="2">
        <v>802.72</v>
      </c>
      <c r="E98" s="2">
        <v>4680.5600000000004</v>
      </c>
      <c r="F98" s="2">
        <v>5279.6</v>
      </c>
      <c r="G98" s="2">
        <v>23295.74</v>
      </c>
      <c r="H98" s="2"/>
      <c r="I98" s="2"/>
      <c r="J98" s="2"/>
      <c r="K98" s="2"/>
      <c r="L98" s="2"/>
      <c r="M98" s="2"/>
      <c r="N98" s="2"/>
      <c r="O98" s="2"/>
      <c r="Q98" s="2">
        <f>SUM(OSRRefD14_22x)+IFERROR(SUM(OSRRefE14_22x),0)</f>
        <v>34058.620000000003</v>
      </c>
    </row>
    <row r="99" spans="1:17" s="9" customFormat="1" hidden="1" outlineLevel="1" x14ac:dyDescent="0.25">
      <c r="A99" s="22"/>
      <c r="B99" s="13" t="str">
        <f>CONCATENATE("          ","5502", " - ","FREIGHT-IN-USED TEXT")</f>
        <v xml:space="preserve">          5502 - FREIGHT-IN-USED TEXT</v>
      </c>
      <c r="C99" s="23"/>
      <c r="D99" s="2">
        <v>47.89</v>
      </c>
      <c r="E99" s="2">
        <v>1186.6600000000001</v>
      </c>
      <c r="F99" s="2">
        <v>7276.27</v>
      </c>
      <c r="G99" s="2">
        <v>2233.9</v>
      </c>
      <c r="H99" s="2"/>
      <c r="I99" s="2"/>
      <c r="J99" s="2"/>
      <c r="K99" s="2"/>
      <c r="L99" s="2"/>
      <c r="M99" s="2"/>
      <c r="N99" s="2"/>
      <c r="O99" s="2"/>
      <c r="Q99" s="2">
        <f>SUM(OSRRefD14_23x)+IFERROR(SUM(OSRRefE14_23x),0)</f>
        <v>10744.72</v>
      </c>
    </row>
    <row r="100" spans="1:17" s="9" customFormat="1" hidden="1" outlineLevel="1" x14ac:dyDescent="0.25">
      <c r="A100" s="22"/>
      <c r="B100" s="13" t="str">
        <f>CONCATENATE("          ","5504", " - ","FREIGHT-IN-DIGITAL TEXT")</f>
        <v xml:space="preserve">          5504 - FREIGHT-IN-DIGITAL TEXT</v>
      </c>
      <c r="C100" s="23"/>
      <c r="D100" s="2"/>
      <c r="E100" s="2"/>
      <c r="F100" s="2">
        <v>10.99</v>
      </c>
      <c r="G100" s="2">
        <v>10.99</v>
      </c>
      <c r="H100" s="2"/>
      <c r="I100" s="2"/>
      <c r="J100" s="2"/>
      <c r="K100" s="2"/>
      <c r="L100" s="2"/>
      <c r="M100" s="2"/>
      <c r="N100" s="2"/>
      <c r="O100" s="2"/>
      <c r="Q100" s="2">
        <f>SUM(OSRRefD14_24x)+IFERROR(SUM(OSRRefE14_24x),0)</f>
        <v>21.98</v>
      </c>
    </row>
    <row r="101" spans="1:17" s="9" customFormat="1" hidden="1" outlineLevel="1" x14ac:dyDescent="0.25">
      <c r="A101" s="22"/>
      <c r="B101" s="13" t="str">
        <f>CONCATENATE("          ","5525", " - ","FREIGHT-IN-TEST FORMS")</f>
        <v xml:space="preserve">          5525 - FREIGHT-IN-TEST FORMS</v>
      </c>
      <c r="C101" s="23"/>
      <c r="D101" s="2"/>
      <c r="E101" s="2"/>
      <c r="F101" s="2"/>
      <c r="G101" s="2">
        <v>48.14</v>
      </c>
      <c r="H101" s="2"/>
      <c r="I101" s="2"/>
      <c r="J101" s="2"/>
      <c r="K101" s="2"/>
      <c r="L101" s="2"/>
      <c r="M101" s="2"/>
      <c r="N101" s="2"/>
      <c r="O101" s="2"/>
      <c r="Q101" s="2">
        <f>SUM(OSRRefD14_25x)+IFERROR(SUM(OSRRefE14_25x),0)</f>
        <v>48.14</v>
      </c>
    </row>
    <row r="102" spans="1:17" s="9" customFormat="1" hidden="1" outlineLevel="1" x14ac:dyDescent="0.25">
      <c r="A102" s="22"/>
      <c r="B102" s="13" t="str">
        <f>CONCATENATE("          ","5527", " - ","FREIGHT-IN-SCHOOL SUPPLIES")</f>
        <v xml:space="preserve">          5527 - FREIGHT-IN-SCHOOL SUPPLIES</v>
      </c>
      <c r="C102" s="23"/>
      <c r="D102" s="2"/>
      <c r="E102" s="2"/>
      <c r="F102" s="2"/>
      <c r="G102" s="2">
        <v>56</v>
      </c>
      <c r="H102" s="2"/>
      <c r="I102" s="2"/>
      <c r="J102" s="2"/>
      <c r="K102" s="2"/>
      <c r="L102" s="2"/>
      <c r="M102" s="2"/>
      <c r="N102" s="2"/>
      <c r="O102" s="2"/>
      <c r="Q102" s="2">
        <f>SUM(OSRRefD14_26x)+IFERROR(SUM(OSRRefE14_26x),0)</f>
        <v>56</v>
      </c>
    </row>
    <row r="103" spans="1:17" s="9" customFormat="1" hidden="1" outlineLevel="1" x14ac:dyDescent="0.25">
      <c r="A103" s="22"/>
      <c r="B103" s="13" t="str">
        <f>CONCATENATE("          ","5528", " - ","FREIGHT-IN-ART/TECH")</f>
        <v xml:space="preserve">          5528 - FREIGHT-IN-ART/TECH</v>
      </c>
      <c r="C103" s="23"/>
      <c r="D103" s="2">
        <v>38.049999999999997</v>
      </c>
      <c r="E103" s="2"/>
      <c r="F103" s="2">
        <v>6.76</v>
      </c>
      <c r="G103" s="2">
        <v>239.39</v>
      </c>
      <c r="H103" s="2"/>
      <c r="I103" s="2"/>
      <c r="J103" s="2"/>
      <c r="K103" s="2"/>
      <c r="L103" s="2"/>
      <c r="M103" s="2"/>
      <c r="N103" s="2"/>
      <c r="O103" s="2"/>
      <c r="Q103" s="2">
        <f>SUM(OSRRefD14_27x)+IFERROR(SUM(OSRRefE14_27x),0)</f>
        <v>284.2</v>
      </c>
    </row>
    <row r="104" spans="1:17" s="9" customFormat="1" hidden="1" outlineLevel="1" x14ac:dyDescent="0.25">
      <c r="A104" s="22"/>
      <c r="B104" s="13" t="str">
        <f>CONCATENATE("          ","5540", " - ","FREIGHT-IN-LOGO CLOTHING")</f>
        <v xml:space="preserve">          5540 - FREIGHT-IN-LOGO CLOTHING</v>
      </c>
      <c r="C104" s="23"/>
      <c r="D104" s="2">
        <v>909.83</v>
      </c>
      <c r="E104" s="2">
        <v>1021.7</v>
      </c>
      <c r="F104" s="2">
        <v>234.23</v>
      </c>
      <c r="G104" s="2">
        <v>1036.57</v>
      </c>
      <c r="H104" s="2"/>
      <c r="I104" s="2"/>
      <c r="J104" s="2"/>
      <c r="K104" s="2"/>
      <c r="L104" s="2"/>
      <c r="M104" s="2"/>
      <c r="N104" s="2"/>
      <c r="O104" s="2"/>
      <c r="Q104" s="2">
        <f>SUM(OSRRefD14_28x)+IFERROR(SUM(OSRRefE14_28x),0)</f>
        <v>3202.33</v>
      </c>
    </row>
    <row r="105" spans="1:17" s="9" customFormat="1" hidden="1" outlineLevel="1" x14ac:dyDescent="0.25">
      <c r="A105" s="22"/>
      <c r="B105" s="13" t="str">
        <f>CONCATENATE("          ","5541", " - ","FREIGHT-IN-LOGO GIFTS")</f>
        <v xml:space="preserve">          5541 - FREIGHT-IN-LOGO GIFTS</v>
      </c>
      <c r="C105" s="23"/>
      <c r="D105" s="2">
        <v>83.58</v>
      </c>
      <c r="E105" s="2">
        <v>123.12</v>
      </c>
      <c r="F105" s="2">
        <v>154.41</v>
      </c>
      <c r="G105" s="2">
        <v>773.7</v>
      </c>
      <c r="H105" s="2"/>
      <c r="I105" s="2"/>
      <c r="J105" s="2"/>
      <c r="K105" s="2"/>
      <c r="L105" s="2"/>
      <c r="M105" s="2"/>
      <c r="N105" s="2"/>
      <c r="O105" s="2"/>
      <c r="Q105" s="2">
        <f>SUM(OSRRefD14_29x)+IFERROR(SUM(OSRRefE14_29x),0)</f>
        <v>1134.81</v>
      </c>
    </row>
    <row r="106" spans="1:17" s="9" customFormat="1" hidden="1" outlineLevel="1" x14ac:dyDescent="0.25">
      <c r="A106" s="22"/>
      <c r="B106" s="13" t="str">
        <f>CONCATENATE("          ","5542", " - ","FREIGHT-IN-EVERYDAY GIFTS")</f>
        <v xml:space="preserve">          5542 - FREIGHT-IN-EVERYDAY GIFTS</v>
      </c>
      <c r="C106" s="23"/>
      <c r="D106" s="2">
        <v>5.94</v>
      </c>
      <c r="E106" s="2"/>
      <c r="F106" s="2">
        <v>65.44</v>
      </c>
      <c r="G106" s="2">
        <v>104.17</v>
      </c>
      <c r="H106" s="2"/>
      <c r="I106" s="2"/>
      <c r="J106" s="2"/>
      <c r="K106" s="2"/>
      <c r="L106" s="2"/>
      <c r="M106" s="2"/>
      <c r="N106" s="2"/>
      <c r="O106" s="2"/>
      <c r="Q106" s="2">
        <f>SUM(OSRRefD14_30x)+IFERROR(SUM(OSRRefE14_30x),0)</f>
        <v>175.55</v>
      </c>
    </row>
    <row r="107" spans="1:17" s="9" customFormat="1" hidden="1" outlineLevel="1" x14ac:dyDescent="0.25">
      <c r="A107" s="22"/>
      <c r="B107" s="13" t="str">
        <f>CONCATENATE("          ","5543", " - ","FREIGHT-IN-CARDS")</f>
        <v xml:space="preserve">          5543 - FREIGHT-IN-CARDS</v>
      </c>
      <c r="C107" s="23"/>
      <c r="D107" s="2"/>
      <c r="E107" s="2"/>
      <c r="F107" s="2">
        <v>81.77</v>
      </c>
      <c r="G107" s="2">
        <v>107.42</v>
      </c>
      <c r="H107" s="2"/>
      <c r="I107" s="2"/>
      <c r="J107" s="2"/>
      <c r="K107" s="2"/>
      <c r="L107" s="2"/>
      <c r="M107" s="2"/>
      <c r="N107" s="2"/>
      <c r="O107" s="2"/>
      <c r="Q107" s="2">
        <f>SUM(OSRRefD14_31x)+IFERROR(SUM(OSRRefE14_31x),0)</f>
        <v>189.19</v>
      </c>
    </row>
    <row r="108" spans="1:17" s="9" customFormat="1" hidden="1" outlineLevel="1" x14ac:dyDescent="0.25">
      <c r="A108" s="22"/>
      <c r="B108" s="13" t="str">
        <f>CONCATENATE("          ","5545", " - ","FREIGHT-IN-SPECIAL ORDERS")</f>
        <v xml:space="preserve">          5545 - FREIGHT-IN-SPECIAL ORDERS</v>
      </c>
      <c r="C108" s="23"/>
      <c r="D108" s="2">
        <v>300.39999999999998</v>
      </c>
      <c r="E108" s="2">
        <v>145.6</v>
      </c>
      <c r="F108" s="2">
        <v>214.61</v>
      </c>
      <c r="G108" s="2">
        <v>189.66</v>
      </c>
      <c r="H108" s="2"/>
      <c r="I108" s="2"/>
      <c r="J108" s="2"/>
      <c r="K108" s="2"/>
      <c r="L108" s="2"/>
      <c r="M108" s="2"/>
      <c r="N108" s="2"/>
      <c r="O108" s="2"/>
      <c r="Q108" s="2">
        <f>SUM(OSRRefD14_32x)+IFERROR(SUM(OSRRefE14_32x),0)</f>
        <v>850.27</v>
      </c>
    </row>
    <row r="109" spans="1:17" x14ac:dyDescent="0.25">
      <c r="A109" s="5"/>
      <c r="B109" s="8"/>
      <c r="C109" s="8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Q109" s="3"/>
    </row>
    <row r="110" spans="1:17" s="14" customFormat="1" x14ac:dyDescent="0.25">
      <c r="A110" s="8"/>
      <c r="B110" s="17" t="s">
        <v>6</v>
      </c>
      <c r="C110" s="17"/>
      <c r="D110" s="6">
        <f t="shared" ref="D110:O110" si="15">IFERROR(+D10-D75, 0)</f>
        <v>86498.849999999919</v>
      </c>
      <c r="E110" s="6">
        <f t="shared" si="15"/>
        <v>518532.8200000003</v>
      </c>
      <c r="F110" s="6">
        <f t="shared" si="15"/>
        <v>139713.09000000011</v>
      </c>
      <c r="G110" s="6">
        <f t="shared" si="15"/>
        <v>62579.700000000055</v>
      </c>
      <c r="H110" s="6">
        <f t="shared" si="15"/>
        <v>141521.20000000001</v>
      </c>
      <c r="I110" s="6">
        <f t="shared" si="15"/>
        <v>143463</v>
      </c>
      <c r="J110" s="6">
        <f t="shared" si="15"/>
        <v>371548.39999999991</v>
      </c>
      <c r="K110" s="6">
        <f t="shared" si="15"/>
        <v>157833.69999999998</v>
      </c>
      <c r="L110" s="6">
        <f t="shared" si="15"/>
        <v>126979.29999999999</v>
      </c>
      <c r="M110" s="6">
        <f t="shared" si="15"/>
        <v>120436.54999999999</v>
      </c>
      <c r="N110" s="6">
        <f t="shared" si="15"/>
        <v>166504.79999999999</v>
      </c>
      <c r="O110" s="6">
        <f t="shared" si="15"/>
        <v>141485.90000000002</v>
      </c>
      <c r="Q110" s="6">
        <f>IFERROR(+Q10-Q75, 0)</f>
        <v>2177097.3099999968</v>
      </c>
    </row>
    <row r="111" spans="1:17" s="8" customFormat="1" x14ac:dyDescent="0.25">
      <c r="B111" s="16"/>
      <c r="C111" s="16"/>
      <c r="D111" s="4">
        <f t="shared" ref="D111:O111" si="16">IFERROR(D110/D10, 0)</f>
        <v>0.37993541012156973</v>
      </c>
      <c r="E111" s="4">
        <f t="shared" si="16"/>
        <v>0.32450626805358657</v>
      </c>
      <c r="F111" s="4">
        <f t="shared" si="16"/>
        <v>0.37667922667693798</v>
      </c>
      <c r="G111" s="4">
        <f t="shared" si="16"/>
        <v>0.39085678053261608</v>
      </c>
      <c r="H111" s="4">
        <f t="shared" si="16"/>
        <v>0.46488156986205437</v>
      </c>
      <c r="I111" s="4">
        <f t="shared" si="16"/>
        <v>0.45723655903697402</v>
      </c>
      <c r="J111" s="4">
        <f t="shared" si="16"/>
        <v>0.32502514570864355</v>
      </c>
      <c r="K111" s="4">
        <f t="shared" si="16"/>
        <v>0.39949130152951234</v>
      </c>
      <c r="L111" s="4">
        <f t="shared" si="16"/>
        <v>0.45038453858030547</v>
      </c>
      <c r="M111" s="4">
        <f t="shared" si="16"/>
        <v>0.44531819217967938</v>
      </c>
      <c r="N111" s="4">
        <f t="shared" si="16"/>
        <v>0.43602847904033554</v>
      </c>
      <c r="O111" s="4">
        <f t="shared" si="16"/>
        <v>0.46220773064749182</v>
      </c>
      <c r="P111" s="18"/>
      <c r="Q111" s="4">
        <f>IFERROR(Q110/Q10, 0)</f>
        <v>0.37840400074003222</v>
      </c>
    </row>
    <row r="112" spans="1:17" x14ac:dyDescent="0.25">
      <c r="A112" s="5"/>
      <c r="B112" s="8"/>
      <c r="C112" s="5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Q112" s="1"/>
    </row>
    <row r="113" spans="1:17" s="14" customFormat="1" x14ac:dyDescent="0.25">
      <c r="A113" s="8"/>
      <c r="B113" s="16" t="s">
        <v>291</v>
      </c>
      <c r="C113" s="8"/>
      <c r="D113" s="10">
        <f>SUM(OSRRefD20x_0)</f>
        <v>353875.88000000006</v>
      </c>
      <c r="E113" s="10">
        <f>SUM(OSRRefD20x_1)</f>
        <v>253866.55999999997</v>
      </c>
      <c r="F113" s="10">
        <f>SUM(OSRRefD20x_2)</f>
        <v>291986.44000000006</v>
      </c>
      <c r="G113" s="10">
        <f>SUM(OSRRefD20x_3)</f>
        <v>349347.23000000004</v>
      </c>
      <c r="H113" s="10">
        <f>SUM(OSRRefE20x_0)</f>
        <v>307542.53117888462</v>
      </c>
      <c r="I113" s="10">
        <f>SUM(OSRRefE20x_1)</f>
        <v>328361.04318085383</v>
      </c>
      <c r="J113" s="10">
        <f>SUM(OSRRefE20x_2)</f>
        <v>443837.56825540483</v>
      </c>
      <c r="K113" s="10">
        <f>SUM(OSRRefE20x_3)</f>
        <v>343839.98157527385</v>
      </c>
      <c r="L113" s="10">
        <f>SUM(OSRRefE20x_4)</f>
        <v>307481.06986727385</v>
      </c>
      <c r="M113" s="10">
        <f>SUM(OSRRefE20x_5)</f>
        <v>360611.83919640479</v>
      </c>
      <c r="N113" s="10">
        <f>SUM(OSRRefE20x_6)</f>
        <v>327773.80291677383</v>
      </c>
      <c r="O113" s="10">
        <f>SUM(OSRRefE20x_7)</f>
        <v>327804.11217549886</v>
      </c>
      <c r="Q113" s="10">
        <f>SUM(OSRRefG20x)</f>
        <v>3996328.0583463698</v>
      </c>
    </row>
    <row r="114" spans="1:17" s="34" customFormat="1" collapsed="1" x14ac:dyDescent="0.25">
      <c r="A114" s="35"/>
      <c r="B114" s="15" t="str">
        <f>CONCATENATE("     ","*Benefits                                         ")</f>
        <v xml:space="preserve">     *Benefits                                         </v>
      </c>
      <c r="C114" s="15"/>
      <c r="D114" s="1">
        <f>SUM(OSRRefD21_0x_0)</f>
        <v>49661.67</v>
      </c>
      <c r="E114" s="1">
        <f>SUM(OSRRefD21_0x_1)</f>
        <v>51389.34</v>
      </c>
      <c r="F114" s="1">
        <f>SUM(OSRRefD21_0x_2)</f>
        <v>52903.110000000008</v>
      </c>
      <c r="G114" s="1">
        <f>SUM(OSRRefD21_0x_3)</f>
        <v>54321.38</v>
      </c>
      <c r="H114" s="1">
        <f>SUM(OSRRefE21_0x_0)</f>
        <v>49539.604273653837</v>
      </c>
      <c r="I114" s="1">
        <f>SUM(OSRRefE21_0x_1)</f>
        <v>44092.784891007694</v>
      </c>
      <c r="J114" s="1">
        <f>SUM(OSRRefE21_0x_2)</f>
        <v>62224.746284443252</v>
      </c>
      <c r="K114" s="1">
        <f>SUM(OSRRefE21_0x_3)</f>
        <v>50929.922498504617</v>
      </c>
      <c r="L114" s="1">
        <f>SUM(OSRRefE21_0x_4)</f>
        <v>50297.290790504616</v>
      </c>
      <c r="M114" s="1">
        <f>SUM(OSRRefE21_0x_5)</f>
        <v>57656.098475443257</v>
      </c>
      <c r="N114" s="1">
        <f>SUM(OSRRefE21_0x_6)</f>
        <v>50505.141340004608</v>
      </c>
      <c r="O114" s="1">
        <f>SUM(OSRRefE21_0x_7)</f>
        <v>52505.803098729615</v>
      </c>
      <c r="Q114" s="2">
        <f>SUM(OSRRefD20_0x)+IFERROR(SUM(OSRRefE20_0x),0)</f>
        <v>626026.89165229152</v>
      </c>
    </row>
    <row r="115" spans="1:17" s="34" customFormat="1" hidden="1" outlineLevel="1" x14ac:dyDescent="0.25">
      <c r="A115" s="35"/>
      <c r="B115" s="13" t="str">
        <f>CONCATENATE("          ","6111", " - ","F.I.C.A.")</f>
        <v xml:space="preserve">          6111 - F.I.C.A.</v>
      </c>
      <c r="C115" s="15"/>
      <c r="D115" s="2">
        <v>8428.1200000000008</v>
      </c>
      <c r="E115" s="2">
        <v>11412.37</v>
      </c>
      <c r="F115" s="2">
        <v>12116.03</v>
      </c>
      <c r="G115" s="2">
        <v>13323.07</v>
      </c>
      <c r="H115" s="2">
        <v>7729.6963055769274</v>
      </c>
      <c r="I115" s="2">
        <v>7061.4900343153886</v>
      </c>
      <c r="J115" s="2">
        <v>10983.624284443265</v>
      </c>
      <c r="K115" s="2">
        <v>7875.9865618546182</v>
      </c>
      <c r="L115" s="2">
        <v>7875.9865618546182</v>
      </c>
      <c r="M115" s="2">
        <v>9844.9832023182662</v>
      </c>
      <c r="N115" s="2">
        <v>7941.333615604618</v>
      </c>
      <c r="O115" s="2">
        <v>10746.981387079617</v>
      </c>
      <c r="P115" s="9"/>
      <c r="Q115" s="2">
        <f>SUM(OSRRefD21_0_0x)+IFERROR(SUM(OSRRefE21_0_0x),0)</f>
        <v>115339.67195304733</v>
      </c>
    </row>
    <row r="116" spans="1:17" s="34" customFormat="1" hidden="1" outlineLevel="1" x14ac:dyDescent="0.25">
      <c r="A116" s="35"/>
      <c r="B116" s="13" t="str">
        <f>CONCATENATE("          ","6112", " - ","COMPENSATION INSURANCE")</f>
        <v xml:space="preserve">          6112 - COMPENSATION INSURANCE</v>
      </c>
      <c r="C116" s="15"/>
      <c r="D116" s="2">
        <v>1948.81</v>
      </c>
      <c r="E116" s="2">
        <v>2528.56</v>
      </c>
      <c r="F116" s="2">
        <v>4233.78</v>
      </c>
      <c r="G116" s="2">
        <v>1907.43</v>
      </c>
      <c r="H116" s="2">
        <v>2856.3939519230757</v>
      </c>
      <c r="I116" s="2">
        <v>2913.3129303846122</v>
      </c>
      <c r="J116" s="2">
        <v>5330.6495557692306</v>
      </c>
      <c r="K116" s="2">
        <v>3361.745572365382</v>
      </c>
      <c r="L116" s="2">
        <v>3052.2353923653823</v>
      </c>
      <c r="M116" s="2">
        <v>3722.0129276442331</v>
      </c>
      <c r="N116" s="2">
        <v>3118.5927186153831</v>
      </c>
      <c r="O116" s="2">
        <v>2634.6631973653848</v>
      </c>
      <c r="P116" s="9"/>
      <c r="Q116" s="2">
        <f>SUM(OSRRefD21_0_1x)+IFERROR(SUM(OSRRefE21_0_1x),0)</f>
        <v>37608.186246432684</v>
      </c>
    </row>
    <row r="117" spans="1:17" s="34" customFormat="1" hidden="1" outlineLevel="1" x14ac:dyDescent="0.25">
      <c r="A117" s="35"/>
      <c r="B117" s="13" t="str">
        <f>CONCATENATE("          ","6113", " - ","GROUP INSURANCE")</f>
        <v xml:space="preserve">          6113 - GROUP INSURANCE</v>
      </c>
      <c r="C117" s="15"/>
      <c r="D117" s="2">
        <v>18089.25</v>
      </c>
      <c r="E117" s="2">
        <v>18240.329999999998</v>
      </c>
      <c r="F117" s="2">
        <v>17485.86</v>
      </c>
      <c r="G117" s="2">
        <v>17506.16</v>
      </c>
      <c r="H117" s="2">
        <v>21247.5</v>
      </c>
      <c r="I117" s="2">
        <v>18180</v>
      </c>
      <c r="J117" s="2">
        <v>22027.499999999989</v>
      </c>
      <c r="K117" s="2">
        <v>21247.5</v>
      </c>
      <c r="L117" s="2">
        <v>21247.5</v>
      </c>
      <c r="M117" s="2">
        <v>22027.499999999989</v>
      </c>
      <c r="N117" s="2">
        <v>21247.5</v>
      </c>
      <c r="O117" s="2">
        <v>21247.5</v>
      </c>
      <c r="P117" s="9"/>
      <c r="Q117" s="2">
        <f>SUM(OSRRefD21_0_2x)+IFERROR(SUM(OSRRefE21_0_2x),0)</f>
        <v>239794.09999999998</v>
      </c>
    </row>
    <row r="118" spans="1:17" s="34" customFormat="1" hidden="1" outlineLevel="1" x14ac:dyDescent="0.25">
      <c r="A118" s="35"/>
      <c r="B118" s="13" t="str">
        <f>CONCATENATE("          ","6114", " - ","STATE UNEMPLOYMENT INSURANCE")</f>
        <v xml:space="preserve">          6114 - STATE UNEMPLOYMENT INSURANCE</v>
      </c>
      <c r="C118" s="15"/>
      <c r="D118" s="2">
        <v>298.95</v>
      </c>
      <c r="E118" s="2">
        <v>396.16</v>
      </c>
      <c r="F118" s="2">
        <v>510.55</v>
      </c>
      <c r="G118" s="2">
        <v>325.23</v>
      </c>
      <c r="H118" s="2">
        <v>401.43914999999998</v>
      </c>
      <c r="I118" s="2">
        <v>409.43857400000002</v>
      </c>
      <c r="J118" s="2">
        <v>749.17237</v>
      </c>
      <c r="K118" s="2">
        <v>472.46153990000005</v>
      </c>
      <c r="L118" s="2">
        <v>428.96281190000002</v>
      </c>
      <c r="M118" s="2">
        <v>523.09370875000002</v>
      </c>
      <c r="N118" s="2">
        <v>438.28870640000002</v>
      </c>
      <c r="O118" s="2">
        <v>370.27698989999999</v>
      </c>
      <c r="P118" s="9"/>
      <c r="Q118" s="2">
        <f>SUM(OSRRefD21_0_3x)+IFERROR(SUM(OSRRefE21_0_3x),0)</f>
        <v>5324.0238508500006</v>
      </c>
    </row>
    <row r="119" spans="1:17" s="34" customFormat="1" hidden="1" outlineLevel="1" x14ac:dyDescent="0.25">
      <c r="A119" s="35"/>
      <c r="B119" s="13" t="str">
        <f>CONCATENATE("          ","6115", " - ","P.E.R.S.")</f>
        <v xml:space="preserve">          6115 - P.E.R.S.</v>
      </c>
      <c r="C119" s="15"/>
      <c r="D119" s="2">
        <v>10020.82</v>
      </c>
      <c r="E119" s="2">
        <v>7091.2</v>
      </c>
      <c r="F119" s="2">
        <v>6866.1</v>
      </c>
      <c r="G119" s="2">
        <v>5500.01</v>
      </c>
      <c r="H119" s="2">
        <v>5865.1804846153818</v>
      </c>
      <c r="I119" s="2">
        <v>4977.1188169230718</v>
      </c>
      <c r="J119" s="2">
        <v>7460.8562963461573</v>
      </c>
      <c r="K119" s="2">
        <v>5968.6850370769225</v>
      </c>
      <c r="L119" s="2">
        <v>5968.6850370769225</v>
      </c>
      <c r="M119" s="2">
        <v>7460.8562963461573</v>
      </c>
      <c r="N119" s="2">
        <v>5968.6850370769225</v>
      </c>
      <c r="O119" s="2">
        <v>5968.6850370769225</v>
      </c>
      <c r="P119" s="9"/>
      <c r="Q119" s="2">
        <f>SUM(OSRRefD21_0_4x)+IFERROR(SUM(OSRRefE21_0_4x),0)</f>
        <v>79116.882042538462</v>
      </c>
    </row>
    <row r="120" spans="1:17" s="34" customFormat="1" hidden="1" outlineLevel="1" x14ac:dyDescent="0.25">
      <c r="A120" s="35"/>
      <c r="B120" s="13" t="str">
        <f>CONCATENATE("          ","6116", " - ","EDUCATIONAL BENEFITS")</f>
        <v xml:space="preserve">          6116 - EDUCATIONAL BENEFITS</v>
      </c>
      <c r="C120" s="15"/>
      <c r="D120" s="2">
        <v>0</v>
      </c>
      <c r="E120" s="2"/>
      <c r="F120" s="2"/>
      <c r="G120" s="2"/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9"/>
      <c r="Q120" s="2">
        <f>SUM(OSRRefD21_0_5x)+IFERROR(SUM(OSRRefE21_0_5x),0)</f>
        <v>0</v>
      </c>
    </row>
    <row r="121" spans="1:17" s="34" customFormat="1" hidden="1" outlineLevel="1" x14ac:dyDescent="0.25">
      <c r="A121" s="35"/>
      <c r="B121" s="13" t="str">
        <f>CONCATENATE("          ","6117", " - ","RETIREMENT STAFF HOURLY")</f>
        <v xml:space="preserve">          6117 - RETIREMENT STAFF HOURLY</v>
      </c>
      <c r="C121" s="15"/>
      <c r="D121" s="2">
        <v>333.14</v>
      </c>
      <c r="E121" s="2">
        <v>255.65</v>
      </c>
      <c r="F121" s="2">
        <v>248.98</v>
      </c>
      <c r="G121" s="2">
        <v>222.97</v>
      </c>
      <c r="H121" s="2"/>
      <c r="I121" s="2"/>
      <c r="J121" s="2"/>
      <c r="K121" s="2"/>
      <c r="L121" s="2"/>
      <c r="M121" s="2"/>
      <c r="N121" s="2"/>
      <c r="O121" s="2"/>
      <c r="P121" s="9"/>
      <c r="Q121" s="2">
        <f>SUM(OSRRefD21_0_6x)+IFERROR(SUM(OSRRefE21_0_6x),0)</f>
        <v>1060.74</v>
      </c>
    </row>
    <row r="122" spans="1:17" s="34" customFormat="1" hidden="1" outlineLevel="1" x14ac:dyDescent="0.25">
      <c r="A122" s="35"/>
      <c r="B122" s="13" t="str">
        <f>CONCATENATE("          ","6118", " - ","VACATION")</f>
        <v xml:space="preserve">          6118 - VACATION</v>
      </c>
      <c r="C122" s="15"/>
      <c r="D122" s="2">
        <v>5532.58</v>
      </c>
      <c r="E122" s="2">
        <v>5637.74</v>
      </c>
      <c r="F122" s="2">
        <v>5351.69</v>
      </c>
      <c r="G122" s="2">
        <v>7814.31</v>
      </c>
      <c r="H122" s="2">
        <v>4661.5680938461528</v>
      </c>
      <c r="I122" s="2">
        <v>4145.2531707692351</v>
      </c>
      <c r="J122" s="2">
        <v>5928.9376855769215</v>
      </c>
      <c r="K122" s="2">
        <v>4743.1501484615355</v>
      </c>
      <c r="L122" s="2">
        <v>4743.1501484615355</v>
      </c>
      <c r="M122" s="2">
        <v>5928.9376855769215</v>
      </c>
      <c r="N122" s="2">
        <v>4743.1501484615355</v>
      </c>
      <c r="O122" s="2">
        <v>4743.1501484615355</v>
      </c>
      <c r="P122" s="9"/>
      <c r="Q122" s="2">
        <f>SUM(OSRRefD21_0_7x)+IFERROR(SUM(OSRRefE21_0_7x),0)</f>
        <v>63973.617229615375</v>
      </c>
    </row>
    <row r="123" spans="1:17" s="34" customFormat="1" hidden="1" outlineLevel="1" x14ac:dyDescent="0.25">
      <c r="A123" s="35"/>
      <c r="B123" s="13" t="str">
        <f>CONCATENATE("          ","6119", " - ","SICK LEAVE")</f>
        <v xml:space="preserve">          6119 - SICK LEAVE</v>
      </c>
      <c r="C123" s="15"/>
      <c r="D123" s="2">
        <v>3988.6</v>
      </c>
      <c r="E123" s="2">
        <v>4067.85</v>
      </c>
      <c r="F123" s="2">
        <v>3971.91</v>
      </c>
      <c r="G123" s="2">
        <v>5813.96</v>
      </c>
      <c r="H123" s="2">
        <v>4627.8262876923054</v>
      </c>
      <c r="I123" s="2">
        <v>4256.1713646153867</v>
      </c>
      <c r="J123" s="2">
        <v>7594.0060923076899</v>
      </c>
      <c r="K123" s="2">
        <v>5110.3936388461507</v>
      </c>
      <c r="L123" s="2">
        <v>4830.7708388461506</v>
      </c>
      <c r="M123" s="2">
        <v>5998.7146548076907</v>
      </c>
      <c r="N123" s="2">
        <v>4897.5911138461497</v>
      </c>
      <c r="O123" s="2">
        <v>4644.5463388461494</v>
      </c>
      <c r="P123" s="9"/>
      <c r="Q123" s="2">
        <f>SUM(OSRRefD21_0_8x)+IFERROR(SUM(OSRRefE21_0_8x),0)</f>
        <v>59802.340329807674</v>
      </c>
    </row>
    <row r="124" spans="1:17" s="34" customFormat="1" hidden="1" outlineLevel="1" x14ac:dyDescent="0.25">
      <c r="A124" s="35"/>
      <c r="B124" s="13" t="str">
        <f>CONCATENATE("          ","6156", " - ","EMPLOYEE MEALS")</f>
        <v xml:space="preserve">          6156 - EMPLOYEE MEALS</v>
      </c>
      <c r="C124" s="15"/>
      <c r="D124" s="2">
        <v>1021.4</v>
      </c>
      <c r="E124" s="2">
        <v>1759.48</v>
      </c>
      <c r="F124" s="2">
        <v>2118.21</v>
      </c>
      <c r="G124" s="2">
        <v>1908.24</v>
      </c>
      <c r="H124" s="2">
        <v>2150</v>
      </c>
      <c r="I124" s="2">
        <v>2150</v>
      </c>
      <c r="J124" s="2">
        <v>2150</v>
      </c>
      <c r="K124" s="2">
        <v>2150</v>
      </c>
      <c r="L124" s="2">
        <v>2150</v>
      </c>
      <c r="M124" s="2">
        <v>2150</v>
      </c>
      <c r="N124" s="2">
        <v>2150</v>
      </c>
      <c r="O124" s="2">
        <v>2150</v>
      </c>
      <c r="P124" s="9"/>
      <c r="Q124" s="2">
        <f>SUM(OSRRefD21_0_9x)+IFERROR(SUM(OSRRefE21_0_9x),0)</f>
        <v>24007.33</v>
      </c>
    </row>
    <row r="125" spans="1:17" s="34" customFormat="1" collapsed="1" x14ac:dyDescent="0.25">
      <c r="A125" s="35"/>
      <c r="B125" s="15" t="str">
        <f>CONCATENATE("     ","*Payroll                                          ")</f>
        <v xml:space="preserve">     *Payroll                                          </v>
      </c>
      <c r="C125" s="15"/>
      <c r="D125" s="1">
        <f>SUM(OSRRefD21_1x_0)</f>
        <v>131954.59000000003</v>
      </c>
      <c r="E125" s="1">
        <f>SUM(OSRRefD21_1x_1)</f>
        <v>170009.67</v>
      </c>
      <c r="F125" s="1">
        <f>SUM(OSRRefD21_1x_2)</f>
        <v>131236.80000000002</v>
      </c>
      <c r="G125" s="1">
        <f>SUM(OSRRefD21_1x_3)</f>
        <v>122794.75</v>
      </c>
      <c r="H125" s="1">
        <f>SUM(OSRRefE21_1x_0)</f>
        <v>140636.92690523076</v>
      </c>
      <c r="I125" s="1">
        <f>SUM(OSRRefE21_1x_1)</f>
        <v>144746.25828984613</v>
      </c>
      <c r="J125" s="1">
        <f>SUM(OSRRefE21_1x_2)</f>
        <v>269723.82197096158</v>
      </c>
      <c r="K125" s="1">
        <f>SUM(OSRRefE21_1x_3)</f>
        <v>167763.05907676922</v>
      </c>
      <c r="L125" s="1">
        <f>SUM(OSRRefE21_1x_4)</f>
        <v>151032.77907676922</v>
      </c>
      <c r="M125" s="1">
        <f>SUM(OSRRefE21_1x_5)</f>
        <v>183748.74072096156</v>
      </c>
      <c r="N125" s="1">
        <f>SUM(OSRRefE21_1x_6)</f>
        <v>154619.66157676923</v>
      </c>
      <c r="O125" s="1">
        <f>SUM(OSRRefE21_1x_7)</f>
        <v>128461.30907676922</v>
      </c>
      <c r="Q125" s="2">
        <f>SUM(OSRRefD20_1x)+IFERROR(SUM(OSRRefE20_1x),0)</f>
        <v>1896728.3666940772</v>
      </c>
    </row>
    <row r="126" spans="1:17" s="34" customFormat="1" hidden="1" outlineLevel="1" x14ac:dyDescent="0.25">
      <c r="A126" s="35"/>
      <c r="B126" s="13" t="str">
        <f>CONCATENATE("          ","6001", " - ","ADMINISTRATIVE SALARIES")</f>
        <v xml:space="preserve">          6001 - ADMINISTRATIVE SALARIES</v>
      </c>
      <c r="C126" s="15"/>
      <c r="D126" s="2">
        <v>4525.8500000000004</v>
      </c>
      <c r="E126" s="2">
        <v>4205.74</v>
      </c>
      <c r="F126" s="2">
        <v>4205.74</v>
      </c>
      <c r="G126" s="2">
        <v>4205.17</v>
      </c>
      <c r="H126" s="2">
        <v>3807.6923076923099</v>
      </c>
      <c r="I126" s="2">
        <v>0</v>
      </c>
      <c r="J126" s="2">
        <v>4759.6153846153902</v>
      </c>
      <c r="K126" s="2">
        <v>3807.6923076923099</v>
      </c>
      <c r="L126" s="2">
        <v>3807.6923076923099</v>
      </c>
      <c r="M126" s="2">
        <v>4759.6153846153902</v>
      </c>
      <c r="N126" s="2">
        <v>3807.6923076923099</v>
      </c>
      <c r="O126" s="2">
        <v>3807.6923076923099</v>
      </c>
      <c r="P126" s="9"/>
      <c r="Q126" s="2">
        <f>SUM(OSRRefD21_1_0x)+IFERROR(SUM(OSRRefE21_1_0x),0)</f>
        <v>45700.192307692327</v>
      </c>
    </row>
    <row r="127" spans="1:17" s="34" customFormat="1" hidden="1" outlineLevel="1" x14ac:dyDescent="0.25">
      <c r="A127" s="35"/>
      <c r="B127" s="13" t="str">
        <f>CONCATENATE("          ","6002", " - ","STAFF SALARIES")</f>
        <v xml:space="preserve">          6002 - STAFF SALARIES</v>
      </c>
      <c r="C127" s="15"/>
      <c r="D127" s="2">
        <v>75913.430000000008</v>
      </c>
      <c r="E127" s="2">
        <v>63577.420000000006</v>
      </c>
      <c r="F127" s="2">
        <v>62783.420000000006</v>
      </c>
      <c r="G127" s="2">
        <v>60359.320000000007</v>
      </c>
      <c r="H127" s="2">
        <v>52968.984517538447</v>
      </c>
      <c r="I127" s="2">
        <v>47483.008209846121</v>
      </c>
      <c r="J127" s="2">
        <v>67570.305236346176</v>
      </c>
      <c r="K127" s="2">
        <v>54056.244189076904</v>
      </c>
      <c r="L127" s="2">
        <v>54056.244189076904</v>
      </c>
      <c r="M127" s="2">
        <v>67570.305236346176</v>
      </c>
      <c r="N127" s="2">
        <v>54056.244189076904</v>
      </c>
      <c r="O127" s="2">
        <v>54056.244189076904</v>
      </c>
      <c r="P127" s="9"/>
      <c r="Q127" s="2">
        <f>SUM(OSRRefD21_1_1x)+IFERROR(SUM(OSRRefE21_1_1x),0)</f>
        <v>714451.16995638446</v>
      </c>
    </row>
    <row r="128" spans="1:17" s="34" customFormat="1" hidden="1" outlineLevel="1" x14ac:dyDescent="0.25">
      <c r="A128" s="35"/>
      <c r="B128" s="13" t="str">
        <f>CONCATENATE("          ","6003", " - ","STAFF HOURLY-9 MONTH")</f>
        <v xml:space="preserve">          6003 - STAFF HOURLY-9 MONTH</v>
      </c>
      <c r="C128" s="15"/>
      <c r="D128" s="2"/>
      <c r="E128" s="2"/>
      <c r="F128" s="2"/>
      <c r="G128" s="2"/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9"/>
      <c r="Q128" s="2">
        <f>SUM(OSRRefD21_1_2x)+IFERROR(SUM(OSRRefE21_1_2x),0)</f>
        <v>0</v>
      </c>
    </row>
    <row r="129" spans="1:17" s="34" customFormat="1" hidden="1" outlineLevel="1" x14ac:dyDescent="0.25">
      <c r="A129" s="35"/>
      <c r="B129" s="13" t="str">
        <f>CONCATENATE("          ","6004", " - ","STAFF HOURLY")</f>
        <v xml:space="preserve">          6004 - STAFF HOURLY</v>
      </c>
      <c r="C129" s="15"/>
      <c r="D129" s="2">
        <v>15713.52</v>
      </c>
      <c r="E129" s="2">
        <v>13876.36</v>
      </c>
      <c r="F129" s="2">
        <v>15888.169999999998</v>
      </c>
      <c r="G129" s="2">
        <v>18098.75</v>
      </c>
      <c r="H129" s="2">
        <v>30982.750080000002</v>
      </c>
      <c r="I129" s="2">
        <v>32302.750080000002</v>
      </c>
      <c r="J129" s="2">
        <v>39569.825100000002</v>
      </c>
      <c r="K129" s="2">
        <v>31655.860080000002</v>
      </c>
      <c r="L129" s="2">
        <v>31655.860080000002</v>
      </c>
      <c r="M129" s="2">
        <v>39569.825100000002</v>
      </c>
      <c r="N129" s="2">
        <v>31655.860080000002</v>
      </c>
      <c r="O129" s="2">
        <v>31655.860080000002</v>
      </c>
      <c r="P129" s="9"/>
      <c r="Q129" s="2">
        <f>SUM(OSRRefD21_1_3x)+IFERROR(SUM(OSRRefE21_1_3x),0)</f>
        <v>332625.39068000007</v>
      </c>
    </row>
    <row r="130" spans="1:17" s="34" customFormat="1" hidden="1" outlineLevel="1" x14ac:dyDescent="0.25">
      <c r="A130" s="35"/>
      <c r="B130" s="13" t="str">
        <f>CONCATENATE("          ","6005", " - ","TEMPORARY WAGES-HOURLY")</f>
        <v xml:space="preserve">          6005 - TEMPORARY WAGES-HOURLY</v>
      </c>
      <c r="C130" s="15"/>
      <c r="D130" s="2">
        <v>12385.55</v>
      </c>
      <c r="E130" s="2">
        <v>22505.489999999998</v>
      </c>
      <c r="F130" s="2">
        <v>27625.56</v>
      </c>
      <c r="G130" s="2">
        <v>19984.259999999998</v>
      </c>
      <c r="H130" s="2">
        <v>1653</v>
      </c>
      <c r="I130" s="2">
        <v>1909.5</v>
      </c>
      <c r="J130" s="2">
        <v>2964</v>
      </c>
      <c r="K130" s="2">
        <v>1719.12</v>
      </c>
      <c r="L130" s="2">
        <v>1719.12</v>
      </c>
      <c r="M130" s="2">
        <v>2148.9</v>
      </c>
      <c r="N130" s="2">
        <v>1985.88</v>
      </c>
      <c r="O130" s="2">
        <v>1985.88</v>
      </c>
      <c r="P130" s="9"/>
      <c r="Q130" s="2">
        <f>SUM(OSRRefD21_1_4x)+IFERROR(SUM(OSRRefE21_1_4x),0)</f>
        <v>98586.25999999998</v>
      </c>
    </row>
    <row r="131" spans="1:17" s="34" customFormat="1" hidden="1" outlineLevel="1" x14ac:dyDescent="0.25">
      <c r="A131" s="35"/>
      <c r="B131" s="13" t="str">
        <f>CONCATENATE("          ","6006", " - ","TEMPORARY PART TIME")</f>
        <v xml:space="preserve">          6006 - TEMPORARY PART TIME</v>
      </c>
      <c r="C131" s="15"/>
      <c r="D131" s="2">
        <v>2048.21</v>
      </c>
      <c r="E131" s="2">
        <v>1927.34</v>
      </c>
      <c r="F131" s="2">
        <v>1728.86</v>
      </c>
      <c r="G131" s="2">
        <v>1802.76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9"/>
      <c r="Q131" s="2">
        <f>SUM(OSRRefD21_1_5x)+IFERROR(SUM(OSRRefE21_1_5x),0)</f>
        <v>7507.17</v>
      </c>
    </row>
    <row r="132" spans="1:17" s="34" customFormat="1" hidden="1" outlineLevel="1" x14ac:dyDescent="0.25">
      <c r="A132" s="35"/>
      <c r="B132" s="13" t="str">
        <f>CONCATENATE("          ","6007", " - ","STUDENT HOURLY")</f>
        <v xml:space="preserve">          6007 - STUDENT HOURLY</v>
      </c>
      <c r="C132" s="15"/>
      <c r="D132" s="2">
        <v>21368.030000000002</v>
      </c>
      <c r="E132" s="2">
        <v>63484.290000000008</v>
      </c>
      <c r="F132" s="2">
        <v>17949.38</v>
      </c>
      <c r="G132" s="2">
        <v>16868.47</v>
      </c>
      <c r="H132" s="2">
        <v>0</v>
      </c>
      <c r="I132" s="2">
        <v>275</v>
      </c>
      <c r="J132" s="2">
        <v>14878.362499999999</v>
      </c>
      <c r="K132" s="2">
        <v>0</v>
      </c>
      <c r="L132" s="2">
        <v>0</v>
      </c>
      <c r="M132" s="2">
        <v>0</v>
      </c>
      <c r="N132" s="2">
        <v>853.875</v>
      </c>
      <c r="O132" s="2">
        <v>36955.6325</v>
      </c>
      <c r="P132" s="9"/>
      <c r="Q132" s="2">
        <f>SUM(OSRRefD21_1_6x)+IFERROR(SUM(OSRRefE21_1_6x),0)</f>
        <v>172633.04</v>
      </c>
    </row>
    <row r="133" spans="1:17" s="34" customFormat="1" hidden="1" outlineLevel="1" x14ac:dyDescent="0.25">
      <c r="A133" s="35"/>
      <c r="B133" s="13" t="str">
        <f>CONCATENATE("          ","6008", " - ","STUDENT HOURLY-FICA EXEMPT")</f>
        <v xml:space="preserve">          6008 - STUDENT HOURLY-FICA EXEMPT</v>
      </c>
      <c r="C133" s="15"/>
      <c r="D133" s="2"/>
      <c r="E133" s="2">
        <v>433.03</v>
      </c>
      <c r="F133" s="2">
        <v>1055.67</v>
      </c>
      <c r="G133" s="2">
        <v>1476.02</v>
      </c>
      <c r="H133" s="2">
        <v>51224.5</v>
      </c>
      <c r="I133" s="2">
        <v>62776</v>
      </c>
      <c r="J133" s="2">
        <v>139981.71375</v>
      </c>
      <c r="K133" s="2">
        <v>76524.142500000002</v>
      </c>
      <c r="L133" s="2">
        <v>59793.862500000003</v>
      </c>
      <c r="M133" s="2">
        <v>69700.095000000001</v>
      </c>
      <c r="N133" s="2">
        <v>62260.109999999993</v>
      </c>
      <c r="O133" s="2">
        <v>0</v>
      </c>
      <c r="P133" s="9"/>
      <c r="Q133" s="2">
        <f>SUM(OSRRefD21_1_7x)+IFERROR(SUM(OSRRefE21_1_7x),0)</f>
        <v>525225.14374999993</v>
      </c>
    </row>
    <row r="134" spans="1:17" s="34" customFormat="1" hidden="1" outlineLevel="1" x14ac:dyDescent="0.25">
      <c r="A134" s="35"/>
      <c r="B134" s="13" t="str">
        <f>CONCATENATE("          ","6009", " - ","TEMPORARY-SEASONAL")</f>
        <v xml:space="preserve">          6009 - TEMPORARY-SEASONAL</v>
      </c>
      <c r="C134" s="15"/>
      <c r="D134" s="2"/>
      <c r="E134" s="2"/>
      <c r="F134" s="2"/>
      <c r="G134" s="2"/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9"/>
      <c r="Q134" s="2">
        <f>SUM(OSRRefD21_1_8x)+IFERROR(SUM(OSRRefE21_1_8x),0)</f>
        <v>0</v>
      </c>
    </row>
    <row r="135" spans="1:17" s="34" customFormat="1" hidden="1" outlineLevel="1" x14ac:dyDescent="0.25">
      <c r="A135" s="35"/>
      <c r="B135" s="13" t="str">
        <f>CONCATENATE("          ","6010", " - ","GRATUITY")</f>
        <v xml:space="preserve">          6010 - GRATUITY</v>
      </c>
      <c r="C135" s="15"/>
      <c r="D135" s="2"/>
      <c r="E135" s="2"/>
      <c r="F135" s="2"/>
      <c r="G135" s="2"/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9"/>
      <c r="Q135" s="2">
        <f>SUM(OSRRefD21_1_9x)+IFERROR(SUM(OSRRefE21_1_9x),0)</f>
        <v>0</v>
      </c>
    </row>
    <row r="136" spans="1:17" s="34" customFormat="1" collapsed="1" x14ac:dyDescent="0.25">
      <c r="A136" s="35"/>
      <c r="B136" s="15" t="str">
        <f>CONCATENATE("     ","Advertising/Promo                                 ")</f>
        <v xml:space="preserve">     Advertising/Promo                                 </v>
      </c>
      <c r="C136" s="15"/>
      <c r="D136" s="1">
        <f>SUM(OSRRefD21_2x_0)</f>
        <v>2590.83</v>
      </c>
      <c r="E136" s="1">
        <f>SUM(OSRRefD21_2x_1)</f>
        <v>9411.3700000000008</v>
      </c>
      <c r="F136" s="1">
        <f>SUM(OSRRefD21_2x_2)</f>
        <v>391.39</v>
      </c>
      <c r="G136" s="1">
        <f>SUM(OSRRefD21_2x_3)</f>
        <v>1316.16</v>
      </c>
      <c r="H136" s="1">
        <f>SUM(OSRRefE21_2x_0)</f>
        <v>450</v>
      </c>
      <c r="I136" s="1">
        <f>SUM(OSRRefE21_2x_1)</f>
        <v>800</v>
      </c>
      <c r="J136" s="1">
        <f>SUM(OSRRefE21_2x_2)</f>
        <v>600</v>
      </c>
      <c r="K136" s="1">
        <f>SUM(OSRRefE21_2x_3)</f>
        <v>400</v>
      </c>
      <c r="L136" s="1">
        <f>SUM(OSRRefE21_2x_4)</f>
        <v>450</v>
      </c>
      <c r="M136" s="1">
        <f>SUM(OSRRefE21_2x_5)</f>
        <v>400</v>
      </c>
      <c r="N136" s="1">
        <f>SUM(OSRRefE21_2x_6)</f>
        <v>850</v>
      </c>
      <c r="O136" s="1">
        <f>SUM(OSRRefE21_2x_7)</f>
        <v>400</v>
      </c>
      <c r="Q136" s="2">
        <f>SUM(OSRRefD20_2x)+IFERROR(SUM(OSRRefE20_2x),0)</f>
        <v>18059.75</v>
      </c>
    </row>
    <row r="137" spans="1:17" s="34" customFormat="1" hidden="1" outlineLevel="1" x14ac:dyDescent="0.25">
      <c r="A137" s="35"/>
      <c r="B137" s="13" t="str">
        <f>CONCATENATE("          ","6362", " - ","ADVERTISING EXPENSE")</f>
        <v xml:space="preserve">          6362 - ADVERTISING EXPENSE</v>
      </c>
      <c r="C137" s="15"/>
      <c r="D137" s="2">
        <v>2590.83</v>
      </c>
      <c r="E137" s="2">
        <v>9411.3700000000008</v>
      </c>
      <c r="F137" s="2">
        <v>391.39</v>
      </c>
      <c r="G137" s="2">
        <v>1316.16</v>
      </c>
      <c r="H137" s="2">
        <v>450</v>
      </c>
      <c r="I137" s="2">
        <v>800</v>
      </c>
      <c r="J137" s="2">
        <v>600</v>
      </c>
      <c r="K137" s="2">
        <v>400</v>
      </c>
      <c r="L137" s="2">
        <v>450</v>
      </c>
      <c r="M137" s="2">
        <v>400</v>
      </c>
      <c r="N137" s="2">
        <v>850</v>
      </c>
      <c r="O137" s="2">
        <v>400</v>
      </c>
      <c r="P137" s="9"/>
      <c r="Q137" s="2">
        <f>SUM(OSRRefD21_2_0x)+IFERROR(SUM(OSRRefE21_2_0x),0)</f>
        <v>18059.75</v>
      </c>
    </row>
    <row r="138" spans="1:17" s="34" customFormat="1" collapsed="1" x14ac:dyDescent="0.25">
      <c r="A138" s="35"/>
      <c r="B138" s="15" t="str">
        <f>CONCATENATE("     ","Bad Debts/Over/Short                              ")</f>
        <v xml:space="preserve">     Bad Debts/Over/Short                              </v>
      </c>
      <c r="C138" s="15"/>
      <c r="D138" s="1">
        <f>SUM(OSRRefD21_3x_0)</f>
        <v>4.9800000000000004</v>
      </c>
      <c r="E138" s="1">
        <f>SUM(OSRRefD21_3x_1)</f>
        <v>70.56</v>
      </c>
      <c r="F138" s="1">
        <f>SUM(OSRRefD21_3x_2)</f>
        <v>7.78</v>
      </c>
      <c r="G138" s="1">
        <f>SUM(OSRRefD21_3x_3)</f>
        <v>-29.45</v>
      </c>
      <c r="H138" s="1">
        <f>SUM(OSRRefE21_3x_0)</f>
        <v>98</v>
      </c>
      <c r="I138" s="1">
        <f>SUM(OSRRefE21_3x_1)</f>
        <v>98</v>
      </c>
      <c r="J138" s="1">
        <f>SUM(OSRRefE21_3x_2)</f>
        <v>95</v>
      </c>
      <c r="K138" s="1">
        <f>SUM(OSRRefE21_3x_3)</f>
        <v>95</v>
      </c>
      <c r="L138" s="1">
        <f>SUM(OSRRefE21_3x_4)</f>
        <v>98</v>
      </c>
      <c r="M138" s="1">
        <f>SUM(OSRRefE21_3x_5)</f>
        <v>97</v>
      </c>
      <c r="N138" s="1">
        <f>SUM(OSRRefE21_3x_6)</f>
        <v>95</v>
      </c>
      <c r="O138" s="1">
        <f>SUM(OSRRefE21_3x_7)</f>
        <v>95</v>
      </c>
      <c r="Q138" s="2">
        <f>SUM(OSRRefD20_3x)+IFERROR(SUM(OSRRefE20_3x),0)</f>
        <v>824.87</v>
      </c>
    </row>
    <row r="139" spans="1:17" s="34" customFormat="1" hidden="1" outlineLevel="1" x14ac:dyDescent="0.25">
      <c r="A139" s="35"/>
      <c r="B139" s="13" t="str">
        <f>CONCATENATE("          ","6272", " - ","CASH (OVER/SHORT)")</f>
        <v xml:space="preserve">          6272 - CASH (OVER/SHORT)</v>
      </c>
      <c r="C139" s="15"/>
      <c r="D139" s="2">
        <v>4.9800000000000004</v>
      </c>
      <c r="E139" s="2">
        <v>70.56</v>
      </c>
      <c r="F139" s="2">
        <v>7.78</v>
      </c>
      <c r="G139" s="2">
        <v>-29.45</v>
      </c>
      <c r="H139" s="2">
        <v>68</v>
      </c>
      <c r="I139" s="2">
        <v>68</v>
      </c>
      <c r="J139" s="2">
        <v>65</v>
      </c>
      <c r="K139" s="2">
        <v>65</v>
      </c>
      <c r="L139" s="2">
        <v>68</v>
      </c>
      <c r="M139" s="2">
        <v>67</v>
      </c>
      <c r="N139" s="2">
        <v>65</v>
      </c>
      <c r="O139" s="2">
        <v>65</v>
      </c>
      <c r="P139" s="9"/>
      <c r="Q139" s="2">
        <f>SUM(OSRRefD21_3_0x)+IFERROR(SUM(OSRRefE21_3_0x),0)</f>
        <v>584.87</v>
      </c>
    </row>
    <row r="140" spans="1:17" s="34" customFormat="1" hidden="1" outlineLevel="1" x14ac:dyDescent="0.25">
      <c r="A140" s="35"/>
      <c r="B140" s="13" t="str">
        <f>CONCATENATE("          ","6342", " - ","BAD DEBT")</f>
        <v xml:space="preserve">          6342 - BAD DEBT</v>
      </c>
      <c r="C140" s="15"/>
      <c r="D140" s="2"/>
      <c r="E140" s="2"/>
      <c r="F140" s="2"/>
      <c r="G140" s="2"/>
      <c r="H140" s="2">
        <v>30</v>
      </c>
      <c r="I140" s="2">
        <v>30</v>
      </c>
      <c r="J140" s="2">
        <v>30</v>
      </c>
      <c r="K140" s="2">
        <v>30</v>
      </c>
      <c r="L140" s="2">
        <v>30</v>
      </c>
      <c r="M140" s="2">
        <v>30</v>
      </c>
      <c r="N140" s="2">
        <v>30</v>
      </c>
      <c r="O140" s="2">
        <v>30</v>
      </c>
      <c r="P140" s="9"/>
      <c r="Q140" s="2">
        <f>SUM(OSRRefD21_3_1x)+IFERROR(SUM(OSRRefE21_3_1x),0)</f>
        <v>240</v>
      </c>
    </row>
    <row r="141" spans="1:17" s="34" customFormat="1" collapsed="1" x14ac:dyDescent="0.25">
      <c r="A141" s="35"/>
      <c r="B141" s="15" t="str">
        <f>CONCATENATE("     ","Bank/card Fees                                    ")</f>
        <v xml:space="preserve">     Bank/card Fees                                    </v>
      </c>
      <c r="C141" s="15"/>
      <c r="D141" s="1">
        <f>SUM(OSRRefD21_4x_0)</f>
        <v>3177.21</v>
      </c>
      <c r="E141" s="1">
        <f>SUM(OSRRefD21_4x_1)</f>
        <v>22140.34</v>
      </c>
      <c r="F141" s="1">
        <f>SUM(OSRRefD21_4x_2)</f>
        <v>9160.4</v>
      </c>
      <c r="G141" s="1">
        <f>SUM(OSRRefD21_4x_3)</f>
        <v>5096.04</v>
      </c>
      <c r="H141" s="1">
        <f>SUM(OSRRefE21_4x_0)</f>
        <v>6627</v>
      </c>
      <c r="I141" s="1">
        <f>SUM(OSRRefE21_4x_1)</f>
        <v>26697</v>
      </c>
      <c r="J141" s="1">
        <f>SUM(OSRRefE21_4x_2)</f>
        <v>12521</v>
      </c>
      <c r="K141" s="1">
        <f>SUM(OSRRefE21_4x_3)</f>
        <v>10637</v>
      </c>
      <c r="L141" s="1">
        <f>SUM(OSRRefE21_4x_4)</f>
        <v>11773</v>
      </c>
      <c r="M141" s="1">
        <f>SUM(OSRRefE21_4x_5)</f>
        <v>12747</v>
      </c>
      <c r="N141" s="1">
        <f>SUM(OSRRefE21_4x_6)</f>
        <v>7063</v>
      </c>
      <c r="O141" s="1">
        <f>SUM(OSRRefE21_4x_7)</f>
        <v>913</v>
      </c>
      <c r="Q141" s="2">
        <f>SUM(OSRRefD20_4x)+IFERROR(SUM(OSRRefE20_4x),0)</f>
        <v>128551.98999999999</v>
      </c>
    </row>
    <row r="142" spans="1:17" s="34" customFormat="1" hidden="1" outlineLevel="1" x14ac:dyDescent="0.25">
      <c r="A142" s="35"/>
      <c r="B142" s="13" t="str">
        <f>CONCATENATE("          ","6381", " - ","BANK/CREDIT CARD FEES")</f>
        <v xml:space="preserve">          6381 - BANK/CREDIT CARD FEES</v>
      </c>
      <c r="C142" s="15"/>
      <c r="D142" s="2">
        <v>3177.21</v>
      </c>
      <c r="E142" s="2">
        <v>22140.34</v>
      </c>
      <c r="F142" s="2">
        <v>9160.4</v>
      </c>
      <c r="G142" s="2">
        <v>5096.04</v>
      </c>
      <c r="H142" s="2">
        <v>6627</v>
      </c>
      <c r="I142" s="2">
        <v>26697</v>
      </c>
      <c r="J142" s="2">
        <v>12521</v>
      </c>
      <c r="K142" s="2">
        <v>10637</v>
      </c>
      <c r="L142" s="2">
        <v>11773</v>
      </c>
      <c r="M142" s="2">
        <v>12747</v>
      </c>
      <c r="N142" s="2">
        <v>7063</v>
      </c>
      <c r="O142" s="2">
        <v>913</v>
      </c>
      <c r="P142" s="9"/>
      <c r="Q142" s="2">
        <f>SUM(OSRRefD21_4_0x)+IFERROR(SUM(OSRRefE21_4_0x),0)</f>
        <v>128551.98999999999</v>
      </c>
    </row>
    <row r="143" spans="1:17" s="34" customFormat="1" collapsed="1" x14ac:dyDescent="0.25">
      <c r="A143" s="35"/>
      <c r="B143" s="15" t="str">
        <f>CONCATENATE("     ","Depreciation                                      ")</f>
        <v xml:space="preserve">     Depreciation                                      </v>
      </c>
      <c r="C143" s="15"/>
      <c r="D143" s="1">
        <f>SUM(OSRRefD21_5x_0)</f>
        <v>39337.590000000004</v>
      </c>
      <c r="E143" s="1">
        <f>SUM(OSRRefD21_5x_1)</f>
        <v>40361.32</v>
      </c>
      <c r="F143" s="1">
        <f>SUM(OSRRefD21_5x_2)</f>
        <v>40330.31</v>
      </c>
      <c r="G143" s="1">
        <f>SUM(OSRRefD21_5x_3)</f>
        <v>39999.31</v>
      </c>
      <c r="H143" s="1">
        <f>SUM(OSRRefE21_5x_0)</f>
        <v>38857</v>
      </c>
      <c r="I143" s="1">
        <f>SUM(OSRRefE21_5x_1)</f>
        <v>38857</v>
      </c>
      <c r="J143" s="1">
        <f>SUM(OSRRefE21_5x_2)</f>
        <v>38857</v>
      </c>
      <c r="K143" s="1">
        <f>SUM(OSRRefE21_5x_3)</f>
        <v>38857</v>
      </c>
      <c r="L143" s="1">
        <f>SUM(OSRRefE21_5x_4)</f>
        <v>38857</v>
      </c>
      <c r="M143" s="1">
        <f>SUM(OSRRefE21_5x_5)</f>
        <v>38857</v>
      </c>
      <c r="N143" s="1">
        <f>SUM(OSRRefE21_5x_6)</f>
        <v>38857</v>
      </c>
      <c r="O143" s="1">
        <f>SUM(OSRRefE21_5x_7)</f>
        <v>38440</v>
      </c>
      <c r="Q143" s="2">
        <f>SUM(OSRRefD20_5x)+IFERROR(SUM(OSRRefE20_5x),0)</f>
        <v>470467.53</v>
      </c>
    </row>
    <row r="144" spans="1:17" s="34" customFormat="1" hidden="1" outlineLevel="1" x14ac:dyDescent="0.25">
      <c r="A144" s="35"/>
      <c r="B144" s="13" t="str">
        <f>CONCATENATE("          ","6321", " - ","BUILDING DEPRECIATION")</f>
        <v xml:space="preserve">          6321 - BUILDING DEPRECIATION</v>
      </c>
      <c r="C144" s="15"/>
      <c r="D144" s="2">
        <v>21477.030000000002</v>
      </c>
      <c r="E144" s="2">
        <v>21477.030000000002</v>
      </c>
      <c r="F144" s="2">
        <v>21477.030000000002</v>
      </c>
      <c r="G144" s="2">
        <v>21477.030000000002</v>
      </c>
      <c r="H144" s="2"/>
      <c r="I144" s="2"/>
      <c r="J144" s="2"/>
      <c r="K144" s="2"/>
      <c r="L144" s="2"/>
      <c r="M144" s="2"/>
      <c r="N144" s="2"/>
      <c r="O144" s="2"/>
      <c r="P144" s="9"/>
      <c r="Q144" s="2">
        <f>SUM(OSRRefD21_5_0x)+IFERROR(SUM(OSRRefE21_5_0x),0)</f>
        <v>85908.12000000001</v>
      </c>
    </row>
    <row r="145" spans="1:17" s="34" customFormat="1" hidden="1" outlineLevel="1" x14ac:dyDescent="0.25">
      <c r="A145" s="35"/>
      <c r="B145" s="13" t="str">
        <f>CONCATENATE("          ","6322", " - ","EQUIPMENT DEPRECIATION EXPENSE")</f>
        <v xml:space="preserve">          6322 - EQUIPMENT DEPRECIATION EXPENSE</v>
      </c>
      <c r="C145" s="15"/>
      <c r="D145" s="2">
        <v>17860.560000000001</v>
      </c>
      <c r="E145" s="2">
        <v>18884.289999999997</v>
      </c>
      <c r="F145" s="2">
        <v>18853.28</v>
      </c>
      <c r="G145" s="2">
        <v>18522.28</v>
      </c>
      <c r="H145" s="2">
        <v>38857</v>
      </c>
      <c r="I145" s="2">
        <v>38857</v>
      </c>
      <c r="J145" s="2">
        <v>38857</v>
      </c>
      <c r="K145" s="2">
        <v>38857</v>
      </c>
      <c r="L145" s="2">
        <v>38857</v>
      </c>
      <c r="M145" s="2">
        <v>38857</v>
      </c>
      <c r="N145" s="2">
        <v>38857</v>
      </c>
      <c r="O145" s="2">
        <v>38440</v>
      </c>
      <c r="P145" s="9"/>
      <c r="Q145" s="2">
        <f>SUM(OSRRefD21_5_1x)+IFERROR(SUM(OSRRefE21_5_1x),0)</f>
        <v>384559.41000000003</v>
      </c>
    </row>
    <row r="146" spans="1:17" s="34" customFormat="1" collapsed="1" x14ac:dyDescent="0.25">
      <c r="A146" s="35"/>
      <c r="B146" s="15" t="str">
        <f>CONCATENATE("     ","Discounts and Markdowns                           ")</f>
        <v xml:space="preserve">     Discounts and Markdowns                           </v>
      </c>
      <c r="C146" s="15"/>
      <c r="D146" s="1">
        <f>SUM(OSRRefD21_6x_0)</f>
        <v>0</v>
      </c>
      <c r="E146" s="1">
        <f>SUM(OSRRefD21_6x_1)</f>
        <v>0</v>
      </c>
      <c r="F146" s="1">
        <f>SUM(OSRRefD21_6x_2)</f>
        <v>830.95</v>
      </c>
      <c r="G146" s="1">
        <f>SUM(OSRRefD21_6x_3)</f>
        <v>-1249.8000000000002</v>
      </c>
      <c r="H146" s="1">
        <f>SUM(OSRRefE21_6x_0)</f>
        <v>1450</v>
      </c>
      <c r="I146" s="1">
        <f>SUM(OSRRefE21_6x_1)</f>
        <v>1250</v>
      </c>
      <c r="J146" s="1">
        <f>SUM(OSRRefE21_6x_2)</f>
        <v>3550</v>
      </c>
      <c r="K146" s="1">
        <f>SUM(OSRRefE21_6x_3)</f>
        <v>1250</v>
      </c>
      <c r="L146" s="1">
        <f>SUM(OSRRefE21_6x_4)</f>
        <v>1750</v>
      </c>
      <c r="M146" s="1">
        <f>SUM(OSRRefE21_6x_5)</f>
        <v>1250</v>
      </c>
      <c r="N146" s="1">
        <f>SUM(OSRRefE21_6x_6)</f>
        <v>1250</v>
      </c>
      <c r="O146" s="1">
        <f>SUM(OSRRefE21_6x_7)</f>
        <v>1250</v>
      </c>
      <c r="Q146" s="2">
        <f>SUM(OSRRefD20_6x)+IFERROR(SUM(OSRRefE20_6x),0)</f>
        <v>12581.15</v>
      </c>
    </row>
    <row r="147" spans="1:17" s="34" customFormat="1" hidden="1" outlineLevel="1" x14ac:dyDescent="0.25">
      <c r="A147" s="35"/>
      <c r="B147" s="13" t="str">
        <f>CONCATENATE("          ","6382", " - ","DISCOUNTS/MARK DOWNS")</f>
        <v xml:space="preserve">          6382 - DISCOUNTS/MARK DOWNS</v>
      </c>
      <c r="C147" s="15"/>
      <c r="D147" s="2"/>
      <c r="E147" s="2"/>
      <c r="F147" s="2">
        <v>830.95</v>
      </c>
      <c r="G147" s="2">
        <v>-830.95</v>
      </c>
      <c r="H147" s="2">
        <v>1450</v>
      </c>
      <c r="I147" s="2">
        <v>1250</v>
      </c>
      <c r="J147" s="2">
        <v>3550</v>
      </c>
      <c r="K147" s="2">
        <v>1250</v>
      </c>
      <c r="L147" s="2">
        <v>1750</v>
      </c>
      <c r="M147" s="2">
        <v>1250</v>
      </c>
      <c r="N147" s="2">
        <v>1250</v>
      </c>
      <c r="O147" s="2">
        <v>1250</v>
      </c>
      <c r="P147" s="9"/>
      <c r="Q147" s="2">
        <f>SUM(OSRRefD21_6_0x)+IFERROR(SUM(OSRRefE21_6_0x),0)</f>
        <v>13000</v>
      </c>
    </row>
    <row r="148" spans="1:17" s="34" customFormat="1" hidden="1" outlineLevel="1" x14ac:dyDescent="0.25">
      <c r="A148" s="35"/>
      <c r="B148" s="13" t="str">
        <f>CONCATENATE("          ","9175", " - ","EARNED DISCOUNTS")</f>
        <v xml:space="preserve">          9175 - EARNED DISCOUNTS</v>
      </c>
      <c r="C148" s="15"/>
      <c r="D148" s="2"/>
      <c r="E148" s="2"/>
      <c r="F148" s="2"/>
      <c r="G148" s="2">
        <v>-418.85</v>
      </c>
      <c r="H148" s="2"/>
      <c r="I148" s="2"/>
      <c r="J148" s="2"/>
      <c r="K148" s="2"/>
      <c r="L148" s="2"/>
      <c r="M148" s="2"/>
      <c r="N148" s="2"/>
      <c r="O148" s="2"/>
      <c r="P148" s="9"/>
      <c r="Q148" s="2">
        <f>SUM(OSRRefD21_6_1x)+IFERROR(SUM(OSRRefE21_6_1x),0)</f>
        <v>-418.85</v>
      </c>
    </row>
    <row r="149" spans="1:17" s="34" customFormat="1" collapsed="1" x14ac:dyDescent="0.25">
      <c r="A149" s="35"/>
      <c r="B149" s="15" t="str">
        <f>CONCATENATE("     ","Donations                                         ")</f>
        <v xml:space="preserve">     Donations                                         </v>
      </c>
      <c r="C149" s="15"/>
      <c r="D149" s="1">
        <f>SUM(OSRRefD21_7x_0)</f>
        <v>0</v>
      </c>
      <c r="E149" s="1">
        <f>SUM(OSRRefD21_7x_1)</f>
        <v>0</v>
      </c>
      <c r="F149" s="1">
        <f>SUM(OSRRefD21_7x_2)</f>
        <v>0</v>
      </c>
      <c r="G149" s="1">
        <f>SUM(OSRRefD21_7x_3)</f>
        <v>0</v>
      </c>
      <c r="H149" s="1">
        <f>SUM(OSRRefE21_7x_0)</f>
        <v>0</v>
      </c>
      <c r="I149" s="1">
        <f>SUM(OSRRefE21_7x_1)</f>
        <v>0</v>
      </c>
      <c r="J149" s="1">
        <f>SUM(OSRRefE21_7x_2)</f>
        <v>0</v>
      </c>
      <c r="K149" s="1">
        <f>SUM(OSRRefE21_7x_3)</f>
        <v>0</v>
      </c>
      <c r="L149" s="1">
        <f>SUM(OSRRefE21_7x_4)</f>
        <v>0</v>
      </c>
      <c r="M149" s="1">
        <f>SUM(OSRRefE21_7x_5)</f>
        <v>0</v>
      </c>
      <c r="N149" s="1">
        <f>SUM(OSRRefE21_7x_6)</f>
        <v>0</v>
      </c>
      <c r="O149" s="1">
        <f>SUM(OSRRefE21_7x_7)</f>
        <v>0</v>
      </c>
      <c r="Q149" s="2">
        <f>SUM(OSRRefD20_7x)+IFERROR(SUM(OSRRefE20_7x),0)</f>
        <v>0</v>
      </c>
    </row>
    <row r="150" spans="1:17" s="34" customFormat="1" hidden="1" outlineLevel="1" x14ac:dyDescent="0.25">
      <c r="A150" s="35"/>
      <c r="B150" s="13" t="str">
        <f>CONCATENATE("          ","6399", " - ","DONATION-ON CAMPUS")</f>
        <v xml:space="preserve">          6399 - DONATION-ON CAMPUS</v>
      </c>
      <c r="C150" s="15"/>
      <c r="D150" s="2"/>
      <c r="E150" s="2"/>
      <c r="F150" s="2"/>
      <c r="G150" s="2"/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9"/>
      <c r="Q150" s="2">
        <f>SUM(OSRRefD21_7_0x)+IFERROR(SUM(OSRRefE21_7_0x),0)</f>
        <v>0</v>
      </c>
    </row>
    <row r="151" spans="1:17" s="34" customFormat="1" collapsed="1" x14ac:dyDescent="0.25">
      <c r="A151" s="35"/>
      <c r="B151" s="15" t="str">
        <f>CONCATENATE("     ","Employees' Appreciation                           ")</f>
        <v xml:space="preserve">     Employees' Appreciation                           </v>
      </c>
      <c r="C151" s="15"/>
      <c r="D151" s="1">
        <f>SUM(OSRRefD21_8x_0)</f>
        <v>107.7</v>
      </c>
      <c r="E151" s="1">
        <f>SUM(OSRRefD21_8x_1)</f>
        <v>0</v>
      </c>
      <c r="F151" s="1">
        <f>SUM(OSRRefD21_8x_2)</f>
        <v>0</v>
      </c>
      <c r="G151" s="1">
        <f>SUM(OSRRefD21_8x_3)</f>
        <v>0</v>
      </c>
      <c r="H151" s="1">
        <f>SUM(OSRRefE21_8x_0)</f>
        <v>250</v>
      </c>
      <c r="I151" s="1">
        <f>SUM(OSRRefE21_8x_1)</f>
        <v>300</v>
      </c>
      <c r="J151" s="1">
        <f>SUM(OSRRefE21_8x_2)</f>
        <v>275</v>
      </c>
      <c r="K151" s="1">
        <f>SUM(OSRRefE21_8x_3)</f>
        <v>275</v>
      </c>
      <c r="L151" s="1">
        <f>SUM(OSRRefE21_8x_4)</f>
        <v>250</v>
      </c>
      <c r="M151" s="1">
        <f>SUM(OSRRefE21_8x_5)</f>
        <v>350</v>
      </c>
      <c r="N151" s="1">
        <f>SUM(OSRRefE21_8x_6)</f>
        <v>250</v>
      </c>
      <c r="O151" s="1">
        <f>SUM(OSRRefE21_8x_7)</f>
        <v>250</v>
      </c>
      <c r="Q151" s="2">
        <f>SUM(OSRRefD20_8x)+IFERROR(SUM(OSRRefE20_8x),0)</f>
        <v>2307.6999999999998</v>
      </c>
    </row>
    <row r="152" spans="1:17" s="34" customFormat="1" hidden="1" outlineLevel="1" x14ac:dyDescent="0.25">
      <c r="A152" s="35"/>
      <c r="B152" s="13" t="str">
        <f>CONCATENATE("          ","6277", " - ","EMPLOYEE APPRECIATION")</f>
        <v xml:space="preserve">          6277 - EMPLOYEE APPRECIATION</v>
      </c>
      <c r="C152" s="15"/>
      <c r="D152" s="2">
        <v>107.7</v>
      </c>
      <c r="E152" s="2"/>
      <c r="F152" s="2"/>
      <c r="G152" s="2"/>
      <c r="H152" s="2">
        <v>250</v>
      </c>
      <c r="I152" s="2">
        <v>300</v>
      </c>
      <c r="J152" s="2">
        <v>275</v>
      </c>
      <c r="K152" s="2">
        <v>275</v>
      </c>
      <c r="L152" s="2">
        <v>250</v>
      </c>
      <c r="M152" s="2">
        <v>350</v>
      </c>
      <c r="N152" s="2">
        <v>250</v>
      </c>
      <c r="O152" s="2">
        <v>250</v>
      </c>
      <c r="P152" s="9"/>
      <c r="Q152" s="2">
        <f>SUM(OSRRefD21_8_0x)+IFERROR(SUM(OSRRefE21_8_0x),0)</f>
        <v>2307.6999999999998</v>
      </c>
    </row>
    <row r="153" spans="1:17" s="34" customFormat="1" collapsed="1" x14ac:dyDescent="0.25">
      <c r="A153" s="35"/>
      <c r="B153" s="15" t="str">
        <f>CONCATENATE("     ","Equipment Rental                                  ")</f>
        <v xml:space="preserve">     Equipment Rental                                  </v>
      </c>
      <c r="C153" s="15"/>
      <c r="D153" s="1">
        <f>SUM(OSRRefD21_9x_0)</f>
        <v>1388.16</v>
      </c>
      <c r="E153" s="1">
        <f>SUM(OSRRefD21_9x_1)</f>
        <v>1388.16</v>
      </c>
      <c r="F153" s="1">
        <f>SUM(OSRRefD21_9x_2)</f>
        <v>1712.05</v>
      </c>
      <c r="G153" s="1">
        <f>SUM(OSRRefD21_9x_3)</f>
        <v>1479.42</v>
      </c>
      <c r="H153" s="1">
        <f>SUM(OSRRefE21_9x_0)</f>
        <v>3152</v>
      </c>
      <c r="I153" s="1">
        <f>SUM(OSRRefE21_9x_1)</f>
        <v>3152</v>
      </c>
      <c r="J153" s="1">
        <f>SUM(OSRRefE21_9x_2)</f>
        <v>3152</v>
      </c>
      <c r="K153" s="1">
        <f>SUM(OSRRefE21_9x_3)</f>
        <v>3152</v>
      </c>
      <c r="L153" s="1">
        <f>SUM(OSRRefE21_9x_4)</f>
        <v>3152</v>
      </c>
      <c r="M153" s="1">
        <f>SUM(OSRRefE21_9x_5)</f>
        <v>3152</v>
      </c>
      <c r="N153" s="1">
        <f>SUM(OSRRefE21_9x_6)</f>
        <v>3152</v>
      </c>
      <c r="O153" s="1">
        <f>SUM(OSRRefE21_9x_7)</f>
        <v>3152</v>
      </c>
      <c r="Q153" s="2">
        <f>SUM(OSRRefD20_9x)+IFERROR(SUM(OSRRefE20_9x),0)</f>
        <v>31183.79</v>
      </c>
    </row>
    <row r="154" spans="1:17" s="34" customFormat="1" hidden="1" outlineLevel="1" x14ac:dyDescent="0.25">
      <c r="A154" s="35"/>
      <c r="B154" s="13" t="str">
        <f>CONCATENATE("          ","6351", " - ","EQUIPMENT RENTAL")</f>
        <v xml:space="preserve">          6351 - EQUIPMENT RENTAL</v>
      </c>
      <c r="C154" s="15"/>
      <c r="D154" s="2">
        <v>1388.16</v>
      </c>
      <c r="E154" s="2">
        <v>1388.16</v>
      </c>
      <c r="F154" s="2">
        <v>1712.05</v>
      </c>
      <c r="G154" s="2">
        <v>1479.42</v>
      </c>
      <c r="H154" s="2">
        <v>3152</v>
      </c>
      <c r="I154" s="2">
        <v>3152</v>
      </c>
      <c r="J154" s="2">
        <v>3152</v>
      </c>
      <c r="K154" s="2">
        <v>3152</v>
      </c>
      <c r="L154" s="2">
        <v>3152</v>
      </c>
      <c r="M154" s="2">
        <v>3152</v>
      </c>
      <c r="N154" s="2">
        <v>3152</v>
      </c>
      <c r="O154" s="2">
        <v>3152</v>
      </c>
      <c r="P154" s="9"/>
      <c r="Q154" s="2">
        <f>SUM(OSRRefD21_9_0x)+IFERROR(SUM(OSRRefE21_9_0x),0)</f>
        <v>31183.79</v>
      </c>
    </row>
    <row r="155" spans="1:17" s="34" customFormat="1" collapsed="1" x14ac:dyDescent="0.25">
      <c r="A155" s="35"/>
      <c r="B155" s="15" t="str">
        <f>CONCATENATE("     ","Freight out/Postage                               ")</f>
        <v xml:space="preserve">     Freight out/Postage                               </v>
      </c>
      <c r="C155" s="15"/>
      <c r="D155" s="1">
        <f>SUM(OSRRefD21_10x_0)</f>
        <v>8928.65</v>
      </c>
      <c r="E155" s="1">
        <f>SUM(OSRRefD21_10x_1)</f>
        <v>-83736.579999999987</v>
      </c>
      <c r="F155" s="1">
        <f>SUM(OSRRefD21_10x_2)</f>
        <v>-5933.58</v>
      </c>
      <c r="G155" s="1">
        <f>SUM(OSRRefD21_10x_3)</f>
        <v>48993.59</v>
      </c>
      <c r="H155" s="1">
        <f>SUM(OSRRefE21_10x_0)</f>
        <v>5535</v>
      </c>
      <c r="I155" s="1">
        <f>SUM(OSRRefE21_10x_1)</f>
        <v>1335</v>
      </c>
      <c r="J155" s="1">
        <f>SUM(OSRRefE21_10x_2)</f>
        <v>-11765</v>
      </c>
      <c r="K155" s="1">
        <f>SUM(OSRRefE21_10x_3)</f>
        <v>2235</v>
      </c>
      <c r="L155" s="1">
        <f>SUM(OSRRefE21_10x_4)</f>
        <v>-12965</v>
      </c>
      <c r="M155" s="1">
        <f>SUM(OSRRefE21_10x_5)</f>
        <v>2743</v>
      </c>
      <c r="N155" s="1">
        <f>SUM(OSRRefE21_10x_6)</f>
        <v>-1715</v>
      </c>
      <c r="O155" s="1">
        <f>SUM(OSRRefE21_10x_7)</f>
        <v>35</v>
      </c>
      <c r="Q155" s="2">
        <f>SUM(OSRRefD20_10x)+IFERROR(SUM(OSRRefE20_10x),0)</f>
        <v>-46309.919999999998</v>
      </c>
    </row>
    <row r="156" spans="1:17" s="34" customFormat="1" hidden="1" outlineLevel="1" x14ac:dyDescent="0.25">
      <c r="A156" s="35"/>
      <c r="B156" s="13" t="str">
        <f>CONCATENATE("          ","6305", " - ","FREIGHT OUT")</f>
        <v xml:space="preserve">          6305 - FREIGHT OUT</v>
      </c>
      <c r="C156" s="15"/>
      <c r="D156" s="2">
        <v>12089.09</v>
      </c>
      <c r="E156" s="2">
        <v>8244.4599999999991</v>
      </c>
      <c r="F156" s="2">
        <v>5334.51</v>
      </c>
      <c r="G156" s="2">
        <v>60680.109999999993</v>
      </c>
      <c r="H156" s="2">
        <v>6500</v>
      </c>
      <c r="I156" s="2">
        <v>4800</v>
      </c>
      <c r="J156" s="2">
        <v>4200</v>
      </c>
      <c r="K156" s="2">
        <v>10900</v>
      </c>
      <c r="L156" s="2">
        <v>7000</v>
      </c>
      <c r="M156" s="2">
        <v>4800</v>
      </c>
      <c r="N156" s="2">
        <v>3250</v>
      </c>
      <c r="O156" s="2">
        <v>2000</v>
      </c>
      <c r="P156" s="9"/>
      <c r="Q156" s="2">
        <f>SUM(OSRRefD21_10_0x)+IFERROR(SUM(OSRRefE21_10_0x),0)</f>
        <v>129798.16999999998</v>
      </c>
    </row>
    <row r="157" spans="1:17" s="34" customFormat="1" hidden="1" outlineLevel="1" x14ac:dyDescent="0.25">
      <c r="A157" s="35"/>
      <c r="B157" s="13" t="str">
        <f>CONCATENATE("          ","6307", " - ","POSTAGE")</f>
        <v xml:space="preserve">          6307 - POSTAGE</v>
      </c>
      <c r="C157" s="15"/>
      <c r="D157" s="2">
        <v>-3160.44</v>
      </c>
      <c r="E157" s="2">
        <v>-91981.04</v>
      </c>
      <c r="F157" s="2">
        <v>-11268.09</v>
      </c>
      <c r="G157" s="2">
        <v>-11686.52</v>
      </c>
      <c r="H157" s="2">
        <v>-965</v>
      </c>
      <c r="I157" s="2">
        <v>-3465</v>
      </c>
      <c r="J157" s="2">
        <v>-15965</v>
      </c>
      <c r="K157" s="2">
        <v>-8665</v>
      </c>
      <c r="L157" s="2">
        <v>-19965</v>
      </c>
      <c r="M157" s="2">
        <v>-2057</v>
      </c>
      <c r="N157" s="2">
        <v>-4965</v>
      </c>
      <c r="O157" s="2">
        <v>-1965</v>
      </c>
      <c r="P157" s="9"/>
      <c r="Q157" s="2">
        <f>SUM(OSRRefD21_10_1x)+IFERROR(SUM(OSRRefE21_10_1x),0)</f>
        <v>-176108.09</v>
      </c>
    </row>
    <row r="158" spans="1:17" s="34" customFormat="1" collapsed="1" x14ac:dyDescent="0.25">
      <c r="A158" s="35"/>
      <c r="B158" s="15" t="str">
        <f>CONCATENATE("     ","General                                           ")</f>
        <v xml:space="preserve">     General                                           </v>
      </c>
      <c r="C158" s="15"/>
      <c r="D158" s="1">
        <f>SUM(OSRRefD21_11x_0)</f>
        <v>-1810.99</v>
      </c>
      <c r="E158" s="1">
        <f>SUM(OSRRefD21_11x_1)</f>
        <v>113.26</v>
      </c>
      <c r="F158" s="1">
        <f>SUM(OSRRefD21_11x_2)</f>
        <v>0</v>
      </c>
      <c r="G158" s="1">
        <f>SUM(OSRRefD21_11x_3)</f>
        <v>-40</v>
      </c>
      <c r="H158" s="1">
        <f>SUM(OSRRefE21_11x_0)</f>
        <v>2800</v>
      </c>
      <c r="I158" s="1">
        <f>SUM(OSRRefE21_11x_1)</f>
        <v>450</v>
      </c>
      <c r="J158" s="1">
        <f>SUM(OSRRefE21_11x_2)</f>
        <v>250</v>
      </c>
      <c r="K158" s="1">
        <f>SUM(OSRRefE21_11x_3)</f>
        <v>375</v>
      </c>
      <c r="L158" s="1">
        <f>SUM(OSRRefE21_11x_4)</f>
        <v>300</v>
      </c>
      <c r="M158" s="1">
        <f>SUM(OSRRefE21_11x_5)</f>
        <v>500</v>
      </c>
      <c r="N158" s="1">
        <f>SUM(OSRRefE21_11x_6)</f>
        <v>1500</v>
      </c>
      <c r="O158" s="1">
        <f>SUM(OSRRefE21_11x_7)</f>
        <v>250</v>
      </c>
      <c r="Q158" s="2">
        <f>SUM(OSRRefD20_11x)+IFERROR(SUM(OSRRefE20_11x),0)</f>
        <v>4687.2700000000004</v>
      </c>
    </row>
    <row r="159" spans="1:17" s="34" customFormat="1" hidden="1" outlineLevel="1" x14ac:dyDescent="0.25">
      <c r="A159" s="35"/>
      <c r="B159" s="13" t="str">
        <f>CONCATENATE("          ","6269", " - ","ENTERTAINMENT")</f>
        <v xml:space="preserve">          6269 - ENTERTAINMENT</v>
      </c>
      <c r="C159" s="15"/>
      <c r="D159" s="2"/>
      <c r="E159" s="2"/>
      <c r="F159" s="2"/>
      <c r="G159" s="2"/>
      <c r="H159" s="2">
        <v>1250</v>
      </c>
      <c r="I159" s="2">
        <v>0</v>
      </c>
      <c r="J159" s="2"/>
      <c r="K159" s="2">
        <v>125</v>
      </c>
      <c r="L159" s="2">
        <v>0</v>
      </c>
      <c r="M159" s="2"/>
      <c r="N159" s="2">
        <v>1250</v>
      </c>
      <c r="O159" s="2">
        <v>0</v>
      </c>
      <c r="P159" s="9"/>
      <c r="Q159" s="2">
        <f>SUM(OSRRefD21_11_0x)+IFERROR(SUM(OSRRefE21_11_0x),0)</f>
        <v>2625</v>
      </c>
    </row>
    <row r="160" spans="1:17" s="34" customFormat="1" hidden="1" outlineLevel="1" x14ac:dyDescent="0.25">
      <c r="A160" s="35"/>
      <c r="B160" s="13" t="str">
        <f>CONCATENATE("          ","6279", " - ","GENERAL EXPENSE")</f>
        <v xml:space="preserve">          6279 - GENERAL EXPENSE</v>
      </c>
      <c r="C160" s="15"/>
      <c r="D160" s="2">
        <v>-1810.99</v>
      </c>
      <c r="E160" s="2">
        <v>113.26</v>
      </c>
      <c r="F160" s="2"/>
      <c r="G160" s="2">
        <v>-40</v>
      </c>
      <c r="H160" s="2">
        <v>1550</v>
      </c>
      <c r="I160" s="2">
        <v>450</v>
      </c>
      <c r="J160" s="2">
        <v>250</v>
      </c>
      <c r="K160" s="2">
        <v>250</v>
      </c>
      <c r="L160" s="2">
        <v>300</v>
      </c>
      <c r="M160" s="2">
        <v>500</v>
      </c>
      <c r="N160" s="2">
        <v>250</v>
      </c>
      <c r="O160" s="2">
        <v>250</v>
      </c>
      <c r="P160" s="9"/>
      <c r="Q160" s="2">
        <f>SUM(OSRRefD21_11_1x)+IFERROR(SUM(OSRRefE21_11_1x),0)</f>
        <v>2062.27</v>
      </c>
    </row>
    <row r="161" spans="1:17" s="34" customFormat="1" collapsed="1" x14ac:dyDescent="0.25">
      <c r="A161" s="35"/>
      <c r="B161" s="15" t="str">
        <f>CONCATENATE("     ","Insurance                                         ")</f>
        <v xml:space="preserve">     Insurance                                         </v>
      </c>
      <c r="C161" s="15"/>
      <c r="D161" s="1">
        <f>SUM(OSRRefD21_12x_0)</f>
        <v>4288.28</v>
      </c>
      <c r="E161" s="1">
        <f>SUM(OSRRefD21_12x_1)</f>
        <v>4288.28</v>
      </c>
      <c r="F161" s="1">
        <f>SUM(OSRRefD21_12x_2)</f>
        <v>4288.28</v>
      </c>
      <c r="G161" s="1">
        <f>SUM(OSRRefD21_12x_3)</f>
        <v>4288.28</v>
      </c>
      <c r="H161" s="1">
        <f>SUM(OSRRefE21_12x_0)</f>
        <v>4716</v>
      </c>
      <c r="I161" s="1">
        <f>SUM(OSRRefE21_12x_1)</f>
        <v>4716</v>
      </c>
      <c r="J161" s="1">
        <f>SUM(OSRRefE21_12x_2)</f>
        <v>4716</v>
      </c>
      <c r="K161" s="1">
        <f>SUM(OSRRefE21_12x_3)</f>
        <v>4716</v>
      </c>
      <c r="L161" s="1">
        <f>SUM(OSRRefE21_12x_4)</f>
        <v>4716</v>
      </c>
      <c r="M161" s="1">
        <f>SUM(OSRRefE21_12x_5)</f>
        <v>4716</v>
      </c>
      <c r="N161" s="1">
        <f>SUM(OSRRefE21_12x_6)</f>
        <v>4716</v>
      </c>
      <c r="O161" s="1">
        <f>SUM(OSRRefE21_12x_7)</f>
        <v>4716</v>
      </c>
      <c r="Q161" s="2">
        <f>SUM(OSRRefD20_12x)+IFERROR(SUM(OSRRefE20_12x),0)</f>
        <v>54881.119999999995</v>
      </c>
    </row>
    <row r="162" spans="1:17" s="34" customFormat="1" hidden="1" outlineLevel="1" x14ac:dyDescent="0.25">
      <c r="A162" s="35"/>
      <c r="B162" s="13" t="str">
        <f>CONCATENATE("          ","6314", " - ","LIABILITY INSURANCE")</f>
        <v xml:space="preserve">          6314 - LIABILITY INSURANCE</v>
      </c>
      <c r="C162" s="15"/>
      <c r="D162" s="2">
        <v>4288.28</v>
      </c>
      <c r="E162" s="2">
        <v>4288.28</v>
      </c>
      <c r="F162" s="2">
        <v>4288.28</v>
      </c>
      <c r="G162" s="2">
        <v>4288.28</v>
      </c>
      <c r="H162" s="2">
        <v>4716</v>
      </c>
      <c r="I162" s="2">
        <v>4716</v>
      </c>
      <c r="J162" s="2">
        <v>4716</v>
      </c>
      <c r="K162" s="2">
        <v>4716</v>
      </c>
      <c r="L162" s="2">
        <v>4716</v>
      </c>
      <c r="M162" s="2">
        <v>4716</v>
      </c>
      <c r="N162" s="2">
        <v>4716</v>
      </c>
      <c r="O162" s="2">
        <v>4716</v>
      </c>
      <c r="P162" s="9"/>
      <c r="Q162" s="2">
        <f>SUM(OSRRefD21_12_0x)+IFERROR(SUM(OSRRefE21_12_0x),0)</f>
        <v>54881.119999999995</v>
      </c>
    </row>
    <row r="163" spans="1:17" s="34" customFormat="1" collapsed="1" x14ac:dyDescent="0.25">
      <c r="A163" s="35"/>
      <c r="B163" s="15" t="str">
        <f>CONCATENATE("     ","Interest                                          ")</f>
        <v xml:space="preserve">     Interest                                          </v>
      </c>
      <c r="C163" s="15"/>
      <c r="D163" s="1">
        <f>SUM(OSRRefD21_13x_0)</f>
        <v>4044</v>
      </c>
      <c r="E163" s="1">
        <f>SUM(OSRRefD21_13x_1)</f>
        <v>4044</v>
      </c>
      <c r="F163" s="1">
        <f>SUM(OSRRefD21_13x_2)</f>
        <v>4044</v>
      </c>
      <c r="G163" s="1">
        <f>SUM(OSRRefD21_13x_3)</f>
        <v>3781.85</v>
      </c>
      <c r="H163" s="1">
        <f>SUM(OSRRefE21_13x_0)</f>
        <v>4044</v>
      </c>
      <c r="I163" s="1">
        <f>SUM(OSRRefE21_13x_1)</f>
        <v>4044</v>
      </c>
      <c r="J163" s="1">
        <f>SUM(OSRRefE21_13x_2)</f>
        <v>4044</v>
      </c>
      <c r="K163" s="1">
        <f>SUM(OSRRefE21_13x_3)</f>
        <v>4044</v>
      </c>
      <c r="L163" s="1">
        <f>SUM(OSRRefE21_13x_4)</f>
        <v>4044</v>
      </c>
      <c r="M163" s="1">
        <f>SUM(OSRRefE21_13x_5)</f>
        <v>4044</v>
      </c>
      <c r="N163" s="1">
        <f>SUM(OSRRefE21_13x_6)</f>
        <v>3905</v>
      </c>
      <c r="O163" s="1">
        <f>SUM(OSRRefE21_13x_7)</f>
        <v>3905</v>
      </c>
      <c r="Q163" s="2">
        <f>SUM(OSRRefD20_13x)+IFERROR(SUM(OSRRefE20_13x),0)</f>
        <v>47987.85</v>
      </c>
    </row>
    <row r="164" spans="1:17" s="34" customFormat="1" hidden="1" outlineLevel="1" x14ac:dyDescent="0.25">
      <c r="A164" s="35"/>
      <c r="B164" s="13" t="str">
        <f>CONCATENATE("          ","6401", " - ","INTEREST EXPENSE")</f>
        <v xml:space="preserve">          6401 - INTEREST EXPENSE</v>
      </c>
      <c r="C164" s="15"/>
      <c r="D164" s="2">
        <v>4044</v>
      </c>
      <c r="E164" s="2">
        <v>4044</v>
      </c>
      <c r="F164" s="2">
        <v>4044</v>
      </c>
      <c r="G164" s="2">
        <v>3781.85</v>
      </c>
      <c r="H164" s="2">
        <v>4044</v>
      </c>
      <c r="I164" s="2">
        <v>4044</v>
      </c>
      <c r="J164" s="2">
        <v>4044</v>
      </c>
      <c r="K164" s="2">
        <v>4044</v>
      </c>
      <c r="L164" s="2">
        <v>4044</v>
      </c>
      <c r="M164" s="2">
        <v>4044</v>
      </c>
      <c r="N164" s="2">
        <v>3905</v>
      </c>
      <c r="O164" s="2">
        <v>3905</v>
      </c>
      <c r="P164" s="9"/>
      <c r="Q164" s="2">
        <f>SUM(OSRRefD21_13_0x)+IFERROR(SUM(OSRRefE21_13_0x),0)</f>
        <v>47987.85</v>
      </c>
    </row>
    <row r="165" spans="1:17" s="34" customFormat="1" collapsed="1" x14ac:dyDescent="0.25">
      <c r="A165" s="35"/>
      <c r="B165" s="15" t="str">
        <f>CONCATENATE("     ","Inventory Adjustment                              ")</f>
        <v xml:space="preserve">     Inventory Adjustment                              </v>
      </c>
      <c r="C165" s="15"/>
      <c r="D165" s="1">
        <f>SUM(OSRRefD21_14x_0)</f>
        <v>2100</v>
      </c>
      <c r="E165" s="1">
        <f>SUM(OSRRefD21_14x_1)</f>
        <v>2100</v>
      </c>
      <c r="F165" s="1">
        <f>SUM(OSRRefD21_14x_2)</f>
        <v>2100</v>
      </c>
      <c r="G165" s="1">
        <f>SUM(OSRRefD21_14x_3)</f>
        <v>2100</v>
      </c>
      <c r="H165" s="1">
        <f>SUM(OSRRefE21_14x_0)</f>
        <v>3100</v>
      </c>
      <c r="I165" s="1">
        <f>SUM(OSRRefE21_14x_1)</f>
        <v>8100</v>
      </c>
      <c r="J165" s="1">
        <f>SUM(OSRRefE21_14x_2)</f>
        <v>3100</v>
      </c>
      <c r="K165" s="1">
        <f>SUM(OSRRefE21_14x_3)</f>
        <v>3100</v>
      </c>
      <c r="L165" s="1">
        <f>SUM(OSRRefE21_14x_4)</f>
        <v>3100</v>
      </c>
      <c r="M165" s="1">
        <f>SUM(OSRRefE21_14x_5)</f>
        <v>3100</v>
      </c>
      <c r="N165" s="1">
        <f>SUM(OSRRefE21_14x_6)</f>
        <v>3100</v>
      </c>
      <c r="O165" s="1">
        <f>SUM(OSRRefE21_14x_7)</f>
        <v>46100</v>
      </c>
      <c r="Q165" s="2">
        <f>SUM(OSRRefD20_14x)+IFERROR(SUM(OSRRefE20_14x),0)</f>
        <v>81200</v>
      </c>
    </row>
    <row r="166" spans="1:17" s="34" customFormat="1" hidden="1" outlineLevel="1" x14ac:dyDescent="0.25">
      <c r="A166" s="35"/>
      <c r="B166" s="13" t="str">
        <f>CONCATENATE("          ","6408", " - ","INVENTORY ADJUSTMENT")</f>
        <v xml:space="preserve">          6408 - INVENTORY ADJUSTMENT</v>
      </c>
      <c r="C166" s="15"/>
      <c r="D166" s="2">
        <v>2100</v>
      </c>
      <c r="E166" s="2">
        <v>2100</v>
      </c>
      <c r="F166" s="2">
        <v>2100</v>
      </c>
      <c r="G166" s="2">
        <v>2100</v>
      </c>
      <c r="H166" s="2">
        <v>3100</v>
      </c>
      <c r="I166" s="2">
        <v>8100</v>
      </c>
      <c r="J166" s="2">
        <v>3100</v>
      </c>
      <c r="K166" s="2">
        <v>3100</v>
      </c>
      <c r="L166" s="2">
        <v>3100</v>
      </c>
      <c r="M166" s="2">
        <v>3100</v>
      </c>
      <c r="N166" s="2">
        <v>3100</v>
      </c>
      <c r="O166" s="2">
        <v>46100</v>
      </c>
      <c r="P166" s="9"/>
      <c r="Q166" s="2">
        <f>SUM(OSRRefD21_14_0x)+IFERROR(SUM(OSRRefE21_14_0x),0)</f>
        <v>81200</v>
      </c>
    </row>
    <row r="167" spans="1:17" s="34" customFormat="1" collapsed="1" x14ac:dyDescent="0.25">
      <c r="A167" s="35"/>
      <c r="B167" s="15" t="str">
        <f>CONCATENATE("     ","Professional Services                             ")</f>
        <v xml:space="preserve">     Professional Services                             </v>
      </c>
      <c r="C167" s="15"/>
      <c r="D167" s="1">
        <f>SUM(OSRRefD21_15x_0)</f>
        <v>0</v>
      </c>
      <c r="E167" s="1">
        <f>SUM(OSRRefD21_15x_1)</f>
        <v>0</v>
      </c>
      <c r="F167" s="1">
        <f>SUM(OSRRefD21_15x_2)</f>
        <v>0</v>
      </c>
      <c r="G167" s="1">
        <f>SUM(OSRRefD21_15x_3)</f>
        <v>0</v>
      </c>
      <c r="H167" s="1">
        <f>SUM(OSRRefE21_15x_0)</f>
        <v>0</v>
      </c>
      <c r="I167" s="1">
        <f>SUM(OSRRefE21_15x_1)</f>
        <v>0</v>
      </c>
      <c r="J167" s="1">
        <f>SUM(OSRRefE21_15x_2)</f>
        <v>0</v>
      </c>
      <c r="K167" s="1">
        <f>SUM(OSRRefE21_15x_3)</f>
        <v>0</v>
      </c>
      <c r="L167" s="1">
        <f>SUM(OSRRefE21_15x_4)</f>
        <v>0</v>
      </c>
      <c r="M167" s="1">
        <f>SUM(OSRRefE21_15x_5)</f>
        <v>0</v>
      </c>
      <c r="N167" s="1">
        <f>SUM(OSRRefE21_15x_6)</f>
        <v>0</v>
      </c>
      <c r="O167" s="1">
        <f>SUM(OSRRefE21_15x_7)</f>
        <v>0</v>
      </c>
      <c r="Q167" s="2">
        <f>SUM(OSRRefD20_15x)+IFERROR(SUM(OSRRefE20_15x),0)</f>
        <v>0</v>
      </c>
    </row>
    <row r="168" spans="1:17" s="34" customFormat="1" hidden="1" outlineLevel="1" x14ac:dyDescent="0.25">
      <c r="A168" s="35"/>
      <c r="B168" s="13" t="str">
        <f>CONCATENATE("          ","6336", " - ","PROFESSIONAL SERVICES")</f>
        <v xml:space="preserve">          6336 - PROFESSIONAL SERVICES</v>
      </c>
      <c r="C168" s="15"/>
      <c r="D168" s="2"/>
      <c r="E168" s="2"/>
      <c r="F168" s="2"/>
      <c r="G168" s="2"/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9"/>
      <c r="Q168" s="2">
        <f>SUM(OSRRefD21_15_0x)+IFERROR(SUM(OSRRefE21_15_0x),0)</f>
        <v>0</v>
      </c>
    </row>
    <row r="169" spans="1:17" s="34" customFormat="1" collapsed="1" x14ac:dyDescent="0.25">
      <c r="A169" s="35"/>
      <c r="B169" s="15" t="str">
        <f>CONCATENATE("     ","Rent                                              ")</f>
        <v xml:space="preserve">     Rent                                              </v>
      </c>
      <c r="C169" s="15"/>
      <c r="D169" s="1">
        <f>SUM(OSRRefD21_16x_0)</f>
        <v>6100</v>
      </c>
      <c r="E169" s="1">
        <f>SUM(OSRRefD21_16x_1)</f>
        <v>6100</v>
      </c>
      <c r="F169" s="1">
        <f>SUM(OSRRefD21_16x_2)</f>
        <v>6100</v>
      </c>
      <c r="G169" s="1">
        <f>SUM(OSRRefD21_16x_3)</f>
        <v>6100</v>
      </c>
      <c r="H169" s="1">
        <f>SUM(OSRRefE21_16x_0)</f>
        <v>6100</v>
      </c>
      <c r="I169" s="1">
        <f>SUM(OSRRefE21_16x_1)</f>
        <v>6100</v>
      </c>
      <c r="J169" s="1">
        <f>SUM(OSRRefE21_16x_2)</f>
        <v>6100</v>
      </c>
      <c r="K169" s="1">
        <f>SUM(OSRRefE21_16x_3)</f>
        <v>6100</v>
      </c>
      <c r="L169" s="1">
        <f>SUM(OSRRefE21_16x_4)</f>
        <v>6100</v>
      </c>
      <c r="M169" s="1">
        <f>SUM(OSRRefE21_16x_5)</f>
        <v>6100</v>
      </c>
      <c r="N169" s="1">
        <f>SUM(OSRRefE21_16x_6)</f>
        <v>6100</v>
      </c>
      <c r="O169" s="1">
        <f>SUM(OSRRefE21_16x_7)</f>
        <v>6100</v>
      </c>
      <c r="Q169" s="2">
        <f>SUM(OSRRefD20_16x)+IFERROR(SUM(OSRRefE20_16x),0)</f>
        <v>73200</v>
      </c>
    </row>
    <row r="170" spans="1:17" s="34" customFormat="1" hidden="1" outlineLevel="1" x14ac:dyDescent="0.25">
      <c r="A170" s="35"/>
      <c r="B170" s="13" t="str">
        <f>CONCATENATE("          ","6273", " - ","RENT")</f>
        <v xml:space="preserve">          6273 - RENT</v>
      </c>
      <c r="C170" s="15"/>
      <c r="D170" s="2">
        <v>6100</v>
      </c>
      <c r="E170" s="2">
        <v>6100</v>
      </c>
      <c r="F170" s="2">
        <v>6100</v>
      </c>
      <c r="G170" s="2">
        <v>6100</v>
      </c>
      <c r="H170" s="2">
        <v>6100</v>
      </c>
      <c r="I170" s="2">
        <v>6100</v>
      </c>
      <c r="J170" s="2">
        <v>6100</v>
      </c>
      <c r="K170" s="2">
        <v>6100</v>
      </c>
      <c r="L170" s="2">
        <v>6100</v>
      </c>
      <c r="M170" s="2">
        <v>6100</v>
      </c>
      <c r="N170" s="2">
        <v>6100</v>
      </c>
      <c r="O170" s="2">
        <v>6100</v>
      </c>
      <c r="P170" s="9"/>
      <c r="Q170" s="2">
        <f>SUM(OSRRefD21_16_0x)+IFERROR(SUM(OSRRefE21_16_0x),0)</f>
        <v>73200</v>
      </c>
    </row>
    <row r="171" spans="1:17" s="34" customFormat="1" collapsed="1" x14ac:dyDescent="0.25">
      <c r="A171" s="35"/>
      <c r="B171" s="15" t="str">
        <f>CONCATENATE("     ","Repair and Maintenance                            ")</f>
        <v xml:space="preserve">     Repair and Maintenance                            </v>
      </c>
      <c r="C171" s="15"/>
      <c r="D171" s="1">
        <f>SUM(OSRRefD21_17x_0)</f>
        <v>66461.77</v>
      </c>
      <c r="E171" s="1">
        <f>SUM(OSRRefD21_17x_1)</f>
        <v>7148.7199999999993</v>
      </c>
      <c r="F171" s="1">
        <f>SUM(OSRRefD21_17x_2)</f>
        <v>13868.49</v>
      </c>
      <c r="G171" s="1">
        <f>SUM(OSRRefD21_17x_3)</f>
        <v>11574.119999999999</v>
      </c>
      <c r="H171" s="1">
        <f>SUM(OSRRefE21_17x_0)</f>
        <v>14790</v>
      </c>
      <c r="I171" s="1">
        <f>SUM(OSRRefE21_17x_1)</f>
        <v>14690</v>
      </c>
      <c r="J171" s="1">
        <f>SUM(OSRRefE21_17x_2)</f>
        <v>17290</v>
      </c>
      <c r="K171" s="1">
        <f>SUM(OSRRefE21_17x_3)</f>
        <v>16390</v>
      </c>
      <c r="L171" s="1">
        <f>SUM(OSRRefE21_17x_4)</f>
        <v>14290</v>
      </c>
      <c r="M171" s="1">
        <f>SUM(OSRRefE21_17x_5)</f>
        <v>14190</v>
      </c>
      <c r="N171" s="1">
        <f>SUM(OSRRefE21_17x_6)</f>
        <v>26290</v>
      </c>
      <c r="O171" s="1">
        <f>SUM(OSRRefE21_17x_7)</f>
        <v>16190</v>
      </c>
      <c r="Q171" s="2">
        <f>SUM(OSRRefD20_17x)+IFERROR(SUM(OSRRefE20_17x),0)</f>
        <v>233173.1</v>
      </c>
    </row>
    <row r="172" spans="1:17" s="34" customFormat="1" hidden="1" outlineLevel="1" x14ac:dyDescent="0.25">
      <c r="A172" s="35"/>
      <c r="B172" s="13" t="str">
        <f>CONCATENATE("          ","6371", " - ","COMPUTER SOFTWARE MAINTENANCE")</f>
        <v xml:space="preserve">          6371 - COMPUTER SOFTWARE MAINTENANCE</v>
      </c>
      <c r="C172" s="15"/>
      <c r="D172" s="2">
        <v>58428.780000000006</v>
      </c>
      <c r="E172" s="2"/>
      <c r="F172" s="2"/>
      <c r="G172" s="2">
        <v>7.69</v>
      </c>
      <c r="H172" s="2"/>
      <c r="I172" s="2"/>
      <c r="J172" s="2"/>
      <c r="K172" s="2"/>
      <c r="L172" s="2"/>
      <c r="M172" s="2"/>
      <c r="N172" s="2">
        <v>12000</v>
      </c>
      <c r="O172" s="2"/>
      <c r="P172" s="9"/>
      <c r="Q172" s="2">
        <f>SUM(OSRRefD21_17_0x)+IFERROR(SUM(OSRRefE21_17_0x),0)</f>
        <v>70436.47</v>
      </c>
    </row>
    <row r="173" spans="1:17" s="34" customFormat="1" hidden="1" outlineLevel="1" x14ac:dyDescent="0.25">
      <c r="A173" s="35"/>
      <c r="B173" s="13" t="str">
        <f>CONCATENATE("          ","6372", " - ","COMPUTER HARDWARE MAINTENANCE")</f>
        <v xml:space="preserve">          6372 - COMPUTER HARDWARE MAINTENANCE</v>
      </c>
      <c r="C173" s="15"/>
      <c r="D173" s="2"/>
      <c r="E173" s="2">
        <v>0.98</v>
      </c>
      <c r="F173" s="2">
        <v>-9.09</v>
      </c>
      <c r="G173" s="2">
        <v>8.11</v>
      </c>
      <c r="H173" s="2"/>
      <c r="I173" s="2"/>
      <c r="J173" s="2"/>
      <c r="K173" s="2"/>
      <c r="L173" s="2"/>
      <c r="M173" s="2"/>
      <c r="N173" s="2"/>
      <c r="O173" s="2"/>
      <c r="P173" s="9"/>
      <c r="Q173" s="2">
        <f>SUM(OSRRefD21_17_1x)+IFERROR(SUM(OSRRefE21_17_1x),0)</f>
        <v>0</v>
      </c>
    </row>
    <row r="174" spans="1:17" s="34" customFormat="1" hidden="1" outlineLevel="1" x14ac:dyDescent="0.25">
      <c r="A174" s="35"/>
      <c r="B174" s="13" t="str">
        <f>CONCATENATE("          ","6373", " - ","MAINTENANCE CONTRACTS")</f>
        <v xml:space="preserve">          6373 - MAINTENANCE CONTRACTS</v>
      </c>
      <c r="C174" s="15"/>
      <c r="D174" s="2">
        <v>6416.01</v>
      </c>
      <c r="E174" s="2">
        <v>6723.92</v>
      </c>
      <c r="F174" s="2">
        <v>12704.27</v>
      </c>
      <c r="G174" s="2">
        <v>5396.67</v>
      </c>
      <c r="H174" s="2">
        <v>6540</v>
      </c>
      <c r="I174" s="2">
        <v>6540</v>
      </c>
      <c r="J174" s="2">
        <v>9040</v>
      </c>
      <c r="K174" s="2">
        <v>8240</v>
      </c>
      <c r="L174" s="2">
        <v>6040</v>
      </c>
      <c r="M174" s="2">
        <v>6040</v>
      </c>
      <c r="N174" s="2">
        <v>6040</v>
      </c>
      <c r="O174" s="2">
        <v>8040</v>
      </c>
      <c r="P174" s="9"/>
      <c r="Q174" s="2">
        <f>SUM(OSRRefD21_17_2x)+IFERROR(SUM(OSRRefE21_17_2x),0)</f>
        <v>87760.87</v>
      </c>
    </row>
    <row r="175" spans="1:17" s="34" customFormat="1" hidden="1" outlineLevel="1" x14ac:dyDescent="0.25">
      <c r="A175" s="35"/>
      <c r="B175" s="13" t="str">
        <f>CONCATENATE("          ","6375", " - ","OUTSIDE REPAIRS &amp; MAINTENANCE")</f>
        <v xml:space="preserve">          6375 - OUTSIDE REPAIRS &amp; MAINTENANCE</v>
      </c>
      <c r="C175" s="15"/>
      <c r="D175" s="2">
        <v>1616.98</v>
      </c>
      <c r="E175" s="2">
        <v>423.82</v>
      </c>
      <c r="F175" s="2">
        <v>1173.31</v>
      </c>
      <c r="G175" s="2">
        <v>6161.65</v>
      </c>
      <c r="H175" s="2">
        <v>8250</v>
      </c>
      <c r="I175" s="2">
        <v>8150</v>
      </c>
      <c r="J175" s="2">
        <v>8250</v>
      </c>
      <c r="K175" s="2">
        <v>8150</v>
      </c>
      <c r="L175" s="2">
        <v>8250</v>
      </c>
      <c r="M175" s="2">
        <v>8150</v>
      </c>
      <c r="N175" s="2">
        <v>8250</v>
      </c>
      <c r="O175" s="2">
        <v>8150</v>
      </c>
      <c r="P175" s="9"/>
      <c r="Q175" s="2">
        <f>SUM(OSRRefD21_17_3x)+IFERROR(SUM(OSRRefE21_17_3x),0)</f>
        <v>74975.759999999995</v>
      </c>
    </row>
    <row r="176" spans="1:17" s="34" customFormat="1" collapsed="1" x14ac:dyDescent="0.25">
      <c r="A176" s="35"/>
      <c r="B176" s="15" t="str">
        <f>CONCATENATE("     ","Royalty &amp; Commissions                             ")</f>
        <v xml:space="preserve">     Royalty &amp; Commissions                             </v>
      </c>
      <c r="C176" s="15"/>
      <c r="D176" s="1">
        <f>SUM(OSRRefD21_18x_0)</f>
        <v>10989.75</v>
      </c>
      <c r="E176" s="1">
        <f>SUM(OSRRefD21_18x_1)</f>
        <v>2254.65</v>
      </c>
      <c r="F176" s="1">
        <f>SUM(OSRRefD21_18x_2)</f>
        <v>62.6</v>
      </c>
      <c r="G176" s="1">
        <f>SUM(OSRRefD21_18x_3)</f>
        <v>10995.7</v>
      </c>
      <c r="H176" s="1">
        <f>SUM(OSRRefE21_18x_0)</f>
        <v>6321</v>
      </c>
      <c r="I176" s="1">
        <f>SUM(OSRRefE21_18x_1)</f>
        <v>6321</v>
      </c>
      <c r="J176" s="1">
        <f>SUM(OSRRefE21_18x_2)</f>
        <v>6321</v>
      </c>
      <c r="K176" s="1">
        <f>SUM(OSRRefE21_18x_3)</f>
        <v>6321</v>
      </c>
      <c r="L176" s="1">
        <f>SUM(OSRRefE21_18x_4)</f>
        <v>11271</v>
      </c>
      <c r="M176" s="1">
        <f>SUM(OSRRefE21_18x_5)</f>
        <v>6371</v>
      </c>
      <c r="N176" s="1">
        <f>SUM(OSRRefE21_18x_6)</f>
        <v>6371</v>
      </c>
      <c r="O176" s="1">
        <f>SUM(OSRRefE21_18x_7)</f>
        <v>6371</v>
      </c>
      <c r="Q176" s="2">
        <f>SUM(OSRRefD20_18x)+IFERROR(SUM(OSRRefE20_18x),0)</f>
        <v>79970.7</v>
      </c>
    </row>
    <row r="177" spans="1:17" s="34" customFormat="1" hidden="1" outlineLevel="1" x14ac:dyDescent="0.25">
      <c r="A177" s="35"/>
      <c r="B177" s="13" t="str">
        <f>CONCATENATE("          ","6252", " - ","ROYALTY DUE CSTV")</f>
        <v xml:space="preserve">          6252 - ROYALTY DUE CSTV</v>
      </c>
      <c r="C177" s="15"/>
      <c r="D177" s="2"/>
      <c r="E177" s="2"/>
      <c r="F177" s="2"/>
      <c r="G177" s="2"/>
      <c r="H177" s="2">
        <v>1085</v>
      </c>
      <c r="I177" s="2">
        <v>1085</v>
      </c>
      <c r="J177" s="2">
        <v>1085</v>
      </c>
      <c r="K177" s="2">
        <v>1085</v>
      </c>
      <c r="L177" s="2">
        <v>1085</v>
      </c>
      <c r="M177" s="2">
        <v>1085</v>
      </c>
      <c r="N177" s="2">
        <v>1085</v>
      </c>
      <c r="O177" s="2">
        <v>1085</v>
      </c>
      <c r="P177" s="9"/>
      <c r="Q177" s="2">
        <f>SUM(OSRRefD21_18_0x)+IFERROR(SUM(OSRRefE21_18_0x),0)</f>
        <v>8680</v>
      </c>
    </row>
    <row r="178" spans="1:17" s="34" customFormat="1" hidden="1" outlineLevel="1" x14ac:dyDescent="0.25">
      <c r="A178" s="35"/>
      <c r="B178" s="13" t="str">
        <f>CONCATENATE("          ","6253", " - ","ROYALTY DUE ATHLETICS-LRG")</f>
        <v xml:space="preserve">          6253 - ROYALTY DUE ATHLETICS-LRG</v>
      </c>
      <c r="C178" s="15"/>
      <c r="D178" s="2">
        <v>5672.2</v>
      </c>
      <c r="E178" s="2">
        <v>2250</v>
      </c>
      <c r="F178" s="2"/>
      <c r="G178" s="2">
        <v>10489.6</v>
      </c>
      <c r="H178" s="2">
        <v>4037</v>
      </c>
      <c r="I178" s="2">
        <v>4037</v>
      </c>
      <c r="J178" s="2">
        <v>4037</v>
      </c>
      <c r="K178" s="2">
        <v>4037</v>
      </c>
      <c r="L178" s="2">
        <v>4037</v>
      </c>
      <c r="M178" s="2">
        <v>4037</v>
      </c>
      <c r="N178" s="2">
        <v>4037</v>
      </c>
      <c r="O178" s="2">
        <v>4037</v>
      </c>
      <c r="P178" s="9"/>
      <c r="Q178" s="2">
        <f>SUM(OSRRefD21_18_1x)+IFERROR(SUM(OSRRefE21_18_1x),0)</f>
        <v>50707.8</v>
      </c>
    </row>
    <row r="179" spans="1:17" s="34" customFormat="1" hidden="1" outlineLevel="1" x14ac:dyDescent="0.25">
      <c r="A179" s="35"/>
      <c r="B179" s="13" t="str">
        <f>CONCATENATE("          ","6254", " - ","ROYALTY &amp; COMMISSIONS")</f>
        <v xml:space="preserve">          6254 - ROYALTY &amp; COMMISSIONS</v>
      </c>
      <c r="C179" s="15"/>
      <c r="D179" s="2"/>
      <c r="E179" s="2"/>
      <c r="F179" s="2"/>
      <c r="G179" s="2">
        <v>185.7</v>
      </c>
      <c r="H179" s="2">
        <v>1149</v>
      </c>
      <c r="I179" s="2">
        <v>1149</v>
      </c>
      <c r="J179" s="2">
        <v>1149</v>
      </c>
      <c r="K179" s="2">
        <v>1149</v>
      </c>
      <c r="L179" s="2">
        <v>1149</v>
      </c>
      <c r="M179" s="2">
        <v>1149</v>
      </c>
      <c r="N179" s="2">
        <v>1149</v>
      </c>
      <c r="O179" s="2">
        <v>1149</v>
      </c>
      <c r="P179" s="9"/>
      <c r="Q179" s="2">
        <f>SUM(OSRRefD21_18_2x)+IFERROR(SUM(OSRRefE21_18_2x),0)</f>
        <v>9377.7000000000007</v>
      </c>
    </row>
    <row r="180" spans="1:17" s="34" customFormat="1" hidden="1" outlineLevel="1" x14ac:dyDescent="0.25">
      <c r="A180" s="35"/>
      <c r="B180" s="13" t="str">
        <f>CONCATENATE("          ","6259", " - ","ROYALTY &amp; COMMISSIONS")</f>
        <v xml:space="preserve">          6259 - ROYALTY &amp; COMMISSIONS</v>
      </c>
      <c r="C180" s="15"/>
      <c r="D180" s="2">
        <v>5317.55</v>
      </c>
      <c r="E180" s="2">
        <v>4.6500000000000004</v>
      </c>
      <c r="F180" s="2">
        <v>62.6</v>
      </c>
      <c r="G180" s="2">
        <v>320.39999999999998</v>
      </c>
      <c r="H180" s="2">
        <v>50</v>
      </c>
      <c r="I180" s="2">
        <v>50</v>
      </c>
      <c r="J180" s="2">
        <v>50</v>
      </c>
      <c r="K180" s="2">
        <v>50</v>
      </c>
      <c r="L180" s="2">
        <v>5000</v>
      </c>
      <c r="M180" s="2">
        <v>100</v>
      </c>
      <c r="N180" s="2">
        <v>100</v>
      </c>
      <c r="O180" s="2">
        <v>100</v>
      </c>
      <c r="P180" s="9"/>
      <c r="Q180" s="2">
        <f>SUM(OSRRefD21_18_3x)+IFERROR(SUM(OSRRefE21_18_3x),0)</f>
        <v>11205.2</v>
      </c>
    </row>
    <row r="181" spans="1:17" s="34" customFormat="1" collapsed="1" x14ac:dyDescent="0.25">
      <c r="A181" s="35"/>
      <c r="B181" s="15" t="str">
        <f>CONCATENATE("     ","Services                                          ")</f>
        <v xml:space="preserve">     Services                                          </v>
      </c>
      <c r="C181" s="15"/>
      <c r="D181" s="1">
        <f>SUM(OSRRefD21_19x_0)</f>
        <v>3079.1400000000003</v>
      </c>
      <c r="E181" s="1">
        <f>SUM(OSRRefD21_19x_1)</f>
        <v>-347.38000000000005</v>
      </c>
      <c r="F181" s="1">
        <f>SUM(OSRRefD21_19x_2)</f>
        <v>4558.25</v>
      </c>
      <c r="G181" s="1">
        <f>SUM(OSRRefD21_19x_3)</f>
        <v>4526.42</v>
      </c>
      <c r="H181" s="1">
        <f>SUM(OSRRefE21_19x_0)</f>
        <v>4455</v>
      </c>
      <c r="I181" s="1">
        <f>SUM(OSRRefE21_19x_1)</f>
        <v>4510</v>
      </c>
      <c r="J181" s="1">
        <f>SUM(OSRRefE21_19x_2)</f>
        <v>4780</v>
      </c>
      <c r="K181" s="1">
        <f>SUM(OSRRefE21_19x_3)</f>
        <v>4455</v>
      </c>
      <c r="L181" s="1">
        <f>SUM(OSRRefE21_19x_4)</f>
        <v>4510</v>
      </c>
      <c r="M181" s="1">
        <f>SUM(OSRRefE21_19x_5)</f>
        <v>4555</v>
      </c>
      <c r="N181" s="1">
        <f>SUM(OSRRefE21_19x_6)</f>
        <v>4455</v>
      </c>
      <c r="O181" s="1">
        <f>SUM(OSRRefE21_19x_7)</f>
        <v>4510</v>
      </c>
      <c r="Q181" s="2">
        <f>SUM(OSRRefD20_19x)+IFERROR(SUM(OSRRefE20_19x),0)</f>
        <v>48046.43</v>
      </c>
    </row>
    <row r="182" spans="1:17" s="34" customFormat="1" hidden="1" outlineLevel="1" x14ac:dyDescent="0.25">
      <c r="A182" s="35"/>
      <c r="B182" s="13" t="str">
        <f>CONCATENATE("          ","6282", " - ","JANITORIAL/EXTERMINATOR EXPENS")</f>
        <v xml:space="preserve">          6282 - JANITORIAL/EXTERMINATOR EXPENS</v>
      </c>
      <c r="C182" s="15"/>
      <c r="D182" s="2">
        <v>136.5</v>
      </c>
      <c r="E182" s="2">
        <v>-429.22</v>
      </c>
      <c r="F182" s="2">
        <v>307.5</v>
      </c>
      <c r="G182" s="2">
        <v>4888.68</v>
      </c>
      <c r="H182" s="2">
        <v>4000</v>
      </c>
      <c r="I182" s="2">
        <v>4000</v>
      </c>
      <c r="J182" s="2">
        <v>4000</v>
      </c>
      <c r="K182" s="2">
        <v>4000</v>
      </c>
      <c r="L182" s="2">
        <v>4000</v>
      </c>
      <c r="M182" s="2">
        <v>4000</v>
      </c>
      <c r="N182" s="2">
        <v>4000</v>
      </c>
      <c r="O182" s="2">
        <v>4000</v>
      </c>
      <c r="P182" s="9"/>
      <c r="Q182" s="2">
        <f>SUM(OSRRefD21_19_0x)+IFERROR(SUM(OSRRefE21_19_0x),0)</f>
        <v>36903.46</v>
      </c>
    </row>
    <row r="183" spans="1:17" s="34" customFormat="1" hidden="1" outlineLevel="1" x14ac:dyDescent="0.25">
      <c r="A183" s="35"/>
      <c r="B183" s="13" t="str">
        <f>CONCATENATE("          ","6283", " - ","PLANT SERVICE")</f>
        <v xml:space="preserve">          6283 - PLANT SERVICE</v>
      </c>
      <c r="C183" s="15"/>
      <c r="D183" s="2">
        <v>130</v>
      </c>
      <c r="E183" s="2"/>
      <c r="F183" s="2"/>
      <c r="G183" s="2"/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9"/>
      <c r="Q183" s="2">
        <f>SUM(OSRRefD21_19_1x)+IFERROR(SUM(OSRRefE21_19_1x),0)</f>
        <v>130</v>
      </c>
    </row>
    <row r="184" spans="1:17" s="34" customFormat="1" hidden="1" outlineLevel="1" x14ac:dyDescent="0.25">
      <c r="A184" s="35"/>
      <c r="B184" s="13" t="str">
        <f>CONCATENATE("          ","6284", " - ","TRASH REMOVAL EXPENSE")</f>
        <v xml:space="preserve">          6284 - TRASH REMOVAL EXPENSE</v>
      </c>
      <c r="C184" s="15"/>
      <c r="D184" s="2">
        <v>142.57</v>
      </c>
      <c r="E184" s="2">
        <v>142.57</v>
      </c>
      <c r="F184" s="2">
        <v>142.57</v>
      </c>
      <c r="G184" s="2">
        <v>157.59</v>
      </c>
      <c r="H184" s="2">
        <v>55</v>
      </c>
      <c r="I184" s="2">
        <v>110</v>
      </c>
      <c r="J184" s="2">
        <v>55</v>
      </c>
      <c r="K184" s="2">
        <v>55</v>
      </c>
      <c r="L184" s="2">
        <v>110</v>
      </c>
      <c r="M184" s="2">
        <v>55</v>
      </c>
      <c r="N184" s="2">
        <v>55</v>
      </c>
      <c r="O184" s="2">
        <v>110</v>
      </c>
      <c r="P184" s="9"/>
      <c r="Q184" s="2">
        <f>SUM(OSRRefD21_19_2x)+IFERROR(SUM(OSRRefE21_19_2x),0)</f>
        <v>1190.3</v>
      </c>
    </row>
    <row r="185" spans="1:17" s="34" customFormat="1" hidden="1" outlineLevel="1" x14ac:dyDescent="0.25">
      <c r="A185" s="35"/>
      <c r="B185" s="13" t="str">
        <f>CONCATENATE("          ","6285", " - ","JANITORIAL SERVICES")</f>
        <v xml:space="preserve">          6285 - JANITORIAL SERVICES</v>
      </c>
      <c r="C185" s="15"/>
      <c r="D185" s="2">
        <v>2670.07</v>
      </c>
      <c r="E185" s="2">
        <v>-60.73</v>
      </c>
      <c r="F185" s="2">
        <v>4108.18</v>
      </c>
      <c r="G185" s="2">
        <v>-519.85</v>
      </c>
      <c r="H185" s="2">
        <v>400</v>
      </c>
      <c r="I185" s="2">
        <v>400</v>
      </c>
      <c r="J185" s="2">
        <v>725</v>
      </c>
      <c r="K185" s="2">
        <v>400</v>
      </c>
      <c r="L185" s="2">
        <v>400</v>
      </c>
      <c r="M185" s="2">
        <v>500</v>
      </c>
      <c r="N185" s="2">
        <v>400</v>
      </c>
      <c r="O185" s="2">
        <v>400</v>
      </c>
      <c r="P185" s="9"/>
      <c r="Q185" s="2">
        <f>SUM(OSRRefD21_19_3x)+IFERROR(SUM(OSRRefE21_19_3x),0)</f>
        <v>9822.67</v>
      </c>
    </row>
    <row r="186" spans="1:17" s="34" customFormat="1" collapsed="1" x14ac:dyDescent="0.25">
      <c r="A186" s="35"/>
      <c r="B186" s="15" t="str">
        <f>CONCATENATE("     ","Subscriptions &amp; Dues                              ")</f>
        <v xml:space="preserve">     Subscriptions &amp; Dues                              </v>
      </c>
      <c r="C186" s="15"/>
      <c r="D186" s="1">
        <f>SUM(OSRRefD21_20x_0)</f>
        <v>365</v>
      </c>
      <c r="E186" s="1">
        <f>SUM(OSRRefD21_20x_1)</f>
        <v>270</v>
      </c>
      <c r="F186" s="1">
        <f>SUM(OSRRefD21_20x_2)</f>
        <v>148.77000000000001</v>
      </c>
      <c r="G186" s="1">
        <f>SUM(OSRRefD21_20x_3)</f>
        <v>865.32</v>
      </c>
      <c r="H186" s="1">
        <f>SUM(OSRRefE21_20x_0)</f>
        <v>1100</v>
      </c>
      <c r="I186" s="1">
        <f>SUM(OSRRefE21_20x_1)</f>
        <v>1100</v>
      </c>
      <c r="J186" s="1">
        <f>SUM(OSRRefE21_20x_2)</f>
        <v>1100</v>
      </c>
      <c r="K186" s="1">
        <f>SUM(OSRRefE21_20x_3)</f>
        <v>1100</v>
      </c>
      <c r="L186" s="1">
        <f>SUM(OSRRefE21_20x_4)</f>
        <v>1100</v>
      </c>
      <c r="M186" s="1">
        <f>SUM(OSRRefE21_20x_5)</f>
        <v>2900</v>
      </c>
      <c r="N186" s="1">
        <f>SUM(OSRRefE21_20x_6)</f>
        <v>1100</v>
      </c>
      <c r="O186" s="1">
        <f>SUM(OSRRefE21_20x_7)</f>
        <v>1300</v>
      </c>
      <c r="Q186" s="2">
        <f>SUM(OSRRefD20_20x)+IFERROR(SUM(OSRRefE20_20x),0)</f>
        <v>12449.09</v>
      </c>
    </row>
    <row r="187" spans="1:17" s="34" customFormat="1" hidden="1" outlineLevel="1" x14ac:dyDescent="0.25">
      <c r="A187" s="35"/>
      <c r="B187" s="13" t="str">
        <f>CONCATENATE("          ","6258", " - ","MEMBERSHIP DUES")</f>
        <v xml:space="preserve">          6258 - MEMBERSHIP DUES</v>
      </c>
      <c r="C187" s="15"/>
      <c r="D187" s="2">
        <v>290</v>
      </c>
      <c r="E187" s="2">
        <v>270</v>
      </c>
      <c r="F187" s="2">
        <v>73.040000000000006</v>
      </c>
      <c r="G187" s="2">
        <v>790.32</v>
      </c>
      <c r="H187" s="2">
        <v>1100</v>
      </c>
      <c r="I187" s="2">
        <v>1100</v>
      </c>
      <c r="J187" s="2">
        <v>1100</v>
      </c>
      <c r="K187" s="2">
        <v>1100</v>
      </c>
      <c r="L187" s="2">
        <v>1100</v>
      </c>
      <c r="M187" s="2">
        <v>1100</v>
      </c>
      <c r="N187" s="2">
        <v>1100</v>
      </c>
      <c r="O187" s="2">
        <v>1300</v>
      </c>
      <c r="P187" s="9"/>
      <c r="Q187" s="2">
        <f>SUM(OSRRefD21_20_0x)+IFERROR(SUM(OSRRefE21_20_0x),0)</f>
        <v>10423.36</v>
      </c>
    </row>
    <row r="188" spans="1:17" s="34" customFormat="1" hidden="1" outlineLevel="1" x14ac:dyDescent="0.25">
      <c r="A188" s="35"/>
      <c r="B188" s="13" t="str">
        <f>CONCATENATE("          ","6275", " - ","SUBSCRIPTIONS")</f>
        <v xml:space="preserve">          6275 - SUBSCRIPTIONS</v>
      </c>
      <c r="C188" s="15"/>
      <c r="D188" s="2">
        <v>75</v>
      </c>
      <c r="E188" s="2"/>
      <c r="F188" s="2">
        <v>75.73</v>
      </c>
      <c r="G188" s="2">
        <v>75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1800</v>
      </c>
      <c r="N188" s="2">
        <v>0</v>
      </c>
      <c r="O188" s="2">
        <v>0</v>
      </c>
      <c r="P188" s="9"/>
      <c r="Q188" s="2">
        <f>SUM(OSRRefD21_20_1x)+IFERROR(SUM(OSRRefE21_20_1x),0)</f>
        <v>2025.73</v>
      </c>
    </row>
    <row r="189" spans="1:17" s="34" customFormat="1" collapsed="1" x14ac:dyDescent="0.25">
      <c r="A189" s="35"/>
      <c r="B189" s="15" t="str">
        <f>CONCATENATE("     ","Supplies                                          ")</f>
        <v xml:space="preserve">     Supplies                                          </v>
      </c>
      <c r="C189" s="15"/>
      <c r="D189" s="1">
        <f>SUM(OSRRefD21_21x_0)</f>
        <v>11727.19</v>
      </c>
      <c r="E189" s="1">
        <f>SUM(OSRRefD21_21x_1)</f>
        <v>8139.619999999999</v>
      </c>
      <c r="F189" s="1">
        <f>SUM(OSRRefD21_21x_2)</f>
        <v>14576.420000000002</v>
      </c>
      <c r="G189" s="1">
        <f>SUM(OSRRefD21_21x_3)</f>
        <v>23249.799999999996</v>
      </c>
      <c r="H189" s="1">
        <f>SUM(OSRRefE21_21x_0)</f>
        <v>3510</v>
      </c>
      <c r="I189" s="1">
        <f>SUM(OSRRefE21_21x_1)</f>
        <v>6160</v>
      </c>
      <c r="J189" s="1">
        <f>SUM(OSRRefE21_21x_2)</f>
        <v>6645</v>
      </c>
      <c r="K189" s="1">
        <f>SUM(OSRRefE21_21x_3)</f>
        <v>4660</v>
      </c>
      <c r="L189" s="1">
        <f>SUM(OSRRefE21_21x_4)</f>
        <v>4020</v>
      </c>
      <c r="M189" s="1">
        <f>SUM(OSRRefE21_21x_5)</f>
        <v>3695</v>
      </c>
      <c r="N189" s="1">
        <f>SUM(OSRRefE21_21x_6)</f>
        <v>6020</v>
      </c>
      <c r="O189" s="1">
        <f>SUM(OSRRefE21_21x_7)</f>
        <v>3570</v>
      </c>
      <c r="Q189" s="2">
        <f>SUM(OSRRefD20_21x)+IFERROR(SUM(OSRRefE20_21x),0)</f>
        <v>95973.03</v>
      </c>
    </row>
    <row r="190" spans="1:17" s="34" customFormat="1" hidden="1" outlineLevel="1" x14ac:dyDescent="0.25">
      <c r="A190" s="35"/>
      <c r="B190" s="13" t="str">
        <f>CONCATENATE("          ","6234", " - ","EXPENDABLE SUPPLIES &amp; EQUIPMEN")</f>
        <v xml:space="preserve">          6234 - EXPENDABLE SUPPLIES &amp; EQUIPMEN</v>
      </c>
      <c r="C190" s="15"/>
      <c r="D190" s="2"/>
      <c r="E190" s="2"/>
      <c r="F190" s="2">
        <v>316.67</v>
      </c>
      <c r="G190" s="2">
        <v>101.34</v>
      </c>
      <c r="H190" s="2">
        <v>100</v>
      </c>
      <c r="I190" s="2">
        <v>100</v>
      </c>
      <c r="J190" s="2">
        <v>100</v>
      </c>
      <c r="K190" s="2">
        <v>100</v>
      </c>
      <c r="L190" s="2">
        <v>100</v>
      </c>
      <c r="M190" s="2">
        <v>100</v>
      </c>
      <c r="N190" s="2">
        <v>100</v>
      </c>
      <c r="O190" s="2">
        <v>100</v>
      </c>
      <c r="P190" s="9"/>
      <c r="Q190" s="2">
        <f>SUM(OSRRefD21_21_0x)+IFERROR(SUM(OSRRefE21_21_0x),0)</f>
        <v>1218.01</v>
      </c>
    </row>
    <row r="191" spans="1:17" s="34" customFormat="1" hidden="1" outlineLevel="1" x14ac:dyDescent="0.25">
      <c r="A191" s="35"/>
      <c r="B191" s="13" t="str">
        <f>CONCATENATE("          ","6235", " - ","COVID-19 EXPENSES")</f>
        <v xml:space="preserve">          6235 - COVID-19 EXPENSES</v>
      </c>
      <c r="C191" s="15"/>
      <c r="D191" s="2">
        <v>6219.38</v>
      </c>
      <c r="E191" s="2">
        <v>621.78</v>
      </c>
      <c r="F191" s="2">
        <v>2460.7800000000002</v>
      </c>
      <c r="G191" s="2">
        <v>16805.12</v>
      </c>
      <c r="H191" s="2">
        <v>300</v>
      </c>
      <c r="I191" s="2">
        <v>300</v>
      </c>
      <c r="J191" s="2">
        <v>300</v>
      </c>
      <c r="K191" s="2">
        <v>300</v>
      </c>
      <c r="L191" s="2">
        <v>300</v>
      </c>
      <c r="M191" s="2">
        <v>300</v>
      </c>
      <c r="N191" s="2">
        <v>300</v>
      </c>
      <c r="O191" s="2">
        <v>300</v>
      </c>
      <c r="P191" s="9"/>
      <c r="Q191" s="2">
        <f>SUM(OSRRefD21_21_1x)+IFERROR(SUM(OSRRefE21_21_1x),0)</f>
        <v>28507.059999999998</v>
      </c>
    </row>
    <row r="192" spans="1:17" s="34" customFormat="1" hidden="1" outlineLevel="1" x14ac:dyDescent="0.25">
      <c r="A192" s="35"/>
      <c r="B192" s="13" t="str">
        <f>CONCATENATE("          ","6237", " - ","JANITORIAL SUPPLIES")</f>
        <v xml:space="preserve">          6237 - JANITORIAL SUPPLIES</v>
      </c>
      <c r="C192" s="15"/>
      <c r="D192" s="2">
        <v>139.31</v>
      </c>
      <c r="E192" s="2"/>
      <c r="F192" s="2">
        <v>317.57</v>
      </c>
      <c r="G192" s="2">
        <v>1109.05</v>
      </c>
      <c r="H192" s="2">
        <v>210</v>
      </c>
      <c r="I192" s="2">
        <v>210</v>
      </c>
      <c r="J192" s="2">
        <v>220</v>
      </c>
      <c r="K192" s="2">
        <v>210</v>
      </c>
      <c r="L192" s="2">
        <v>220</v>
      </c>
      <c r="M192" s="2">
        <v>220</v>
      </c>
      <c r="N192" s="2">
        <v>220</v>
      </c>
      <c r="O192" s="2">
        <v>220</v>
      </c>
      <c r="P192" s="9"/>
      <c r="Q192" s="2">
        <f>SUM(OSRRefD21_21_2x)+IFERROR(SUM(OSRRefE21_21_2x),0)</f>
        <v>3295.93</v>
      </c>
    </row>
    <row r="193" spans="1:17" s="34" customFormat="1" hidden="1" outlineLevel="1" x14ac:dyDescent="0.25">
      <c r="A193" s="35"/>
      <c r="B193" s="13" t="str">
        <f>CONCATENATE("          ","6241", " - ","OFFICE EXPENSE")</f>
        <v xml:space="preserve">          6241 - OFFICE EXPENSE</v>
      </c>
      <c r="C193" s="15"/>
      <c r="D193" s="2">
        <v>430.41</v>
      </c>
      <c r="E193" s="2">
        <v>2334.83</v>
      </c>
      <c r="F193" s="2">
        <v>4845.55</v>
      </c>
      <c r="G193" s="2">
        <v>330.19</v>
      </c>
      <c r="H193" s="2">
        <v>375</v>
      </c>
      <c r="I193" s="2">
        <v>850</v>
      </c>
      <c r="J193" s="2">
        <v>575</v>
      </c>
      <c r="K193" s="2">
        <v>550</v>
      </c>
      <c r="L193" s="2">
        <v>375</v>
      </c>
      <c r="M193" s="2">
        <v>350</v>
      </c>
      <c r="N193" s="2">
        <v>375</v>
      </c>
      <c r="O193" s="2">
        <v>250</v>
      </c>
      <c r="P193" s="9"/>
      <c r="Q193" s="2">
        <f>SUM(OSRRefD21_21_3x)+IFERROR(SUM(OSRRefE21_21_3x),0)</f>
        <v>11640.98</v>
      </c>
    </row>
    <row r="194" spans="1:17" s="34" customFormat="1" hidden="1" outlineLevel="1" x14ac:dyDescent="0.25">
      <c r="A194" s="35"/>
      <c r="B194" s="13" t="str">
        <f>CONCATENATE("          ","6243", " - ","PAPER SUPPLIES")</f>
        <v xml:space="preserve">          6243 - PAPER SUPPLIES</v>
      </c>
      <c r="C194" s="15"/>
      <c r="D194" s="2">
        <v>1080</v>
      </c>
      <c r="E194" s="2">
        <v>2044.69</v>
      </c>
      <c r="F194" s="2"/>
      <c r="G194" s="2">
        <v>449.01</v>
      </c>
      <c r="H194" s="2">
        <v>100</v>
      </c>
      <c r="I194" s="2">
        <v>2000</v>
      </c>
      <c r="J194" s="2">
        <v>2000</v>
      </c>
      <c r="K194" s="2">
        <v>100</v>
      </c>
      <c r="L194" s="2">
        <v>100</v>
      </c>
      <c r="M194" s="2">
        <v>100</v>
      </c>
      <c r="N194" s="2">
        <v>2000</v>
      </c>
      <c r="O194" s="2">
        <v>100</v>
      </c>
      <c r="P194" s="9"/>
      <c r="Q194" s="2">
        <f>SUM(OSRRefD21_21_4x)+IFERROR(SUM(OSRRefE21_21_4x),0)</f>
        <v>10073.700000000001</v>
      </c>
    </row>
    <row r="195" spans="1:17" s="34" customFormat="1" hidden="1" outlineLevel="1" x14ac:dyDescent="0.25">
      <c r="A195" s="35"/>
      <c r="B195" s="13" t="str">
        <f>CONCATENATE("          ","6244", " - ","SAFETY SUPPLY EXPENSE")</f>
        <v xml:space="preserve">          6244 - SAFETY SUPPLY EXPENSE</v>
      </c>
      <c r="C195" s="15"/>
      <c r="D195" s="2"/>
      <c r="E195" s="2"/>
      <c r="F195" s="2"/>
      <c r="G195" s="2"/>
      <c r="H195" s="2">
        <v>0</v>
      </c>
      <c r="I195" s="2">
        <v>0</v>
      </c>
      <c r="J195" s="2">
        <v>25</v>
      </c>
      <c r="K195" s="2">
        <v>0</v>
      </c>
      <c r="L195" s="2">
        <v>0</v>
      </c>
      <c r="M195" s="2">
        <v>25</v>
      </c>
      <c r="N195" s="2">
        <v>0</v>
      </c>
      <c r="O195" s="2">
        <v>0</v>
      </c>
      <c r="P195" s="9"/>
      <c r="Q195" s="2">
        <f>SUM(OSRRefD21_21_5x)+IFERROR(SUM(OSRRefE21_21_5x),0)</f>
        <v>50</v>
      </c>
    </row>
    <row r="196" spans="1:17" s="34" customFormat="1" hidden="1" outlineLevel="1" x14ac:dyDescent="0.25">
      <c r="A196" s="35"/>
      <c r="B196" s="13" t="str">
        <f>CONCATENATE("          ","6245", " - ","PRINTING")</f>
        <v xml:space="preserve">          6245 - PRINTING</v>
      </c>
      <c r="C196" s="15"/>
      <c r="D196" s="2">
        <v>-1543.5</v>
      </c>
      <c r="E196" s="2">
        <v>1248</v>
      </c>
      <c r="F196" s="2">
        <v>356.96</v>
      </c>
      <c r="G196" s="2">
        <v>353.09</v>
      </c>
      <c r="H196" s="2">
        <v>125</v>
      </c>
      <c r="I196" s="2">
        <v>425</v>
      </c>
      <c r="J196" s="2">
        <v>525</v>
      </c>
      <c r="K196" s="2">
        <v>125</v>
      </c>
      <c r="L196" s="2">
        <v>125</v>
      </c>
      <c r="M196" s="2">
        <v>125</v>
      </c>
      <c r="N196" s="2">
        <v>525</v>
      </c>
      <c r="O196" s="2">
        <v>125</v>
      </c>
      <c r="P196" s="9"/>
      <c r="Q196" s="2">
        <f>SUM(OSRRefD21_21_6x)+IFERROR(SUM(OSRRefE21_21_6x),0)</f>
        <v>2514.5500000000002</v>
      </c>
    </row>
    <row r="197" spans="1:17" s="34" customFormat="1" hidden="1" outlineLevel="1" x14ac:dyDescent="0.25">
      <c r="A197" s="35"/>
      <c r="B197" s="13" t="str">
        <f>CONCATENATE("          ","6247", " - ","STORE SUPPLIES")</f>
        <v xml:space="preserve">          6247 - STORE SUPPLIES</v>
      </c>
      <c r="C197" s="15"/>
      <c r="D197" s="2">
        <v>5401.59</v>
      </c>
      <c r="E197" s="2">
        <v>1890.32</v>
      </c>
      <c r="F197" s="2">
        <v>6278.89</v>
      </c>
      <c r="G197" s="2">
        <v>4102</v>
      </c>
      <c r="H197" s="2">
        <v>1300</v>
      </c>
      <c r="I197" s="2">
        <v>1275</v>
      </c>
      <c r="J197" s="2">
        <v>1900</v>
      </c>
      <c r="K197" s="2">
        <v>2275</v>
      </c>
      <c r="L197" s="2">
        <v>1800</v>
      </c>
      <c r="M197" s="2">
        <v>1475</v>
      </c>
      <c r="N197" s="2">
        <v>1500</v>
      </c>
      <c r="O197" s="2">
        <v>1475</v>
      </c>
      <c r="P197" s="9"/>
      <c r="Q197" s="2">
        <f>SUM(OSRRefD21_21_7x)+IFERROR(SUM(OSRRefE21_21_7x),0)</f>
        <v>30672.799999999999</v>
      </c>
    </row>
    <row r="198" spans="1:17" s="34" customFormat="1" hidden="1" outlineLevel="1" x14ac:dyDescent="0.25">
      <c r="A198" s="35"/>
      <c r="B198" s="13" t="str">
        <f>CONCATENATE("          ","6248", " - ","UNIFORMS")</f>
        <v xml:space="preserve">          6248 - UNIFORMS</v>
      </c>
      <c r="C198" s="15"/>
      <c r="D198" s="2"/>
      <c r="E198" s="2"/>
      <c r="F198" s="2"/>
      <c r="G198" s="2"/>
      <c r="H198" s="2">
        <v>1000</v>
      </c>
      <c r="I198" s="2">
        <v>1000</v>
      </c>
      <c r="J198" s="2">
        <v>1000</v>
      </c>
      <c r="K198" s="2">
        <v>1000</v>
      </c>
      <c r="L198" s="2">
        <v>1000</v>
      </c>
      <c r="M198" s="2">
        <v>1000</v>
      </c>
      <c r="N198" s="2">
        <v>1000</v>
      </c>
      <c r="O198" s="2">
        <v>1000</v>
      </c>
      <c r="P198" s="9"/>
      <c r="Q198" s="2">
        <f>SUM(OSRRefD21_21_8x)+IFERROR(SUM(OSRRefE21_21_8x),0)</f>
        <v>8000</v>
      </c>
    </row>
    <row r="199" spans="1:17" s="34" customFormat="1" collapsed="1" x14ac:dyDescent="0.25">
      <c r="A199" s="35"/>
      <c r="B199" s="15" t="str">
        <f>CONCATENATE("     ","Telephone/Data Lines                              ")</f>
        <v xml:space="preserve">     Telephone/Data Lines                              </v>
      </c>
      <c r="C199" s="15"/>
      <c r="D199" s="1">
        <f>SUM(OSRRefD21_22x_0)</f>
        <v>2762.06</v>
      </c>
      <c r="E199" s="1">
        <f>SUM(OSRRefD21_22x_1)</f>
        <v>2485.56</v>
      </c>
      <c r="F199" s="1">
        <f>SUM(OSRRefD21_22x_2)</f>
        <v>5389.41</v>
      </c>
      <c r="G199" s="1">
        <f>SUM(OSRRefD21_22x_3)</f>
        <v>2000.33</v>
      </c>
      <c r="H199" s="1">
        <f>SUM(OSRRefE21_22x_0)</f>
        <v>2310</v>
      </c>
      <c r="I199" s="1">
        <f>SUM(OSRRefE21_22x_1)</f>
        <v>2610</v>
      </c>
      <c r="J199" s="1">
        <f>SUM(OSRRefE21_22x_2)</f>
        <v>2960</v>
      </c>
      <c r="K199" s="1">
        <f>SUM(OSRRefE21_22x_3)</f>
        <v>2310</v>
      </c>
      <c r="L199" s="1">
        <f>SUM(OSRRefE21_22x_4)</f>
        <v>2310</v>
      </c>
      <c r="M199" s="1">
        <f>SUM(OSRRefE21_22x_5)</f>
        <v>2460</v>
      </c>
      <c r="N199" s="1">
        <f>SUM(OSRRefE21_22x_6)</f>
        <v>2310</v>
      </c>
      <c r="O199" s="1">
        <f>SUM(OSRRefE21_22x_7)</f>
        <v>2310</v>
      </c>
      <c r="Q199" s="2">
        <f>SUM(OSRRefD20_22x)+IFERROR(SUM(OSRRefE20_22x),0)</f>
        <v>32217.360000000001</v>
      </c>
    </row>
    <row r="200" spans="1:17" s="34" customFormat="1" hidden="1" outlineLevel="1" x14ac:dyDescent="0.25">
      <c r="A200" s="35"/>
      <c r="B200" s="13" t="str">
        <f>CONCATENATE("          ","6303", " - ","DATA PHONE LINES")</f>
        <v xml:space="preserve">          6303 - DATA PHONE LINES</v>
      </c>
      <c r="C200" s="15"/>
      <c r="D200" s="2">
        <v>295</v>
      </c>
      <c r="E200" s="2"/>
      <c r="F200" s="2">
        <v>885</v>
      </c>
      <c r="G200" s="2"/>
      <c r="H200" s="2">
        <v>645</v>
      </c>
      <c r="I200" s="2">
        <v>645</v>
      </c>
      <c r="J200" s="2">
        <v>645</v>
      </c>
      <c r="K200" s="2">
        <v>645</v>
      </c>
      <c r="L200" s="2">
        <v>645</v>
      </c>
      <c r="M200" s="2">
        <v>645</v>
      </c>
      <c r="N200" s="2">
        <v>645</v>
      </c>
      <c r="O200" s="2">
        <v>645</v>
      </c>
      <c r="P200" s="9"/>
      <c r="Q200" s="2">
        <f>SUM(OSRRefD21_22_0x)+IFERROR(SUM(OSRRefE21_22_0x),0)</f>
        <v>6340</v>
      </c>
    </row>
    <row r="201" spans="1:17" s="34" customFormat="1" hidden="1" outlineLevel="1" x14ac:dyDescent="0.25">
      <c r="A201" s="35"/>
      <c r="B201" s="13" t="str">
        <f>CONCATENATE("          ","6309", " - ","TELEPHONE")</f>
        <v xml:space="preserve">          6309 - TELEPHONE</v>
      </c>
      <c r="C201" s="15"/>
      <c r="D201" s="2">
        <v>2467.06</v>
      </c>
      <c r="E201" s="2">
        <v>2485.56</v>
      </c>
      <c r="F201" s="2">
        <v>4504.41</v>
      </c>
      <c r="G201" s="2">
        <v>2000.33</v>
      </c>
      <c r="H201" s="2">
        <v>1665</v>
      </c>
      <c r="I201" s="2">
        <v>1965</v>
      </c>
      <c r="J201" s="2">
        <v>2315</v>
      </c>
      <c r="K201" s="2">
        <v>1665</v>
      </c>
      <c r="L201" s="2">
        <v>1665</v>
      </c>
      <c r="M201" s="2">
        <v>1815</v>
      </c>
      <c r="N201" s="2">
        <v>1665</v>
      </c>
      <c r="O201" s="2">
        <v>1665</v>
      </c>
      <c r="P201" s="9"/>
      <c r="Q201" s="2">
        <f>SUM(OSRRefD21_22_1x)+IFERROR(SUM(OSRRefE21_22_1x),0)</f>
        <v>25877.360000000001</v>
      </c>
    </row>
    <row r="202" spans="1:17" s="34" customFormat="1" collapsed="1" x14ac:dyDescent="0.25">
      <c r="A202" s="35"/>
      <c r="B202" s="15" t="str">
        <f>CONCATENATE("     ","Training                                          ")</f>
        <v xml:space="preserve">     Training                                          </v>
      </c>
      <c r="C202" s="15"/>
      <c r="D202" s="1">
        <f>SUM(OSRRefD21_23x_0)</f>
        <v>131.63</v>
      </c>
      <c r="E202" s="1">
        <f>SUM(OSRRefD21_23x_1)</f>
        <v>0</v>
      </c>
      <c r="F202" s="1">
        <f>SUM(OSRRefD21_23x_2)</f>
        <v>0</v>
      </c>
      <c r="G202" s="1">
        <f>SUM(OSRRefD21_23x_3)</f>
        <v>14</v>
      </c>
      <c r="H202" s="1">
        <f>SUM(OSRRefE21_23x_0)</f>
        <v>750</v>
      </c>
      <c r="I202" s="1">
        <f>SUM(OSRRefE21_23x_1)</f>
        <v>0</v>
      </c>
      <c r="J202" s="1">
        <f>SUM(OSRRefE21_23x_2)</f>
        <v>120</v>
      </c>
      <c r="K202" s="1">
        <f>SUM(OSRRefE21_23x_3)</f>
        <v>5000</v>
      </c>
      <c r="L202" s="1">
        <f>SUM(OSRRefE21_23x_4)</f>
        <v>0</v>
      </c>
      <c r="M202" s="1">
        <f>SUM(OSRRefE21_23x_5)</f>
        <v>0</v>
      </c>
      <c r="N202" s="1">
        <f>SUM(OSRRefE21_23x_6)</f>
        <v>0</v>
      </c>
      <c r="O202" s="1">
        <f>SUM(OSRRefE21_23x_7)</f>
        <v>0</v>
      </c>
      <c r="Q202" s="2">
        <f>SUM(OSRRefD20_23x)+IFERROR(SUM(OSRRefE20_23x),0)</f>
        <v>6015.63</v>
      </c>
    </row>
    <row r="203" spans="1:17" s="34" customFormat="1" hidden="1" outlineLevel="1" x14ac:dyDescent="0.25">
      <c r="A203" s="35"/>
      <c r="B203" s="13" t="str">
        <f>CONCATENATE("          ","6376", " - ","TRAINING")</f>
        <v xml:space="preserve">          6376 - TRAINING</v>
      </c>
      <c r="C203" s="15"/>
      <c r="D203" s="2">
        <v>131.63</v>
      </c>
      <c r="E203" s="2"/>
      <c r="F203" s="2"/>
      <c r="G203" s="2">
        <v>14</v>
      </c>
      <c r="H203" s="2">
        <v>750</v>
      </c>
      <c r="I203" s="2">
        <v>0</v>
      </c>
      <c r="J203" s="2">
        <v>120</v>
      </c>
      <c r="K203" s="2">
        <v>5000</v>
      </c>
      <c r="L203" s="2">
        <v>0</v>
      </c>
      <c r="M203" s="2">
        <v>0</v>
      </c>
      <c r="N203" s="2">
        <v>0</v>
      </c>
      <c r="O203" s="2">
        <v>0</v>
      </c>
      <c r="P203" s="9"/>
      <c r="Q203" s="2">
        <f>SUM(OSRRefD21_23_0x)+IFERROR(SUM(OSRRefE21_23_0x),0)</f>
        <v>6015.63</v>
      </c>
    </row>
    <row r="204" spans="1:17" s="34" customFormat="1" collapsed="1" x14ac:dyDescent="0.25">
      <c r="A204" s="35"/>
      <c r="B204" s="15" t="str">
        <f>CONCATENATE("     ","Travel                                            ")</f>
        <v xml:space="preserve">     Travel                                            </v>
      </c>
      <c r="C204" s="15"/>
      <c r="D204" s="1">
        <f>SUM(OSRRefD21_24x_0)</f>
        <v>275.20999999999998</v>
      </c>
      <c r="E204" s="1">
        <f>SUM(OSRRefD21_24x_1)</f>
        <v>25.76</v>
      </c>
      <c r="F204" s="1">
        <f>SUM(OSRRefD21_24x_2)</f>
        <v>0</v>
      </c>
      <c r="G204" s="1">
        <f>SUM(OSRRefD21_24x_3)</f>
        <v>80.959999999999994</v>
      </c>
      <c r="H204" s="1">
        <f>SUM(OSRRefE21_24x_0)</f>
        <v>25</v>
      </c>
      <c r="I204" s="1">
        <f>SUM(OSRRefE21_24x_1)</f>
        <v>25</v>
      </c>
      <c r="J204" s="1">
        <f>SUM(OSRRefE21_24x_2)</f>
        <v>25</v>
      </c>
      <c r="K204" s="1">
        <f>SUM(OSRRefE21_24x_3)</f>
        <v>25</v>
      </c>
      <c r="L204" s="1">
        <f>SUM(OSRRefE21_24x_4)</f>
        <v>25</v>
      </c>
      <c r="M204" s="1">
        <f>SUM(OSRRefE21_24x_5)</f>
        <v>25</v>
      </c>
      <c r="N204" s="1">
        <f>SUM(OSRRefE21_24x_6)</f>
        <v>25</v>
      </c>
      <c r="O204" s="1">
        <f>SUM(OSRRefE21_24x_7)</f>
        <v>25</v>
      </c>
      <c r="Q204" s="2">
        <f>SUM(OSRRefD20_24x)+IFERROR(SUM(OSRRefE20_24x),0)</f>
        <v>581.92999999999995</v>
      </c>
    </row>
    <row r="205" spans="1:17" s="34" customFormat="1" hidden="1" outlineLevel="1" x14ac:dyDescent="0.25">
      <c r="A205" s="35"/>
      <c r="B205" s="13" t="str">
        <f>CONCATENATE("          ","6292", " - ","TRAVEL/CONFERENCE")</f>
        <v xml:space="preserve">          6292 - TRAVEL/CONFERENCE</v>
      </c>
      <c r="C205" s="15"/>
      <c r="D205" s="2">
        <v>0.16</v>
      </c>
      <c r="E205" s="2"/>
      <c r="F205" s="2"/>
      <c r="G205" s="2"/>
      <c r="H205" s="2">
        <v>0</v>
      </c>
      <c r="I205" s="2"/>
      <c r="J205" s="2"/>
      <c r="K205" s="2"/>
      <c r="L205" s="2"/>
      <c r="M205" s="2"/>
      <c r="N205" s="2"/>
      <c r="O205" s="2"/>
      <c r="P205" s="9"/>
      <c r="Q205" s="2">
        <f>SUM(OSRRefD21_24_0x)+IFERROR(SUM(OSRRefE21_24_0x),0)</f>
        <v>0.16</v>
      </c>
    </row>
    <row r="206" spans="1:17" s="34" customFormat="1" hidden="1" outlineLevel="1" x14ac:dyDescent="0.25">
      <c r="A206" s="35"/>
      <c r="B206" s="13" t="str">
        <f>CONCATENATE("          ","6294", " - ","TRAVEL OPERATIONAL")</f>
        <v xml:space="preserve">          6294 - TRAVEL OPERATIONAL</v>
      </c>
      <c r="C206" s="15"/>
      <c r="D206" s="2">
        <v>215.16</v>
      </c>
      <c r="E206" s="2">
        <v>25.76</v>
      </c>
      <c r="F206" s="2"/>
      <c r="G206" s="2">
        <v>80.959999999999994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9"/>
      <c r="Q206" s="2">
        <f>SUM(OSRRefD21_24_1x)+IFERROR(SUM(OSRRefE21_24_1x),0)</f>
        <v>321.88</v>
      </c>
    </row>
    <row r="207" spans="1:17" s="34" customFormat="1" hidden="1" outlineLevel="1" x14ac:dyDescent="0.25">
      <c r="A207" s="35"/>
      <c r="B207" s="13" t="str">
        <f>CONCATENATE("          ","6298", " - ","VEHICLE MILEAGE")</f>
        <v xml:space="preserve">          6298 - VEHICLE MILEAGE</v>
      </c>
      <c r="C207" s="15"/>
      <c r="D207" s="2">
        <v>59.89</v>
      </c>
      <c r="E207" s="2"/>
      <c r="F207" s="2"/>
      <c r="G207" s="2"/>
      <c r="H207" s="2">
        <v>25</v>
      </c>
      <c r="I207" s="2">
        <v>25</v>
      </c>
      <c r="J207" s="2">
        <v>25</v>
      </c>
      <c r="K207" s="2">
        <v>25</v>
      </c>
      <c r="L207" s="2">
        <v>25</v>
      </c>
      <c r="M207" s="2">
        <v>25</v>
      </c>
      <c r="N207" s="2">
        <v>25</v>
      </c>
      <c r="O207" s="2">
        <v>25</v>
      </c>
      <c r="P207" s="9"/>
      <c r="Q207" s="2">
        <f>SUM(OSRRefD21_24_2x)+IFERROR(SUM(OSRRefE21_24_2x),0)</f>
        <v>259.89</v>
      </c>
    </row>
    <row r="208" spans="1:17" s="34" customFormat="1" collapsed="1" x14ac:dyDescent="0.25">
      <c r="A208" s="35"/>
      <c r="B208" s="15" t="str">
        <f>CONCATENATE("     ","Utilities                                         ")</f>
        <v xml:space="preserve">     Utilities                                         </v>
      </c>
      <c r="C208" s="15"/>
      <c r="D208" s="1">
        <f>SUM(OSRRefD21_25x_0)</f>
        <v>6211.46</v>
      </c>
      <c r="E208" s="1">
        <f>SUM(OSRRefD21_25x_1)</f>
        <v>6209.91</v>
      </c>
      <c r="F208" s="1">
        <f>SUM(OSRRefD21_25x_2)</f>
        <v>6211.01</v>
      </c>
      <c r="G208" s="1">
        <f>SUM(OSRRefD21_25x_3)</f>
        <v>7089.05</v>
      </c>
      <c r="H208" s="1">
        <f>SUM(OSRRefE21_25x_0)</f>
        <v>6926</v>
      </c>
      <c r="I208" s="1">
        <f>SUM(OSRRefE21_25x_1)</f>
        <v>8207</v>
      </c>
      <c r="J208" s="1">
        <f>SUM(OSRRefE21_25x_2)</f>
        <v>7153</v>
      </c>
      <c r="K208" s="1">
        <f>SUM(OSRRefE21_25x_3)</f>
        <v>9650</v>
      </c>
      <c r="L208" s="1">
        <f>SUM(OSRRefE21_25x_4)</f>
        <v>7000</v>
      </c>
      <c r="M208" s="1">
        <f>SUM(OSRRefE21_25x_5)</f>
        <v>6955</v>
      </c>
      <c r="N208" s="1">
        <f>SUM(OSRRefE21_25x_6)</f>
        <v>6955</v>
      </c>
      <c r="O208" s="1">
        <f>SUM(OSRRefE21_25x_7)</f>
        <v>6955</v>
      </c>
      <c r="Q208" s="2">
        <f>SUM(OSRRefD20_25x)+IFERROR(SUM(OSRRefE20_25x),0)</f>
        <v>85522.43</v>
      </c>
    </row>
    <row r="209" spans="1:17" s="34" customFormat="1" hidden="1" outlineLevel="1" x14ac:dyDescent="0.25">
      <c r="A209" s="35"/>
      <c r="B209" s="13" t="str">
        <f>CONCATENATE("          ","6274", " - ","UTILITIES")</f>
        <v xml:space="preserve">          6274 - UTILITIES</v>
      </c>
      <c r="C209" s="15"/>
      <c r="D209" s="2">
        <v>6211.46</v>
      </c>
      <c r="E209" s="2">
        <v>6209.91</v>
      </c>
      <c r="F209" s="2">
        <v>6211.01</v>
      </c>
      <c r="G209" s="2">
        <v>7089.05</v>
      </c>
      <c r="H209" s="2">
        <v>6926</v>
      </c>
      <c r="I209" s="2">
        <v>8207</v>
      </c>
      <c r="J209" s="2">
        <v>7153</v>
      </c>
      <c r="K209" s="2">
        <v>9650</v>
      </c>
      <c r="L209" s="2">
        <v>7000</v>
      </c>
      <c r="M209" s="2">
        <v>6955</v>
      </c>
      <c r="N209" s="2">
        <v>6955</v>
      </c>
      <c r="O209" s="2">
        <v>6955</v>
      </c>
      <c r="P209" s="9"/>
      <c r="Q209" s="2">
        <f>SUM(OSRRefD21_25_0x)+IFERROR(SUM(OSRRefE21_25_0x),0)</f>
        <v>85522.43</v>
      </c>
    </row>
    <row r="210" spans="1:17" s="28" customFormat="1" x14ac:dyDescent="0.25">
      <c r="A210" s="20"/>
      <c r="B210" s="20"/>
      <c r="C210" s="20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Q210" s="1"/>
    </row>
    <row r="211" spans="1:17" s="9" customFormat="1" x14ac:dyDescent="0.25">
      <c r="A211" s="22"/>
      <c r="B211" s="16" t="s">
        <v>0</v>
      </c>
      <c r="C211" s="23"/>
      <c r="D211" s="3">
        <f>--197872.55</f>
        <v>197872.55</v>
      </c>
      <c r="E211" s="3">
        <f>--56868.1</f>
        <v>56868.1</v>
      </c>
      <c r="F211" s="3">
        <f>--166664.99</f>
        <v>166664.99</v>
      </c>
      <c r="G211" s="3">
        <f>--30589.78</f>
        <v>30589.78</v>
      </c>
      <c r="H211" s="3">
        <v>32525</v>
      </c>
      <c r="I211" s="3">
        <v>208595</v>
      </c>
      <c r="J211" s="3">
        <v>38725</v>
      </c>
      <c r="K211" s="3">
        <v>124905.99999999999</v>
      </c>
      <c r="L211" s="3">
        <v>207545</v>
      </c>
      <c r="M211" s="3">
        <v>33825</v>
      </c>
      <c r="N211" s="3">
        <v>36525</v>
      </c>
      <c r="O211" s="3">
        <v>250345</v>
      </c>
      <c r="Q211" s="2">
        <f>SUM(OSRRefD23_0x)+IFERROR(SUM(OSRRefE23_0x),0)</f>
        <v>1384986.42</v>
      </c>
    </row>
    <row r="212" spans="1:17" x14ac:dyDescent="0.25">
      <c r="A212" s="5"/>
      <c r="B212" s="8"/>
      <c r="C212" s="8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Q212" s="3"/>
    </row>
    <row r="213" spans="1:17" s="14" customFormat="1" x14ac:dyDescent="0.25">
      <c r="A213" s="8"/>
      <c r="B213" s="17" t="s">
        <v>3</v>
      </c>
      <c r="C213" s="17"/>
      <c r="D213" s="6">
        <f t="shared" ref="D213:O213" si="17">IFERROR(+D110-D113+D211, 0)</f>
        <v>-69504.480000000156</v>
      </c>
      <c r="E213" s="6">
        <f t="shared" si="17"/>
        <v>321534.36000000034</v>
      </c>
      <c r="F213" s="6">
        <f t="shared" si="17"/>
        <v>14391.640000000043</v>
      </c>
      <c r="G213" s="6">
        <f t="shared" si="17"/>
        <v>-256177.74999999997</v>
      </c>
      <c r="H213" s="6">
        <f t="shared" si="17"/>
        <v>-133496.3311788846</v>
      </c>
      <c r="I213" s="6">
        <f t="shared" si="17"/>
        <v>23696.956819146173</v>
      </c>
      <c r="J213" s="6">
        <f t="shared" si="17"/>
        <v>-33564.168255404918</v>
      </c>
      <c r="K213" s="6">
        <f t="shared" si="17"/>
        <v>-61100.281575273882</v>
      </c>
      <c r="L213" s="6">
        <f t="shared" si="17"/>
        <v>27043.230132726138</v>
      </c>
      <c r="M213" s="6">
        <f t="shared" si="17"/>
        <v>-206350.2891964048</v>
      </c>
      <c r="N213" s="6">
        <f t="shared" si="17"/>
        <v>-124744.00291677384</v>
      </c>
      <c r="O213" s="6">
        <f t="shared" si="17"/>
        <v>64026.787824501167</v>
      </c>
      <c r="Q213" s="6">
        <f>IFERROR(+Q110-Q113+Q211, 0)</f>
        <v>-434244.32834637305</v>
      </c>
    </row>
    <row r="214" spans="1:17" s="8" customFormat="1" x14ac:dyDescent="0.25">
      <c r="B214" s="16"/>
      <c r="C214" s="16"/>
      <c r="D214" s="4">
        <f t="shared" ref="D214:O214" si="18">IFERROR(D213/D10, 0)</f>
        <v>-0.30528975950647347</v>
      </c>
      <c r="E214" s="4">
        <f t="shared" si="18"/>
        <v>0.20122142936795873</v>
      </c>
      <c r="F214" s="4">
        <f t="shared" si="18"/>
        <v>3.8801173360441026E-2</v>
      </c>
      <c r="G214" s="4">
        <f t="shared" si="18"/>
        <v>-1.6000206234464098</v>
      </c>
      <c r="H214" s="4">
        <f t="shared" si="18"/>
        <v>-0.43852075879277863</v>
      </c>
      <c r="I214" s="4">
        <f t="shared" si="18"/>
        <v>7.5525501318347954E-2</v>
      </c>
      <c r="J214" s="4">
        <f t="shared" si="18"/>
        <v>-2.9361447062623374E-2</v>
      </c>
      <c r="K214" s="4">
        <f t="shared" si="18"/>
        <v>-0.15465031238782243</v>
      </c>
      <c r="L214" s="4">
        <f t="shared" si="18"/>
        <v>9.5919986368241714E-2</v>
      </c>
      <c r="M214" s="4">
        <f t="shared" si="18"/>
        <v>-0.76298713090583403</v>
      </c>
      <c r="N214" s="4">
        <f t="shared" si="18"/>
        <v>-0.32666888799124155</v>
      </c>
      <c r="O214" s="4">
        <f t="shared" si="18"/>
        <v>0.20916343113349911</v>
      </c>
      <c r="P214" s="18"/>
      <c r="Q214" s="4">
        <f>IFERROR(Q213/Q10, 0)</f>
        <v>-7.5476548700956311E-2</v>
      </c>
    </row>
    <row r="215" spans="1:17" x14ac:dyDescent="0.25">
      <c r="A215" s="5"/>
      <c r="B215" s="8"/>
      <c r="C215" s="5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Q215" s="3"/>
    </row>
    <row r="216" spans="1:17" s="14" customFormat="1" x14ac:dyDescent="0.25">
      <c r="A216" s="25"/>
      <c r="B216" s="8" t="s">
        <v>8</v>
      </c>
      <c r="C216" s="8"/>
      <c r="D216" s="3">
        <v>114653.25</v>
      </c>
      <c r="E216" s="3">
        <v>193571.74</v>
      </c>
      <c r="F216" s="3">
        <v>98685.319999999992</v>
      </c>
      <c r="G216" s="3">
        <v>103579.3</v>
      </c>
      <c r="H216" s="3">
        <v>129430.00000000001</v>
      </c>
      <c r="I216" s="3">
        <v>130368</v>
      </c>
      <c r="J216" s="3">
        <v>266213</v>
      </c>
      <c r="K216" s="3">
        <v>122192</v>
      </c>
      <c r="L216" s="3">
        <v>128073.99999999999</v>
      </c>
      <c r="M216" s="3">
        <v>135162</v>
      </c>
      <c r="N216" s="3">
        <v>145435</v>
      </c>
      <c r="O216" s="3">
        <v>-82763</v>
      </c>
      <c r="Q216" s="2">
        <f>SUM(OSRRefD28_0x)+IFERROR(SUM(OSRRefE28_0x),0)</f>
        <v>1484600.6099999999</v>
      </c>
    </row>
    <row r="217" spans="1:17" x14ac:dyDescent="0.25">
      <c r="A217" s="5"/>
      <c r="B217" s="8"/>
      <c r="C217" s="8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Q217" s="3"/>
    </row>
    <row r="218" spans="1:17" s="14" customFormat="1" ht="15.75" thickBot="1" x14ac:dyDescent="0.3">
      <c r="A218" s="8"/>
      <c r="B218" s="17" t="s">
        <v>4</v>
      </c>
      <c r="C218" s="17"/>
      <c r="D218" s="7">
        <f t="shared" ref="D218:O218" si="19">IFERROR(+D213-D216, 0)</f>
        <v>-184157.73000000016</v>
      </c>
      <c r="E218" s="7">
        <f t="shared" si="19"/>
        <v>127962.62000000034</v>
      </c>
      <c r="F218" s="7">
        <f t="shared" si="19"/>
        <v>-84293.679999999949</v>
      </c>
      <c r="G218" s="7">
        <f t="shared" si="19"/>
        <v>-359757.05</v>
      </c>
      <c r="H218" s="7">
        <f t="shared" si="19"/>
        <v>-262926.3311788846</v>
      </c>
      <c r="I218" s="7">
        <f t="shared" si="19"/>
        <v>-106671.04318085383</v>
      </c>
      <c r="J218" s="7">
        <f t="shared" si="19"/>
        <v>-299777.16825540492</v>
      </c>
      <c r="K218" s="7">
        <f t="shared" si="19"/>
        <v>-183292.2815752739</v>
      </c>
      <c r="L218" s="7">
        <f t="shared" si="19"/>
        <v>-101030.76986727385</v>
      </c>
      <c r="M218" s="7">
        <f t="shared" si="19"/>
        <v>-341512.2891964048</v>
      </c>
      <c r="N218" s="7">
        <f t="shared" si="19"/>
        <v>-270179.00291677384</v>
      </c>
      <c r="O218" s="7">
        <f t="shared" si="19"/>
        <v>146789.78782450117</v>
      </c>
      <c r="Q218" s="7">
        <f>IFERROR(+Q213-Q216, 0)</f>
        <v>-1918844.9383463729</v>
      </c>
    </row>
    <row r="219" spans="1:17" ht="15.75" thickTop="1" x14ac:dyDescent="0.25">
      <c r="A219" s="5"/>
      <c r="B219" s="5"/>
      <c r="C219" s="5"/>
      <c r="D219" s="4">
        <f t="shared" ref="D219:O219" si="20">IFERROR(D218/D10, 0)</f>
        <v>-0.80888986009186747</v>
      </c>
      <c r="E219" s="4">
        <f t="shared" si="20"/>
        <v>8.0081087763276645E-2</v>
      </c>
      <c r="F219" s="4">
        <f t="shared" si="20"/>
        <v>-0.22726344536616597</v>
      </c>
      <c r="G219" s="4">
        <f t="shared" si="20"/>
        <v>-2.2469504062325525</v>
      </c>
      <c r="H219" s="4">
        <f t="shared" si="20"/>
        <v>-0.86368406709744028</v>
      </c>
      <c r="I219" s="4">
        <f t="shared" si="20"/>
        <v>-0.33997546916555538</v>
      </c>
      <c r="J219" s="4">
        <f t="shared" si="20"/>
        <v>-0.26224071424432877</v>
      </c>
      <c r="K219" s="4">
        <f t="shared" si="20"/>
        <v>-0.4639292630586499</v>
      </c>
      <c r="L219" s="4">
        <f t="shared" si="20"/>
        <v>-0.35834735794798966</v>
      </c>
      <c r="M219" s="4">
        <f t="shared" si="20"/>
        <v>-1.2627531694663028</v>
      </c>
      <c r="N219" s="4">
        <f t="shared" si="20"/>
        <v>-0.70752158322423908</v>
      </c>
      <c r="O219" s="4">
        <f t="shared" si="20"/>
        <v>0.47953453109171656</v>
      </c>
      <c r="P219" s="18"/>
      <c r="Q219" s="4">
        <f>IFERROR(Q218/Q10, 0)</f>
        <v>-0.33351683369175128</v>
      </c>
    </row>
    <row r="220" spans="1:17" x14ac:dyDescent="0.25">
      <c r="A220" s="5"/>
      <c r="B220" s="5"/>
      <c r="C220" s="5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Q220" s="3"/>
    </row>
    <row r="221" spans="1:17" x14ac:dyDescent="0.25">
      <c r="A221" s="5"/>
      <c r="B221" s="5"/>
      <c r="C221" s="5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Q221" s="3"/>
    </row>
    <row r="222" spans="1:17" s="14" customFormat="1" ht="15.75" thickBot="1" x14ac:dyDescent="0.3">
      <c r="A222" s="8"/>
      <c r="B222" s="17" t="s">
        <v>5</v>
      </c>
      <c r="C222" s="17"/>
      <c r="D222" s="7">
        <f t="shared" ref="D222:O222" si="21">IFERROR(SUM(D218:D221), 0)</f>
        <v>-184158.53888986024</v>
      </c>
      <c r="E222" s="7">
        <f t="shared" si="21"/>
        <v>127962.70008108811</v>
      </c>
      <c r="F222" s="7">
        <f t="shared" si="21"/>
        <v>-84293.907263445319</v>
      </c>
      <c r="G222" s="7">
        <f t="shared" si="21"/>
        <v>-359759.29695040622</v>
      </c>
      <c r="H222" s="7">
        <f t="shared" si="21"/>
        <v>-262927.1948629517</v>
      </c>
      <c r="I222" s="7">
        <f t="shared" si="21"/>
        <v>-106671.38315632299</v>
      </c>
      <c r="J222" s="7">
        <f t="shared" si="21"/>
        <v>-299777.43049611914</v>
      </c>
      <c r="K222" s="7">
        <f t="shared" si="21"/>
        <v>-183292.74550453696</v>
      </c>
      <c r="L222" s="7">
        <f t="shared" si="21"/>
        <v>-101031.1282146318</v>
      </c>
      <c r="M222" s="7">
        <f t="shared" si="21"/>
        <v>-341513.55194957426</v>
      </c>
      <c r="N222" s="7">
        <f t="shared" si="21"/>
        <v>-270179.71043835708</v>
      </c>
      <c r="O222" s="7">
        <f t="shared" si="21"/>
        <v>146790.26735903227</v>
      </c>
      <c r="Q222" s="7">
        <f>IFERROR(SUM(Q218:Q221), 0)</f>
        <v>-1918845.2718632065</v>
      </c>
    </row>
    <row r="223" spans="1:17" ht="15.75" thickTop="1" x14ac:dyDescent="0.25">
      <c r="A223" s="5"/>
      <c r="C223" s="5"/>
      <c r="D223" s="4">
        <f t="shared" ref="D223:O223" si="22">IFERROR(D222/D10, 0)</f>
        <v>-0.80889341303968965</v>
      </c>
      <c r="E223" s="4">
        <f t="shared" si="22"/>
        <v>8.0081137879323167E-2</v>
      </c>
      <c r="F223" s="4">
        <f t="shared" si="22"/>
        <v>-0.22726405808913167</v>
      </c>
      <c r="G223" s="4">
        <f t="shared" si="22"/>
        <v>-2.2469644401093816</v>
      </c>
      <c r="H223" s="4">
        <f t="shared" si="22"/>
        <v>-0.86368690420456617</v>
      </c>
      <c r="I223" s="4">
        <f t="shared" si="22"/>
        <v>-0.33997655271471916</v>
      </c>
      <c r="J223" s="4">
        <f t="shared" si="22"/>
        <v>-0.26224094364869799</v>
      </c>
      <c r="K223" s="4">
        <f t="shared" si="22"/>
        <v>-0.46393043730537359</v>
      </c>
      <c r="L223" s="4">
        <f t="shared" si="22"/>
        <v>-0.35834862897491659</v>
      </c>
      <c r="M223" s="4">
        <f t="shared" si="22"/>
        <v>-1.2627578385385951</v>
      </c>
      <c r="N223" s="4">
        <f t="shared" si="22"/>
        <v>-0.70752343602103429</v>
      </c>
      <c r="O223" s="4">
        <f t="shared" si="22"/>
        <v>0.4795360976405203</v>
      </c>
      <c r="P223" s="18"/>
      <c r="Q223" s="4">
        <f>IFERROR(Q222/Q10, 0)</f>
        <v>-0.3335168916607284</v>
      </c>
    </row>
    <row r="224" spans="1:17" x14ac:dyDescent="0.25">
      <c r="A224" s="5"/>
      <c r="B224" s="26">
        <v>44151.564546678244</v>
      </c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Q224" s="12"/>
    </row>
    <row r="225" spans="1:17" x14ac:dyDescent="0.25">
      <c r="A225" s="5"/>
      <c r="B225" s="30" t="s">
        <v>311</v>
      </c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Q225" s="12"/>
    </row>
    <row r="226" spans="1:17" x14ac:dyDescent="0.25">
      <c r="A226" s="5"/>
      <c r="B226" s="31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Q226" s="12"/>
    </row>
    <row r="227" spans="1:17" x14ac:dyDescent="0.25"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Q22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22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">
        <v>297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227667.24999999994</v>
      </c>
      <c r="E10" s="3">
        <f>SUM(OSRRefD11x_1)</f>
        <v>1597089.1100000003</v>
      </c>
      <c r="F10" s="3">
        <f>SUM(OSRRefD11x_2)</f>
        <v>369144.87</v>
      </c>
      <c r="G10" s="3">
        <f>SUM(OSRRefD11x_3)</f>
        <v>160109.03000000003</v>
      </c>
      <c r="H10" s="3">
        <f>SUM(OSRRefE11x_0)</f>
        <v>304115.20000000001</v>
      </c>
      <c r="I10" s="3">
        <f>SUM(OSRRefE11x_1)</f>
        <v>313215</v>
      </c>
      <c r="J10" s="3">
        <f>SUM(OSRRefE11x_2)</f>
        <v>1142779.3999999999</v>
      </c>
      <c r="K10" s="3">
        <f>SUM(OSRRefE11x_3)</f>
        <v>394658.7</v>
      </c>
      <c r="L10" s="3">
        <f>SUM(OSRRefE11x_4)</f>
        <v>281092.3</v>
      </c>
      <c r="M10" s="3">
        <f>SUM(OSRRefE11x_5)</f>
        <v>269912.55</v>
      </c>
      <c r="N10" s="3">
        <f>SUM(OSRRefE11x_6)</f>
        <v>381135.8</v>
      </c>
      <c r="O10" s="3">
        <f>SUM(OSRRefE11x_7)</f>
        <v>305957.90000000002</v>
      </c>
      <c r="P10" s="24"/>
      <c r="Q10" s="3">
        <f>SUM(OSRRefG11x)</f>
        <v>5746877.1099999985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-10723.46</f>
        <v>-10723.46</v>
      </c>
      <c r="E11" s="2">
        <f>-17230.39</f>
        <v>-17230.39</v>
      </c>
      <c r="F11" s="2">
        <f>-8123.23</f>
        <v>-8123.23</v>
      </c>
      <c r="G11" s="2">
        <f>-11383.24</f>
        <v>-11383.24</v>
      </c>
      <c r="H11" s="2">
        <v>303915.2</v>
      </c>
      <c r="I11" s="2">
        <v>313015</v>
      </c>
      <c r="J11" s="2">
        <v>1142579.3999999999</v>
      </c>
      <c r="K11" s="2">
        <v>394458.7</v>
      </c>
      <c r="L11" s="2">
        <v>280892.3</v>
      </c>
      <c r="M11" s="2">
        <v>269712.55</v>
      </c>
      <c r="N11" s="2">
        <v>380935.8</v>
      </c>
      <c r="O11" s="2">
        <v>305757.90000000002</v>
      </c>
      <c r="Q11" s="2">
        <f>SUM(OSRRefD11_0x)+IFERROR(SUM(OSRRefE11_0x),0)</f>
        <v>3343806.5299999993</v>
      </c>
    </row>
    <row r="12" spans="1:18" s="9" customFormat="1" hidden="1" outlineLevel="1" x14ac:dyDescent="0.2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712327.57</v>
      </c>
    </row>
    <row r="13" spans="1:18" s="9" customFormat="1" hidden="1" outlineLevel="1" x14ac:dyDescent="0.2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319139.52</v>
      </c>
    </row>
    <row r="14" spans="1:18" s="9" customFormat="1" hidden="1" outlineLevel="1" x14ac:dyDescent="0.2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10665.630000000001</v>
      </c>
    </row>
    <row r="15" spans="1:18" s="9" customFormat="1" hidden="1" outlineLevel="1" x14ac:dyDescent="0.2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2459.56</v>
      </c>
    </row>
    <row r="16" spans="1:18" s="9" customFormat="1" hidden="1" outlineLevel="1" x14ac:dyDescent="0.2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197.37</v>
      </c>
    </row>
    <row r="17" spans="1:17" s="9" customFormat="1" hidden="1" outlineLevel="1" x14ac:dyDescent="0.2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/>
      <c r="I17" s="2"/>
      <c r="J17" s="2"/>
      <c r="K17" s="2"/>
      <c r="L17" s="2"/>
      <c r="M17" s="2"/>
      <c r="N17" s="2"/>
      <c r="O17" s="2"/>
      <c r="Q17" s="2">
        <f>SUM(OSRRefD11_6x)+IFERROR(SUM(OSRRefE11_6x),0)</f>
        <v>340.24</v>
      </c>
    </row>
    <row r="18" spans="1:17" s="9" customFormat="1" hidden="1" outlineLevel="1" x14ac:dyDescent="0.2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/>
      <c r="I18" s="2"/>
      <c r="J18" s="2"/>
      <c r="K18" s="2"/>
      <c r="L18" s="2"/>
      <c r="M18" s="2"/>
      <c r="N18" s="2"/>
      <c r="O18" s="2"/>
      <c r="Q18" s="2">
        <f>SUM(OSRRefD11_7x)+IFERROR(SUM(OSRRefE11_7x),0)</f>
        <v>183.89000000000001</v>
      </c>
    </row>
    <row r="19" spans="1:17" s="9" customFormat="1" hidden="1" outlineLevel="1" x14ac:dyDescent="0.25">
      <c r="A19" s="22"/>
      <c r="B19" s="13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/>
      <c r="I19" s="2"/>
      <c r="J19" s="2"/>
      <c r="K19" s="2"/>
      <c r="L19" s="2"/>
      <c r="M19" s="2"/>
      <c r="N19" s="2"/>
      <c r="O19" s="2"/>
      <c r="Q19" s="2">
        <f>SUM(OSRRefD11_8x)+IFERROR(SUM(OSRRefE11_8x),0)</f>
        <v>278.83</v>
      </c>
    </row>
    <row r="20" spans="1:17" s="9" customFormat="1" hidden="1" outlineLevel="1" x14ac:dyDescent="0.25">
      <c r="A20" s="22"/>
      <c r="B20" s="13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/>
      <c r="I20" s="2"/>
      <c r="J20" s="2"/>
      <c r="K20" s="2"/>
      <c r="L20" s="2"/>
      <c r="M20" s="2"/>
      <c r="N20" s="2"/>
      <c r="O20" s="2"/>
      <c r="Q20" s="2">
        <f>SUM(OSRRefD11_9x)+IFERROR(SUM(OSRRefE11_9x),0)</f>
        <v>35003.5</v>
      </c>
    </row>
    <row r="21" spans="1:17" s="9" customFormat="1" hidden="1" outlineLevel="1" x14ac:dyDescent="0.25">
      <c r="A21" s="22"/>
      <c r="B21" s="13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/>
      <c r="I21" s="2"/>
      <c r="J21" s="2"/>
      <c r="K21" s="2"/>
      <c r="L21" s="2"/>
      <c r="M21" s="2"/>
      <c r="N21" s="2"/>
      <c r="O21" s="2"/>
      <c r="Q21" s="2">
        <f>SUM(OSRRefD11_10x)+IFERROR(SUM(OSRRefE11_10x),0)</f>
        <v>14268.850000000002</v>
      </c>
    </row>
    <row r="22" spans="1:17" s="9" customFormat="1" hidden="1" outlineLevel="1" x14ac:dyDescent="0.25">
      <c r="A22" s="22"/>
      <c r="B22" s="13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/>
      <c r="I22" s="2"/>
      <c r="J22" s="2"/>
      <c r="K22" s="2"/>
      <c r="L22" s="2"/>
      <c r="M22" s="2"/>
      <c r="N22" s="2"/>
      <c r="O22" s="2"/>
      <c r="Q22" s="2">
        <f>SUM(OSRRefD11_11x)+IFERROR(SUM(OSRRefE11_11x),0)</f>
        <v>1667.9599999999998</v>
      </c>
    </row>
    <row r="23" spans="1:17" s="9" customFormat="1" hidden="1" outlineLevel="1" x14ac:dyDescent="0.25">
      <c r="A23" s="22"/>
      <c r="B23" s="13" t="str">
        <f>CONCATENATE("          ","4034", " - ","TAXABLE SALES-SODA")</f>
        <v xml:space="preserve">          4034 - TAXABLE SALES-SODA</v>
      </c>
      <c r="C23" s="23"/>
      <c r="D23" s="2">
        <f>--6.78</f>
        <v>6.78</v>
      </c>
      <c r="E23" s="2">
        <f t="shared" ref="E23:G23" si="1">0</f>
        <v>0</v>
      </c>
      <c r="F23" s="2">
        <f t="shared" si="1"/>
        <v>0</v>
      </c>
      <c r="G23" s="2">
        <f t="shared" si="1"/>
        <v>0</v>
      </c>
      <c r="H23" s="2"/>
      <c r="I23" s="2"/>
      <c r="J23" s="2"/>
      <c r="K23" s="2"/>
      <c r="L23" s="2"/>
      <c r="M23" s="2"/>
      <c r="N23" s="2"/>
      <c r="O23" s="2"/>
      <c r="Q23" s="2">
        <f>SUM(OSRRefD11_12x)+IFERROR(SUM(OSRRefE11_12x),0)</f>
        <v>6.78</v>
      </c>
    </row>
    <row r="24" spans="1:17" s="9" customFormat="1" hidden="1" outlineLevel="1" x14ac:dyDescent="0.25">
      <c r="A24" s="22"/>
      <c r="B24" s="13" t="str">
        <f>CONCATENATE("          ","4040", " - ","TAXABLE SALES-LOGO CLOTHING")</f>
        <v xml:space="preserve">          4040 - TAXABLE SALES-LOGO CLOTHING</v>
      </c>
      <c r="C24" s="23"/>
      <c r="D24" s="2">
        <f>--72292.26</f>
        <v>72292.259999999995</v>
      </c>
      <c r="E24" s="2">
        <f>--177286.09</f>
        <v>177286.09</v>
      </c>
      <c r="F24" s="2">
        <f>--78841.84</f>
        <v>78841.84</v>
      </c>
      <c r="G24" s="2">
        <f>--54384.72</f>
        <v>54384.72</v>
      </c>
      <c r="H24" s="2"/>
      <c r="I24" s="2"/>
      <c r="J24" s="2"/>
      <c r="K24" s="2"/>
      <c r="L24" s="2"/>
      <c r="M24" s="2"/>
      <c r="N24" s="2"/>
      <c r="O24" s="2"/>
      <c r="Q24" s="2">
        <f>SUM(OSRRefD11_13x)+IFERROR(SUM(OSRRefE11_13x),0)</f>
        <v>382804.90999999992</v>
      </c>
    </row>
    <row r="25" spans="1:17" s="9" customFormat="1" hidden="1" outlineLevel="1" x14ac:dyDescent="0.25">
      <c r="A25" s="22"/>
      <c r="B25" s="13" t="str">
        <f>CONCATENATE("          ","4041", " - ","TAXABLE SALES-LOGO GIFTS")</f>
        <v xml:space="preserve">          4041 - TAXABLE SALES-LOGO GIFTS</v>
      </c>
      <c r="C25" s="23"/>
      <c r="D25" s="2">
        <f>--21188.91</f>
        <v>21188.91</v>
      </c>
      <c r="E25" s="2">
        <f>--82120.65</f>
        <v>82120.649999999994</v>
      </c>
      <c r="F25" s="2">
        <f>--27724.06</f>
        <v>27724.06</v>
      </c>
      <c r="G25" s="2">
        <f>--22053.6</f>
        <v>22053.599999999999</v>
      </c>
      <c r="H25" s="2"/>
      <c r="I25" s="2"/>
      <c r="J25" s="2"/>
      <c r="K25" s="2"/>
      <c r="L25" s="2"/>
      <c r="M25" s="2"/>
      <c r="N25" s="2"/>
      <c r="O25" s="2"/>
      <c r="Q25" s="2">
        <f>SUM(OSRRefD11_14x)+IFERROR(SUM(OSRRefE11_14x),0)</f>
        <v>153087.22</v>
      </c>
    </row>
    <row r="26" spans="1:17" s="9" customFormat="1" hidden="1" outlineLevel="1" x14ac:dyDescent="0.25">
      <c r="A26" s="22"/>
      <c r="B26" s="13" t="str">
        <f>CONCATENATE("          ","4042", " - ","TAXABLE SALES-EVERYDAY GIFTS")</f>
        <v xml:space="preserve">          4042 - TAXABLE SALES-EVERYDAY GIFTS</v>
      </c>
      <c r="C26" s="23"/>
      <c r="D26" s="2">
        <f>--9503.9</f>
        <v>9503.9</v>
      </c>
      <c r="E26" s="2">
        <f>--30421.14</f>
        <v>30421.14</v>
      </c>
      <c r="F26" s="2">
        <f>--8004.46</f>
        <v>8004.46</v>
      </c>
      <c r="G26" s="2">
        <f>--6854.18</f>
        <v>6854.18</v>
      </c>
      <c r="H26" s="2"/>
      <c r="I26" s="2"/>
      <c r="J26" s="2"/>
      <c r="K26" s="2"/>
      <c r="L26" s="2"/>
      <c r="M26" s="2"/>
      <c r="N26" s="2"/>
      <c r="O26" s="2"/>
      <c r="Q26" s="2">
        <f>SUM(OSRRefD11_15x)+IFERROR(SUM(OSRRefE11_15x),0)</f>
        <v>54783.68</v>
      </c>
    </row>
    <row r="27" spans="1:17" s="9" customFormat="1" hidden="1" outlineLevel="1" x14ac:dyDescent="0.25">
      <c r="A27" s="22"/>
      <c r="B27" s="13" t="str">
        <f>CONCATENATE("          ","4043", " - ","TAXABLE SALES-CARDS")</f>
        <v xml:space="preserve">          4043 - TAXABLE SALES-CARDS</v>
      </c>
      <c r="C27" s="23"/>
      <c r="D27" s="2">
        <f>--217.36</f>
        <v>217.36</v>
      </c>
      <c r="E27" s="2">
        <f>--6768.27</f>
        <v>6768.27</v>
      </c>
      <c r="F27" s="2">
        <f>--2805.53</f>
        <v>2805.53</v>
      </c>
      <c r="G27" s="2">
        <f>--30454.88</f>
        <v>30454.880000000001</v>
      </c>
      <c r="H27" s="2"/>
      <c r="I27" s="2"/>
      <c r="J27" s="2"/>
      <c r="K27" s="2"/>
      <c r="L27" s="2"/>
      <c r="M27" s="2"/>
      <c r="N27" s="2"/>
      <c r="O27" s="2"/>
      <c r="Q27" s="2">
        <f>SUM(OSRRefD11_16x)+IFERROR(SUM(OSRRefE11_16x),0)</f>
        <v>40246.04</v>
      </c>
    </row>
    <row r="28" spans="1:17" s="9" customFormat="1" hidden="1" outlineLevel="1" x14ac:dyDescent="0.25">
      <c r="A28" s="22"/>
      <c r="B28" s="13" t="str">
        <f>CONCATENATE("          ","4044", " - ","TAXABLE SALES-ACCESSORIES")</f>
        <v xml:space="preserve">          4044 - TAXABLE SALES-ACCESSORIES</v>
      </c>
      <c r="C28" s="23"/>
      <c r="D28" s="2">
        <f>--1800.68</f>
        <v>1800.68</v>
      </c>
      <c r="E28" s="2">
        <f>--6568.52</f>
        <v>6568.52</v>
      </c>
      <c r="F28" s="2">
        <f>--2962.32</f>
        <v>2962.32</v>
      </c>
      <c r="G28" s="2">
        <f>--1157.64</f>
        <v>1157.6400000000001</v>
      </c>
      <c r="H28" s="2"/>
      <c r="I28" s="2"/>
      <c r="J28" s="2"/>
      <c r="K28" s="2"/>
      <c r="L28" s="2"/>
      <c r="M28" s="2"/>
      <c r="N28" s="2"/>
      <c r="O28" s="2"/>
      <c r="Q28" s="2">
        <f>SUM(OSRRefD11_17x)+IFERROR(SUM(OSRRefE11_17x),0)</f>
        <v>12489.16</v>
      </c>
    </row>
    <row r="29" spans="1:17" s="9" customFormat="1" hidden="1" outlineLevel="1" x14ac:dyDescent="0.25">
      <c r="A29" s="22"/>
      <c r="B29" s="13" t="str">
        <f>CONCATENATE("          ","4045", " - ","TAXABLE SALES-SPECIAL ORDERS")</f>
        <v xml:space="preserve">          4045 - TAXABLE SALES-SPECIAL ORDERS</v>
      </c>
      <c r="C29" s="23"/>
      <c r="D29" s="2">
        <f>--43426.73</f>
        <v>43426.73</v>
      </c>
      <c r="E29" s="2">
        <f>--46004.35</f>
        <v>46004.35</v>
      </c>
      <c r="F29" s="2">
        <f>--2575.36</f>
        <v>2575.36</v>
      </c>
      <c r="G29" s="2">
        <f>--4950.17</f>
        <v>4950.17</v>
      </c>
      <c r="H29" s="2"/>
      <c r="I29" s="2"/>
      <c r="J29" s="2"/>
      <c r="K29" s="2"/>
      <c r="L29" s="2"/>
      <c r="M29" s="2"/>
      <c r="N29" s="2"/>
      <c r="O29" s="2"/>
      <c r="Q29" s="2">
        <f>SUM(OSRRefD11_18x)+IFERROR(SUM(OSRRefE11_18x),0)</f>
        <v>96956.61</v>
      </c>
    </row>
    <row r="30" spans="1:17" s="9" customFormat="1" hidden="1" outlineLevel="1" x14ac:dyDescent="0.25">
      <c r="A30" s="22"/>
      <c r="B30" s="13" t="str">
        <f>CONCATENATE("          ","4081", " - ","TAXABLE SALES-ELECTRONICS")</f>
        <v xml:space="preserve">          4081 - TAXABLE SALES-ELECTRONICS</v>
      </c>
      <c r="C30" s="23"/>
      <c r="D30" s="2">
        <f t="shared" ref="D30:E31" si="2">0</f>
        <v>0</v>
      </c>
      <c r="E30" s="2">
        <f t="shared" si="2"/>
        <v>0</v>
      </c>
      <c r="F30" s="2">
        <f>--71.95</f>
        <v>71.95</v>
      </c>
      <c r="G30" s="2">
        <f t="shared" ref="G30:G31" si="3">0</f>
        <v>0</v>
      </c>
      <c r="H30" s="2"/>
      <c r="I30" s="2"/>
      <c r="J30" s="2"/>
      <c r="K30" s="2"/>
      <c r="L30" s="2"/>
      <c r="M30" s="2"/>
      <c r="N30" s="2"/>
      <c r="O30" s="2"/>
      <c r="Q30" s="2">
        <f>SUM(OSRRefD11_19x)+IFERROR(SUM(OSRRefE11_19x),0)</f>
        <v>71.95</v>
      </c>
    </row>
    <row r="31" spans="1:17" s="9" customFormat="1" hidden="1" outlineLevel="1" x14ac:dyDescent="0.25">
      <c r="A31" s="22"/>
      <c r="B31" s="13" t="str">
        <f>CONCATENATE("          ","4083", " - ","TAXABLE SALES-COMPUTER EQUIPME")</f>
        <v xml:space="preserve">          4083 - TAXABLE SALES-COMPUTER EQUIPME</v>
      </c>
      <c r="C31" s="23"/>
      <c r="D31" s="2">
        <f t="shared" si="2"/>
        <v>0</v>
      </c>
      <c r="E31" s="2">
        <f t="shared" si="2"/>
        <v>0</v>
      </c>
      <c r="F31" s="2">
        <f>--9.99</f>
        <v>9.99</v>
      </c>
      <c r="G31" s="2">
        <f t="shared" si="3"/>
        <v>0</v>
      </c>
      <c r="H31" s="2"/>
      <c r="I31" s="2"/>
      <c r="J31" s="2"/>
      <c r="K31" s="2"/>
      <c r="L31" s="2"/>
      <c r="M31" s="2"/>
      <c r="N31" s="2"/>
      <c r="O31" s="2"/>
      <c r="Q31" s="2">
        <f>SUM(OSRRefD11_20x)+IFERROR(SUM(OSRRefE11_20x),0)</f>
        <v>9.99</v>
      </c>
    </row>
    <row r="32" spans="1:17" s="9" customFormat="1" hidden="1" outlineLevel="1" x14ac:dyDescent="0.25">
      <c r="A32" s="22"/>
      <c r="B32" s="13" t="str">
        <f>CONCATENATE("          ","4100", " - ","NON-TAXABLE SALES")</f>
        <v xml:space="preserve">          4100 - NON-TAXABLE SALES</v>
      </c>
      <c r="C32" s="23"/>
      <c r="D32" s="2">
        <f>--3038.3</f>
        <v>3038.3</v>
      </c>
      <c r="E32" s="2">
        <f>--150360.03</f>
        <v>150360.03</v>
      </c>
      <c r="F32" s="2">
        <f>--10945.69</f>
        <v>10945.69</v>
      </c>
      <c r="G32" s="2">
        <f>--135.79</f>
        <v>135.79</v>
      </c>
      <c r="H32" s="2">
        <v>200</v>
      </c>
      <c r="I32" s="2">
        <v>200</v>
      </c>
      <c r="J32" s="2">
        <v>200</v>
      </c>
      <c r="K32" s="2">
        <v>200</v>
      </c>
      <c r="L32" s="2">
        <v>200</v>
      </c>
      <c r="M32" s="2">
        <v>200</v>
      </c>
      <c r="N32" s="2">
        <v>200</v>
      </c>
      <c r="O32" s="2">
        <v>200</v>
      </c>
      <c r="Q32" s="2">
        <f>SUM(OSRRefD11_21x)+IFERROR(SUM(OSRRefE11_21x),0)</f>
        <v>166079.81</v>
      </c>
    </row>
    <row r="33" spans="1:17" s="9" customFormat="1" hidden="1" outlineLevel="1" x14ac:dyDescent="0.25">
      <c r="A33" s="22"/>
      <c r="B33" s="13" t="str">
        <f>CONCATENATE("          ","4101", " - ","NON-TAXABLE SALES-NEW TEXT")</f>
        <v xml:space="preserve">          4101 - NON-TAXABLE SALES-NEW TEXT</v>
      </c>
      <c r="C33" s="23"/>
      <c r="D33" s="2">
        <f>--10341.86</f>
        <v>10341.86</v>
      </c>
      <c r="E33" s="2">
        <f>--41238.82</f>
        <v>41238.82</v>
      </c>
      <c r="F33" s="2">
        <f>--18824.16</f>
        <v>18824.16</v>
      </c>
      <c r="G33" s="2">
        <f>--7260.05</f>
        <v>7260.05</v>
      </c>
      <c r="H33" s="2"/>
      <c r="I33" s="2"/>
      <c r="J33" s="2"/>
      <c r="K33" s="2"/>
      <c r="L33" s="2"/>
      <c r="M33" s="2"/>
      <c r="N33" s="2"/>
      <c r="O33" s="2"/>
      <c r="Q33" s="2">
        <f>SUM(OSRRefD11_22x)+IFERROR(SUM(OSRRefE11_22x),0)</f>
        <v>77664.89</v>
      </c>
    </row>
    <row r="34" spans="1:17" s="9" customFormat="1" hidden="1" outlineLevel="1" x14ac:dyDescent="0.25">
      <c r="A34" s="22"/>
      <c r="B34" s="13" t="str">
        <f>CONCATENATE("          ","4102", " - ","NON-TAXABLE SALES-USED TEXT")</f>
        <v xml:space="preserve">          4102 - NON-TAXABLE SALES-USED TEXT</v>
      </c>
      <c r="C34" s="23"/>
      <c r="D34" s="2">
        <f>--4190.44</f>
        <v>4190.4399999999996</v>
      </c>
      <c r="E34" s="2">
        <f>--17373.3</f>
        <v>17373.3</v>
      </c>
      <c r="F34" s="2">
        <f>--8807.08</f>
        <v>8807.08</v>
      </c>
      <c r="G34" s="2">
        <f>--2341.65</f>
        <v>2341.65</v>
      </c>
      <c r="H34" s="2"/>
      <c r="I34" s="2"/>
      <c r="J34" s="2"/>
      <c r="K34" s="2"/>
      <c r="L34" s="2"/>
      <c r="M34" s="2"/>
      <c r="N34" s="2"/>
      <c r="O34" s="2"/>
      <c r="Q34" s="2">
        <f>SUM(OSRRefD11_23x)+IFERROR(SUM(OSRRefE11_23x),0)</f>
        <v>32712.47</v>
      </c>
    </row>
    <row r="35" spans="1:17" s="9" customFormat="1" hidden="1" outlineLevel="1" x14ac:dyDescent="0.25">
      <c r="A35" s="22"/>
      <c r="B35" s="13" t="str">
        <f>CONCATENATE("          ","4103", " - ","NON-TAXABLE SALES-RENTAL TEXT")</f>
        <v xml:space="preserve">          4103 - NON-TAXABLE SALES-RENTAL TEXT</v>
      </c>
      <c r="C35" s="23"/>
      <c r="D35" s="2">
        <f t="shared" ref="D35:E35" si="4">0</f>
        <v>0</v>
      </c>
      <c r="E35" s="2">
        <f t="shared" si="4"/>
        <v>0</v>
      </c>
      <c r="F35" s="2">
        <f>--284.97</f>
        <v>284.97000000000003</v>
      </c>
      <c r="G35" s="2">
        <f>0</f>
        <v>0</v>
      </c>
      <c r="H35" s="2"/>
      <c r="I35" s="2"/>
      <c r="J35" s="2"/>
      <c r="K35" s="2"/>
      <c r="L35" s="2"/>
      <c r="M35" s="2"/>
      <c r="N35" s="2"/>
      <c r="O35" s="2"/>
      <c r="Q35" s="2">
        <f>SUM(OSRRefD11_24x)+IFERROR(SUM(OSRRefE11_24x),0)</f>
        <v>284.97000000000003</v>
      </c>
    </row>
    <row r="36" spans="1:17" s="9" customFormat="1" hidden="1" outlineLevel="1" x14ac:dyDescent="0.25">
      <c r="A36" s="22"/>
      <c r="B36" s="13" t="str">
        <f>CONCATENATE("          ","4104", " - ","NON-TAXABLE SALES-DIGITAL TEXT")</f>
        <v xml:space="preserve">          4104 - NON-TAXABLE SALES-DIGITAL TEXT</v>
      </c>
      <c r="C36" s="23"/>
      <c r="D36" s="2">
        <f>--7485.52</f>
        <v>7485.52</v>
      </c>
      <c r="E36" s="2">
        <f>--205404.66</f>
        <v>205404.66</v>
      </c>
      <c r="F36" s="2">
        <f>--73817.67</f>
        <v>73817.67</v>
      </c>
      <c r="G36" s="2">
        <f>--6767.67</f>
        <v>6767.67</v>
      </c>
      <c r="H36" s="2"/>
      <c r="I36" s="2"/>
      <c r="J36" s="2"/>
      <c r="K36" s="2"/>
      <c r="L36" s="2"/>
      <c r="M36" s="2"/>
      <c r="N36" s="2"/>
      <c r="O36" s="2"/>
      <c r="Q36" s="2">
        <f>SUM(OSRRefD11_25x)+IFERROR(SUM(OSRRefE11_25x),0)</f>
        <v>293475.51999999996</v>
      </c>
    </row>
    <row r="37" spans="1:17" s="9" customFormat="1" hidden="1" outlineLevel="1" x14ac:dyDescent="0.25">
      <c r="A37" s="22"/>
      <c r="B37" s="13" t="str">
        <f>CONCATENATE("          ","4113", " - ","NON-TAXABLE SALES-TRADE BOOKS")</f>
        <v xml:space="preserve">          4113 - NON-TAXABLE SALES-TRADE BOOKS</v>
      </c>
      <c r="C37" s="23"/>
      <c r="D37" s="2">
        <f t="shared" ref="D37:F37" si="5">0</f>
        <v>0</v>
      </c>
      <c r="E37" s="2">
        <f t="shared" si="5"/>
        <v>0</v>
      </c>
      <c r="F37" s="2">
        <f t="shared" si="5"/>
        <v>0</v>
      </c>
      <c r="G37" s="2">
        <f>--1655.95</f>
        <v>1655.95</v>
      </c>
      <c r="H37" s="2"/>
      <c r="I37" s="2"/>
      <c r="J37" s="2"/>
      <c r="K37" s="2"/>
      <c r="L37" s="2"/>
      <c r="M37" s="2"/>
      <c r="N37" s="2"/>
      <c r="O37" s="2"/>
      <c r="Q37" s="2">
        <f>SUM(OSRRefD11_26x)+IFERROR(SUM(OSRRefE11_26x),0)</f>
        <v>1655.95</v>
      </c>
    </row>
    <row r="38" spans="1:17" s="9" customFormat="1" hidden="1" outlineLevel="1" x14ac:dyDescent="0.25">
      <c r="A38" s="22"/>
      <c r="B38" s="13" t="str">
        <f>CONCATENATE("          ","4118", " - ","NON-TAXABLE SALES-STUDY GUIDES")</f>
        <v xml:space="preserve">          4118 - NON-TAXABLE SALES-STUDY GUIDES</v>
      </c>
      <c r="C38" s="23"/>
      <c r="D38" s="2">
        <f>--53.96</f>
        <v>53.96</v>
      </c>
      <c r="E38" s="2">
        <f>--47.87</f>
        <v>47.87</v>
      </c>
      <c r="F38" s="2">
        <f>--6.5</f>
        <v>6.5</v>
      </c>
      <c r="G38" s="2">
        <f>--97.3</f>
        <v>97.3</v>
      </c>
      <c r="H38" s="2"/>
      <c r="I38" s="2"/>
      <c r="J38" s="2"/>
      <c r="K38" s="2"/>
      <c r="L38" s="2"/>
      <c r="M38" s="2"/>
      <c r="N38" s="2"/>
      <c r="O38" s="2"/>
      <c r="Q38" s="2">
        <f>SUM(OSRRefD11_27x)+IFERROR(SUM(OSRRefE11_27x),0)</f>
        <v>205.63</v>
      </c>
    </row>
    <row r="39" spans="1:17" s="9" customFormat="1" hidden="1" outlineLevel="1" x14ac:dyDescent="0.25">
      <c r="A39" s="22"/>
      <c r="B39" s="13" t="str">
        <f>CONCATENATE("          ","4126", " - ","NON-TAXABLE SALES-WRITING INST")</f>
        <v xml:space="preserve">          4126 - NON-TAXABLE SALES-WRITING INST</v>
      </c>
      <c r="C39" s="23"/>
      <c r="D39" s="2">
        <f>--52.68</f>
        <v>52.68</v>
      </c>
      <c r="E39" s="2">
        <f t="shared" ref="E39:G39" si="6">0</f>
        <v>0</v>
      </c>
      <c r="F39" s="2">
        <f t="shared" si="6"/>
        <v>0</v>
      </c>
      <c r="G39" s="2">
        <f t="shared" si="6"/>
        <v>0</v>
      </c>
      <c r="H39" s="2"/>
      <c r="I39" s="2"/>
      <c r="J39" s="2"/>
      <c r="K39" s="2"/>
      <c r="L39" s="2"/>
      <c r="M39" s="2"/>
      <c r="N39" s="2"/>
      <c r="O39" s="2"/>
      <c r="Q39" s="2">
        <f>SUM(OSRRefD11_28x)+IFERROR(SUM(OSRRefE11_28x),0)</f>
        <v>52.68</v>
      </c>
    </row>
    <row r="40" spans="1:17" s="9" customFormat="1" hidden="1" outlineLevel="1" x14ac:dyDescent="0.25">
      <c r="A40" s="22"/>
      <c r="B40" s="13" t="str">
        <f>CONCATENATE("          ","4127", " - ","NON-TAXABLE SALES-SCHOOL SUPPL")</f>
        <v xml:space="preserve">          4127 - NON-TAXABLE SALES-SCHOOL SUPPL</v>
      </c>
      <c r="C40" s="23"/>
      <c r="D40" s="2">
        <f>--72.25</f>
        <v>72.25</v>
      </c>
      <c r="E40" s="2">
        <f>--1788.16</f>
        <v>1788.16</v>
      </c>
      <c r="F40" s="2">
        <f>--810.33</f>
        <v>810.33</v>
      </c>
      <c r="G40" s="2">
        <f>--160.95</f>
        <v>160.94999999999999</v>
      </c>
      <c r="H40" s="2"/>
      <c r="I40" s="2"/>
      <c r="J40" s="2"/>
      <c r="K40" s="2"/>
      <c r="L40" s="2"/>
      <c r="M40" s="2"/>
      <c r="N40" s="2"/>
      <c r="O40" s="2"/>
      <c r="Q40" s="2">
        <f>SUM(OSRRefD11_29x)+IFERROR(SUM(OSRRefE11_29x),0)</f>
        <v>2831.69</v>
      </c>
    </row>
    <row r="41" spans="1:17" s="9" customFormat="1" hidden="1" outlineLevel="1" x14ac:dyDescent="0.25">
      <c r="A41" s="22"/>
      <c r="B41" s="13" t="str">
        <f>CONCATENATE("          ","4131", " - ","NON-TAXABLE SALES-FOOD")</f>
        <v xml:space="preserve">          4131 - NON-TAXABLE SALES-FOOD</v>
      </c>
      <c r="C41" s="23"/>
      <c r="D41" s="2">
        <f>--259.43</f>
        <v>259.43</v>
      </c>
      <c r="E41" s="2">
        <f>--1575.79</f>
        <v>1575.79</v>
      </c>
      <c r="F41" s="2">
        <f>--2168.74</f>
        <v>2168.7399999999998</v>
      </c>
      <c r="G41" s="2">
        <f>--1521.48</f>
        <v>1521.48</v>
      </c>
      <c r="H41" s="2"/>
      <c r="I41" s="2"/>
      <c r="J41" s="2"/>
      <c r="K41" s="2"/>
      <c r="L41" s="2"/>
      <c r="M41" s="2"/>
      <c r="N41" s="2"/>
      <c r="O41" s="2"/>
      <c r="Q41" s="2">
        <f>SUM(OSRRefD11_30x)+IFERROR(SUM(OSRRefE11_30x),0)</f>
        <v>5525.4400000000005</v>
      </c>
    </row>
    <row r="42" spans="1:17" s="9" customFormat="1" hidden="1" outlineLevel="1" x14ac:dyDescent="0.25">
      <c r="A42" s="22"/>
      <c r="B42" s="13" t="str">
        <f>CONCATENATE("          ","4132", " - ","NON-TAXABLE SALES-JUICE")</f>
        <v xml:space="preserve">          4132 - NON-TAXABLE SALES-JUICE</v>
      </c>
      <c r="C42" s="23"/>
      <c r="D42" s="2">
        <f>--22.49</f>
        <v>22.49</v>
      </c>
      <c r="E42" s="2">
        <f t="shared" ref="E42:G42" si="7">0</f>
        <v>0</v>
      </c>
      <c r="F42" s="2">
        <f t="shared" si="7"/>
        <v>0</v>
      </c>
      <c r="G42" s="2">
        <f t="shared" si="7"/>
        <v>0</v>
      </c>
      <c r="H42" s="2"/>
      <c r="I42" s="2"/>
      <c r="J42" s="2"/>
      <c r="K42" s="2"/>
      <c r="L42" s="2"/>
      <c r="M42" s="2"/>
      <c r="N42" s="2"/>
      <c r="O42" s="2"/>
      <c r="Q42" s="2">
        <f>SUM(OSRRefD11_31x)+IFERROR(SUM(OSRRefE11_31x),0)</f>
        <v>22.49</v>
      </c>
    </row>
    <row r="43" spans="1:17" s="9" customFormat="1" hidden="1" outlineLevel="1" x14ac:dyDescent="0.25">
      <c r="A43" s="22"/>
      <c r="B43" s="13" t="str">
        <f>CONCATENATE("          ","4133", " - ","NON-TAXABLE SALES-CANDY")</f>
        <v xml:space="preserve">          4133 - NON-TAXABLE SALES-CANDY</v>
      </c>
      <c r="C43" s="23"/>
      <c r="D43" s="2">
        <f>--68.28</f>
        <v>68.28</v>
      </c>
      <c r="E43" s="2">
        <f>--12.43</f>
        <v>12.43</v>
      </c>
      <c r="F43" s="2">
        <f t="shared" ref="F43:G45" si="8">0</f>
        <v>0</v>
      </c>
      <c r="G43" s="2">
        <f t="shared" si="8"/>
        <v>0</v>
      </c>
      <c r="H43" s="2"/>
      <c r="I43" s="2"/>
      <c r="J43" s="2"/>
      <c r="K43" s="2"/>
      <c r="L43" s="2"/>
      <c r="M43" s="2"/>
      <c r="N43" s="2"/>
      <c r="O43" s="2"/>
      <c r="Q43" s="2">
        <f>SUM(OSRRefD11_32x)+IFERROR(SUM(OSRRefE11_32x),0)</f>
        <v>80.710000000000008</v>
      </c>
    </row>
    <row r="44" spans="1:17" s="9" customFormat="1" hidden="1" outlineLevel="1" x14ac:dyDescent="0.25">
      <c r="A44" s="22"/>
      <c r="B44" s="13" t="str">
        <f>CONCATENATE("          ","4134", " - ","NON-TAXABLE SALES-SODA")</f>
        <v xml:space="preserve">          4134 - NON-TAXABLE SALES-SODA</v>
      </c>
      <c r="C44" s="23"/>
      <c r="D44" s="2">
        <f>--45.53</f>
        <v>45.53</v>
      </c>
      <c r="E44" s="2">
        <f t="shared" ref="E44:E45" si="9">0</f>
        <v>0</v>
      </c>
      <c r="F44" s="2">
        <f t="shared" si="8"/>
        <v>0</v>
      </c>
      <c r="G44" s="2">
        <f t="shared" si="8"/>
        <v>0</v>
      </c>
      <c r="H44" s="2"/>
      <c r="I44" s="2"/>
      <c r="J44" s="2"/>
      <c r="K44" s="2"/>
      <c r="L44" s="2"/>
      <c r="M44" s="2"/>
      <c r="N44" s="2"/>
      <c r="O44" s="2"/>
      <c r="Q44" s="2">
        <f>SUM(OSRRefD11_33x)+IFERROR(SUM(OSRRefE11_33x),0)</f>
        <v>45.53</v>
      </c>
    </row>
    <row r="45" spans="1:17" s="9" customFormat="1" hidden="1" outlineLevel="1" x14ac:dyDescent="0.25">
      <c r="A45" s="22"/>
      <c r="B45" s="13" t="str">
        <f>CONCATENATE("          ","4137", " - ","NON-TAXABLE SALES-WATER")</f>
        <v xml:space="preserve">          4137 - NON-TAXABLE SALES-WATER</v>
      </c>
      <c r="C45" s="23"/>
      <c r="D45" s="2">
        <f>--68.25</f>
        <v>68.25</v>
      </c>
      <c r="E45" s="2">
        <f t="shared" si="9"/>
        <v>0</v>
      </c>
      <c r="F45" s="2">
        <f t="shared" si="8"/>
        <v>0</v>
      </c>
      <c r="G45" s="2">
        <f t="shared" si="8"/>
        <v>0</v>
      </c>
      <c r="H45" s="2"/>
      <c r="I45" s="2"/>
      <c r="J45" s="2"/>
      <c r="K45" s="2"/>
      <c r="L45" s="2"/>
      <c r="M45" s="2"/>
      <c r="N45" s="2"/>
      <c r="O45" s="2"/>
      <c r="Q45" s="2">
        <f>SUM(OSRRefD11_34x)+IFERROR(SUM(OSRRefE11_34x),0)</f>
        <v>68.25</v>
      </c>
    </row>
    <row r="46" spans="1:17" s="9" customFormat="1" hidden="1" outlineLevel="1" x14ac:dyDescent="0.25">
      <c r="A46" s="22"/>
      <c r="B46" s="13" t="str">
        <f>CONCATENATE("          ","4140", " - ","NON-TAXABLE SALES-LOGO CLOTHIN")</f>
        <v xml:space="preserve">          4140 - NON-TAXABLE SALES-LOGO CLOTHIN</v>
      </c>
      <c r="C46" s="23"/>
      <c r="D46" s="2">
        <f>--6846.24</f>
        <v>6846.24</v>
      </c>
      <c r="E46" s="2">
        <f>--7266.5</f>
        <v>7266.5</v>
      </c>
      <c r="F46" s="2">
        <f>--3339.7</f>
        <v>3339.7</v>
      </c>
      <c r="G46" s="2">
        <f>--13163.04</f>
        <v>13163.04</v>
      </c>
      <c r="H46" s="2"/>
      <c r="I46" s="2"/>
      <c r="J46" s="2"/>
      <c r="K46" s="2"/>
      <c r="L46" s="2"/>
      <c r="M46" s="2"/>
      <c r="N46" s="2"/>
      <c r="O46" s="2"/>
      <c r="Q46" s="2">
        <f>SUM(OSRRefD11_35x)+IFERROR(SUM(OSRRefE11_35x),0)</f>
        <v>30615.48</v>
      </c>
    </row>
    <row r="47" spans="1:17" s="9" customFormat="1" hidden="1" outlineLevel="1" x14ac:dyDescent="0.25">
      <c r="A47" s="22"/>
      <c r="B47" s="13" t="str">
        <f>CONCATENATE("          ","4141", " - ","NON-TAXABLE SALES-LOGO GIFTS")</f>
        <v xml:space="preserve">          4141 - NON-TAXABLE SALES-LOGO GIFTS</v>
      </c>
      <c r="C47" s="23"/>
      <c r="D47" s="2">
        <f>--1200.19</f>
        <v>1200.19</v>
      </c>
      <c r="E47" s="2">
        <f>--1189.06</f>
        <v>1189.06</v>
      </c>
      <c r="F47" s="2">
        <f>--555.74</f>
        <v>555.74</v>
      </c>
      <c r="G47" s="2">
        <f>--437.71</f>
        <v>437.71</v>
      </c>
      <c r="H47" s="2"/>
      <c r="I47" s="2"/>
      <c r="J47" s="2"/>
      <c r="K47" s="2"/>
      <c r="L47" s="2"/>
      <c r="M47" s="2"/>
      <c r="N47" s="2"/>
      <c r="O47" s="2"/>
      <c r="Q47" s="2">
        <f>SUM(OSRRefD11_36x)+IFERROR(SUM(OSRRefE11_36x),0)</f>
        <v>3382.7</v>
      </c>
    </row>
    <row r="48" spans="1:17" s="9" customFormat="1" hidden="1" outlineLevel="1" x14ac:dyDescent="0.25">
      <c r="A48" s="22"/>
      <c r="B48" s="13" t="str">
        <f>CONCATENATE("          ","4142", " - ","NON-TAXABLE SALES-EVERYDAY GIF")</f>
        <v xml:space="preserve">          4142 - NON-TAXABLE SALES-EVERYDAY GIF</v>
      </c>
      <c r="C48" s="23"/>
      <c r="D48" s="2">
        <f>--640.17</f>
        <v>640.16999999999996</v>
      </c>
      <c r="E48" s="2">
        <f>--339.4</f>
        <v>339.4</v>
      </c>
      <c r="F48" s="2">
        <f>--30.16</f>
        <v>30.16</v>
      </c>
      <c r="G48" s="2">
        <f>--310.68</f>
        <v>310.68</v>
      </c>
      <c r="H48" s="2"/>
      <c r="I48" s="2"/>
      <c r="J48" s="2"/>
      <c r="K48" s="2"/>
      <c r="L48" s="2"/>
      <c r="M48" s="2"/>
      <c r="N48" s="2"/>
      <c r="O48" s="2"/>
      <c r="Q48" s="2">
        <f>SUM(OSRRefD11_37x)+IFERROR(SUM(OSRRefE11_37x),0)</f>
        <v>1320.4099999999999</v>
      </c>
    </row>
    <row r="49" spans="1:17" s="9" customFormat="1" hidden="1" outlineLevel="1" x14ac:dyDescent="0.25">
      <c r="A49" s="22"/>
      <c r="B49" s="13" t="str">
        <f>CONCATENATE("          ","4143", " - ","NON-TAXABLE SALES-CARDS")</f>
        <v xml:space="preserve">          4143 - NON-TAXABLE SALES-CARDS</v>
      </c>
      <c r="C49" s="23"/>
      <c r="D49" s="2">
        <f>0</f>
        <v>0</v>
      </c>
      <c r="E49" s="2">
        <f>--19.98</f>
        <v>19.98</v>
      </c>
      <c r="F49" s="2">
        <f>0</f>
        <v>0</v>
      </c>
      <c r="G49" s="2">
        <f>--9.99</f>
        <v>9.99</v>
      </c>
      <c r="H49" s="2"/>
      <c r="I49" s="2"/>
      <c r="J49" s="2"/>
      <c r="K49" s="2"/>
      <c r="L49" s="2"/>
      <c r="M49" s="2"/>
      <c r="N49" s="2"/>
      <c r="O49" s="2"/>
      <c r="Q49" s="2">
        <f>SUM(OSRRefD11_38x)+IFERROR(SUM(OSRRefE11_38x),0)</f>
        <v>29.97</v>
      </c>
    </row>
    <row r="50" spans="1:17" s="9" customFormat="1" hidden="1" outlineLevel="1" x14ac:dyDescent="0.25">
      <c r="A50" s="22"/>
      <c r="B50" s="13" t="str">
        <f>CONCATENATE("          ","4144", " - ","NON-TAXABLE SALES-ACCESSORIES")</f>
        <v xml:space="preserve">          4144 - NON-TAXABLE SALES-ACCESSORIES</v>
      </c>
      <c r="C50" s="23"/>
      <c r="D50" s="2">
        <f>--47.85</f>
        <v>47.85</v>
      </c>
      <c r="E50" s="2">
        <f>--107.95</f>
        <v>107.95</v>
      </c>
      <c r="F50" s="2">
        <f>--59.95</f>
        <v>59.95</v>
      </c>
      <c r="G50" s="2">
        <f>--154</f>
        <v>154</v>
      </c>
      <c r="H50" s="2"/>
      <c r="I50" s="2"/>
      <c r="J50" s="2"/>
      <c r="K50" s="2"/>
      <c r="L50" s="2"/>
      <c r="M50" s="2"/>
      <c r="N50" s="2"/>
      <c r="O50" s="2"/>
      <c r="Q50" s="2">
        <f>SUM(OSRRefD11_39x)+IFERROR(SUM(OSRRefE11_39x),0)</f>
        <v>369.75</v>
      </c>
    </row>
    <row r="51" spans="1:17" s="9" customFormat="1" hidden="1" outlineLevel="1" x14ac:dyDescent="0.25">
      <c r="A51" s="22"/>
      <c r="B51" s="13" t="str">
        <f>CONCATENATE("          ","4145", " - ","NON-TAXABLE SALES-SPECIAL ORDE")</f>
        <v xml:space="preserve">          4145 - NON-TAXABLE SALES-SPECIAL ORDE</v>
      </c>
      <c r="C51" s="23"/>
      <c r="D51" s="2">
        <f>--35496</f>
        <v>35496</v>
      </c>
      <c r="E51" s="2">
        <f>--350</f>
        <v>350</v>
      </c>
      <c r="F51" s="2">
        <f t="shared" ref="F51:G51" si="10">0</f>
        <v>0</v>
      </c>
      <c r="G51" s="2">
        <f t="shared" si="10"/>
        <v>0</v>
      </c>
      <c r="H51" s="2"/>
      <c r="I51" s="2"/>
      <c r="J51" s="2"/>
      <c r="K51" s="2"/>
      <c r="L51" s="2"/>
      <c r="M51" s="2"/>
      <c r="N51" s="2"/>
      <c r="O51" s="2"/>
      <c r="Q51" s="2">
        <f>SUM(OSRRefD11_40x)+IFERROR(SUM(OSRRefE11_40x),0)</f>
        <v>35846</v>
      </c>
    </row>
    <row r="52" spans="1:17" s="9" customFormat="1" hidden="1" outlineLevel="1" x14ac:dyDescent="0.25">
      <c r="A52" s="22"/>
      <c r="B52" s="13" t="str">
        <f>CONCATENATE("          ","4146", " - ","NON-TAXABLE SALES-COIN OP MACH")</f>
        <v xml:space="preserve">          4146 - NON-TAXABLE SALES-COIN OP MACH</v>
      </c>
      <c r="C52" s="23"/>
      <c r="D52" s="2">
        <f>0</f>
        <v>0</v>
      </c>
      <c r="E52" s="2">
        <f>--15.5</f>
        <v>15.5</v>
      </c>
      <c r="F52" s="2">
        <f>--49.7</f>
        <v>49.7</v>
      </c>
      <c r="G52" s="2">
        <f>--21.3</f>
        <v>21.3</v>
      </c>
      <c r="H52" s="2"/>
      <c r="I52" s="2"/>
      <c r="J52" s="2"/>
      <c r="K52" s="2"/>
      <c r="L52" s="2"/>
      <c r="M52" s="2"/>
      <c r="N52" s="2"/>
      <c r="O52" s="2"/>
      <c r="Q52" s="2">
        <f>SUM(OSRRefD11_41x)+IFERROR(SUM(OSRRefE11_41x),0)</f>
        <v>86.5</v>
      </c>
    </row>
    <row r="53" spans="1:17" s="9" customFormat="1" hidden="1" outlineLevel="1" x14ac:dyDescent="0.25">
      <c r="A53" s="22"/>
      <c r="B53" s="13" t="str">
        <f>CONCATENATE("          ","4147", " - ","NON-TAXABLE SALES-MISC")</f>
        <v xml:space="preserve">          4147 - NON-TAXABLE SALES-MISC</v>
      </c>
      <c r="C53" s="23"/>
      <c r="D53" s="2">
        <f>--1</f>
        <v>1</v>
      </c>
      <c r="E53" s="2">
        <f>--23</f>
        <v>23</v>
      </c>
      <c r="F53" s="2">
        <f>--24</f>
        <v>24</v>
      </c>
      <c r="G53" s="2">
        <f>--38.5</f>
        <v>38.5</v>
      </c>
      <c r="H53" s="2"/>
      <c r="I53" s="2"/>
      <c r="J53" s="2"/>
      <c r="K53" s="2"/>
      <c r="L53" s="2"/>
      <c r="M53" s="2"/>
      <c r="N53" s="2"/>
      <c r="O53" s="2"/>
      <c r="Q53" s="2">
        <f>SUM(OSRRefD11_42x)+IFERROR(SUM(OSRRefE11_42x),0)</f>
        <v>86.5</v>
      </c>
    </row>
    <row r="54" spans="1:17" s="9" customFormat="1" hidden="1" outlineLevel="1" x14ac:dyDescent="0.25">
      <c r="A54" s="22"/>
      <c r="B54" s="13" t="str">
        <f>CONCATENATE("          ","4201", " - ","SALES RETURN TAXABLE-NEW TEXT")</f>
        <v xml:space="preserve">          4201 - SALES RETURN TAXABLE-NEW TEXT</v>
      </c>
      <c r="C54" s="23"/>
      <c r="D54" s="2">
        <f>-633.4</f>
        <v>-633.4</v>
      </c>
      <c r="E54" s="2">
        <f>-18222.39</f>
        <v>-18222.39</v>
      </c>
      <c r="F54" s="2">
        <f>-13393.2</f>
        <v>-13393.2</v>
      </c>
      <c r="G54" s="2">
        <f>-1512.25</f>
        <v>-1512.25</v>
      </c>
      <c r="H54" s="2"/>
      <c r="I54" s="2"/>
      <c r="J54" s="2"/>
      <c r="K54" s="2"/>
      <c r="L54" s="2"/>
      <c r="M54" s="2"/>
      <c r="N54" s="2"/>
      <c r="O54" s="2"/>
      <c r="Q54" s="2">
        <f>SUM(OSRRefD11_43x)+IFERROR(SUM(OSRRefE11_43x),0)</f>
        <v>-33761.240000000005</v>
      </c>
    </row>
    <row r="55" spans="1:17" s="9" customFormat="1" hidden="1" outlineLevel="1" x14ac:dyDescent="0.25">
      <c r="A55" s="22"/>
      <c r="B55" s="13" t="str">
        <f>CONCATENATE("          ","4202", " - ","SALES RETURN TAXABLE-USED TEXT")</f>
        <v xml:space="preserve">          4202 - SALES RETURN TAXABLE-USED TEXT</v>
      </c>
      <c r="C55" s="23"/>
      <c r="D55" s="2">
        <f>-178.35</f>
        <v>-178.35</v>
      </c>
      <c r="E55" s="2">
        <f>-8869.4</f>
        <v>-8869.4</v>
      </c>
      <c r="F55" s="2">
        <f>-1345.2</f>
        <v>-1345.2</v>
      </c>
      <c r="G55" s="2">
        <f>-136.05</f>
        <v>-136.05000000000001</v>
      </c>
      <c r="H55" s="2"/>
      <c r="I55" s="2"/>
      <c r="J55" s="2"/>
      <c r="K55" s="2"/>
      <c r="L55" s="2"/>
      <c r="M55" s="2"/>
      <c r="N55" s="2"/>
      <c r="O55" s="2"/>
      <c r="Q55" s="2">
        <f>SUM(OSRRefD11_44x)+IFERROR(SUM(OSRRefE11_44x),0)</f>
        <v>-10529</v>
      </c>
    </row>
    <row r="56" spans="1:17" s="9" customFormat="1" hidden="1" outlineLevel="1" x14ac:dyDescent="0.25">
      <c r="A56" s="22"/>
      <c r="B56" s="13" t="str">
        <f>CONCATENATE("          ","4204", " - ","SALES RETURN TAXABLE-DIGITAL T")</f>
        <v xml:space="preserve">          4204 - SALES RETURN TAXABLE-DIGITAL T</v>
      </c>
      <c r="C56" s="23"/>
      <c r="D56" s="2">
        <f>0</f>
        <v>0</v>
      </c>
      <c r="E56" s="2">
        <f>-1141.08</f>
        <v>-1141.08</v>
      </c>
      <c r="F56" s="2">
        <f>-105.87</f>
        <v>-105.87</v>
      </c>
      <c r="G56" s="2">
        <f>-383.9</f>
        <v>-383.9</v>
      </c>
      <c r="H56" s="2"/>
      <c r="I56" s="2"/>
      <c r="J56" s="2"/>
      <c r="K56" s="2"/>
      <c r="L56" s="2"/>
      <c r="M56" s="2"/>
      <c r="N56" s="2"/>
      <c r="O56" s="2"/>
      <c r="Q56" s="2">
        <f>SUM(OSRRefD11_45x)+IFERROR(SUM(OSRRefE11_45x),0)</f>
        <v>-1630.85</v>
      </c>
    </row>
    <row r="57" spans="1:17" s="9" customFormat="1" hidden="1" outlineLevel="1" x14ac:dyDescent="0.25">
      <c r="A57" s="22"/>
      <c r="B57" s="13" t="str">
        <f>CONCATENATE("          ","4226", " - ","SALES RETURN TAXABLE-WRITING I")</f>
        <v xml:space="preserve">          4226 - SALES RETURN TAXABLE-WRITING I</v>
      </c>
      <c r="C57" s="23"/>
      <c r="D57" s="2">
        <f>-6.38</f>
        <v>-6.38</v>
      </c>
      <c r="E57" s="2">
        <f>0</f>
        <v>0</v>
      </c>
      <c r="F57" s="2">
        <f>-22.49</f>
        <v>-22.49</v>
      </c>
      <c r="G57" s="2">
        <f>-5.36</f>
        <v>-5.36</v>
      </c>
      <c r="H57" s="2"/>
      <c r="I57" s="2"/>
      <c r="J57" s="2"/>
      <c r="K57" s="2"/>
      <c r="L57" s="2"/>
      <c r="M57" s="2"/>
      <c r="N57" s="2"/>
      <c r="O57" s="2"/>
      <c r="Q57" s="2">
        <f>SUM(OSRRefD11_46x)+IFERROR(SUM(OSRRefE11_46x),0)</f>
        <v>-34.229999999999997</v>
      </c>
    </row>
    <row r="58" spans="1:17" s="9" customFormat="1" hidden="1" outlineLevel="1" x14ac:dyDescent="0.25">
      <c r="A58" s="22"/>
      <c r="B58" s="13" t="str">
        <f>CONCATENATE("          ","4227", " - ","SALES RETURN TAXABLE-SCHOOL SU")</f>
        <v xml:space="preserve">          4227 - SALES RETURN TAXABLE-SCHOOL SU</v>
      </c>
      <c r="C58" s="23"/>
      <c r="D58" s="2">
        <f>-56.77</f>
        <v>-56.77</v>
      </c>
      <c r="E58" s="2">
        <f>-359.61</f>
        <v>-359.61</v>
      </c>
      <c r="F58" s="2">
        <f>-152.29</f>
        <v>-152.29</v>
      </c>
      <c r="G58" s="2">
        <f>-9.99</f>
        <v>-9.99</v>
      </c>
      <c r="H58" s="2"/>
      <c r="I58" s="2"/>
      <c r="J58" s="2"/>
      <c r="K58" s="2"/>
      <c r="L58" s="2"/>
      <c r="M58" s="2"/>
      <c r="N58" s="2"/>
      <c r="O58" s="2"/>
      <c r="Q58" s="2">
        <f>SUM(OSRRefD11_47x)+IFERROR(SUM(OSRRefE11_47x),0)</f>
        <v>-578.66</v>
      </c>
    </row>
    <row r="59" spans="1:17" s="9" customFormat="1" hidden="1" outlineLevel="1" x14ac:dyDescent="0.25">
      <c r="A59" s="22"/>
      <c r="B59" s="13" t="str">
        <f>CONCATENATE("          ","4228", " - ","SALES RETURN TAXABLE-ART/TECH")</f>
        <v xml:space="preserve">          4228 - SALES RETURN TAXABLE-ART/TECH</v>
      </c>
      <c r="C59" s="23"/>
      <c r="D59" s="2">
        <f>0</f>
        <v>0</v>
      </c>
      <c r="E59" s="2">
        <f>-164.44</f>
        <v>-164.44</v>
      </c>
      <c r="F59" s="2">
        <f>-57.76</f>
        <v>-57.76</v>
      </c>
      <c r="G59" s="2">
        <f>0</f>
        <v>0</v>
      </c>
      <c r="H59" s="2"/>
      <c r="I59" s="2"/>
      <c r="J59" s="2"/>
      <c r="K59" s="2"/>
      <c r="L59" s="2"/>
      <c r="M59" s="2"/>
      <c r="N59" s="2"/>
      <c r="O59" s="2"/>
      <c r="Q59" s="2">
        <f>SUM(OSRRefD11_48x)+IFERROR(SUM(OSRRefE11_48x),0)</f>
        <v>-222.2</v>
      </c>
    </row>
    <row r="60" spans="1:17" s="9" customFormat="1" hidden="1" outlineLevel="1" x14ac:dyDescent="0.25">
      <c r="A60" s="22"/>
      <c r="B60" s="13" t="str">
        <f>CONCATENATE("          ","4240", " - ","SALES RETURN TAXABLE-LOGO CLOT")</f>
        <v xml:space="preserve">          4240 - SALES RETURN TAXABLE-LOGO CLOT</v>
      </c>
      <c r="C60" s="23"/>
      <c r="D60" s="2">
        <f>-3368.1</f>
        <v>-3368.1</v>
      </c>
      <c r="E60" s="2">
        <f>-4788.72</f>
        <v>-4788.72</v>
      </c>
      <c r="F60" s="2">
        <f>-3453.14</f>
        <v>-3453.14</v>
      </c>
      <c r="G60" s="2">
        <f>-2239.56</f>
        <v>-2239.56</v>
      </c>
      <c r="H60" s="2"/>
      <c r="I60" s="2"/>
      <c r="J60" s="2"/>
      <c r="K60" s="2"/>
      <c r="L60" s="2"/>
      <c r="M60" s="2"/>
      <c r="N60" s="2"/>
      <c r="O60" s="2"/>
      <c r="Q60" s="2">
        <f>SUM(OSRRefD11_49x)+IFERROR(SUM(OSRRefE11_49x),0)</f>
        <v>-13849.519999999999</v>
      </c>
    </row>
    <row r="61" spans="1:17" s="9" customFormat="1" hidden="1" outlineLevel="1" x14ac:dyDescent="0.25">
      <c r="A61" s="22"/>
      <c r="B61" s="13" t="str">
        <f>CONCATENATE("          ","4241", " - ","SALES RETURN TAXABLE-LOGO GIFT")</f>
        <v xml:space="preserve">          4241 - SALES RETURN TAXABLE-LOGO GIFT</v>
      </c>
      <c r="C61" s="23"/>
      <c r="D61" s="2">
        <f>-341.98</f>
        <v>-341.98</v>
      </c>
      <c r="E61" s="2">
        <f>-986.21</f>
        <v>-986.21</v>
      </c>
      <c r="F61" s="2">
        <f>-988.92</f>
        <v>-988.92</v>
      </c>
      <c r="G61" s="2">
        <f>-379.45</f>
        <v>-379.45</v>
      </c>
      <c r="H61" s="2"/>
      <c r="I61" s="2"/>
      <c r="J61" s="2"/>
      <c r="K61" s="2"/>
      <c r="L61" s="2"/>
      <c r="M61" s="2"/>
      <c r="N61" s="2"/>
      <c r="O61" s="2"/>
      <c r="Q61" s="2">
        <f>SUM(OSRRefD11_50x)+IFERROR(SUM(OSRRefE11_50x),0)</f>
        <v>-2696.56</v>
      </c>
    </row>
    <row r="62" spans="1:17" s="9" customFormat="1" hidden="1" outlineLevel="1" x14ac:dyDescent="0.25">
      <c r="A62" s="22"/>
      <c r="B62" s="13" t="str">
        <f>CONCATENATE("          ","4242", " - ","SALES RETURN TAXABLE-EVERYDAY")</f>
        <v xml:space="preserve">          4242 - SALES RETURN TAXABLE-EVERYDAY</v>
      </c>
      <c r="C62" s="23"/>
      <c r="D62" s="2">
        <f>-178.96</f>
        <v>-178.96</v>
      </c>
      <c r="E62" s="2">
        <f>-470.53</f>
        <v>-470.53</v>
      </c>
      <c r="F62" s="2">
        <f>-405.07</f>
        <v>-405.07</v>
      </c>
      <c r="G62" s="2">
        <f>-266.95</f>
        <v>-266.95</v>
      </c>
      <c r="H62" s="2"/>
      <c r="I62" s="2"/>
      <c r="J62" s="2"/>
      <c r="K62" s="2"/>
      <c r="L62" s="2"/>
      <c r="M62" s="2"/>
      <c r="N62" s="2"/>
      <c r="O62" s="2"/>
      <c r="Q62" s="2">
        <f>SUM(OSRRefD11_51x)+IFERROR(SUM(OSRRefE11_51x),0)</f>
        <v>-1321.51</v>
      </c>
    </row>
    <row r="63" spans="1:17" s="9" customFormat="1" hidden="1" outlineLevel="1" x14ac:dyDescent="0.25">
      <c r="A63" s="22"/>
      <c r="B63" s="13" t="str">
        <f>CONCATENATE("          ","4243", " - ","SALES RETURN TAXABLE-CARDS")</f>
        <v xml:space="preserve">          4243 - SALES RETURN TAXABLE-CARDS</v>
      </c>
      <c r="C63" s="23"/>
      <c r="D63" s="2">
        <f t="shared" ref="D63:D64" si="11">0</f>
        <v>0</v>
      </c>
      <c r="E63" s="2">
        <f>-93.43</f>
        <v>-93.43</v>
      </c>
      <c r="F63" s="2">
        <f>-59.94</f>
        <v>-59.94</v>
      </c>
      <c r="G63" s="2">
        <f>-829.55</f>
        <v>-829.55</v>
      </c>
      <c r="H63" s="2"/>
      <c r="I63" s="2"/>
      <c r="J63" s="2"/>
      <c r="K63" s="2"/>
      <c r="L63" s="2"/>
      <c r="M63" s="2"/>
      <c r="N63" s="2"/>
      <c r="O63" s="2"/>
      <c r="Q63" s="2">
        <f>SUM(OSRRefD11_52x)+IFERROR(SUM(OSRRefE11_52x),0)</f>
        <v>-982.92</v>
      </c>
    </row>
    <row r="64" spans="1:17" s="9" customFormat="1" hidden="1" outlineLevel="1" x14ac:dyDescent="0.25">
      <c r="A64" s="22"/>
      <c r="B64" s="13" t="str">
        <f>CONCATENATE("          ","4244", " - ","SALES RETURN TAXABLE-ACCESSORI")</f>
        <v xml:space="preserve">          4244 - SALES RETURN TAXABLE-ACCESSORI</v>
      </c>
      <c r="C64" s="23"/>
      <c r="D64" s="2">
        <f t="shared" si="11"/>
        <v>0</v>
      </c>
      <c r="E64" s="2">
        <f>-350.99</f>
        <v>-350.99</v>
      </c>
      <c r="F64" s="2">
        <f>-60</f>
        <v>-60</v>
      </c>
      <c r="G64" s="2">
        <f>0</f>
        <v>0</v>
      </c>
      <c r="H64" s="2"/>
      <c r="I64" s="2"/>
      <c r="J64" s="2"/>
      <c r="K64" s="2"/>
      <c r="L64" s="2"/>
      <c r="M64" s="2"/>
      <c r="N64" s="2"/>
      <c r="O64" s="2"/>
      <c r="Q64" s="2">
        <f>SUM(OSRRefD11_53x)+IFERROR(SUM(OSRRefE11_53x),0)</f>
        <v>-410.99</v>
      </c>
    </row>
    <row r="65" spans="1:17" s="9" customFormat="1" hidden="1" outlineLevel="1" x14ac:dyDescent="0.25">
      <c r="A65" s="22"/>
      <c r="B65" s="13" t="str">
        <f>CONCATENATE("          ","4245", " - ","SALES RETURN TAXABLE-SPECIAL O")</f>
        <v xml:space="preserve">          4245 - SALES RETURN TAXABLE-SPECIAL O</v>
      </c>
      <c r="C65" s="23"/>
      <c r="D65" s="2">
        <f>-1121</f>
        <v>-1121</v>
      </c>
      <c r="E65" s="2">
        <f>-57.96</f>
        <v>-57.96</v>
      </c>
      <c r="F65" s="2">
        <f>-3.99</f>
        <v>-3.99</v>
      </c>
      <c r="G65" s="2">
        <f>-363.98</f>
        <v>-363.98</v>
      </c>
      <c r="H65" s="2"/>
      <c r="I65" s="2"/>
      <c r="J65" s="2"/>
      <c r="K65" s="2"/>
      <c r="L65" s="2"/>
      <c r="M65" s="2"/>
      <c r="N65" s="2"/>
      <c r="O65" s="2"/>
      <c r="Q65" s="2">
        <f>SUM(OSRRefD11_54x)+IFERROR(SUM(OSRRefE11_54x),0)</f>
        <v>-1546.93</v>
      </c>
    </row>
    <row r="66" spans="1:17" s="9" customFormat="1" hidden="1" outlineLevel="1" x14ac:dyDescent="0.25">
      <c r="A66" s="22"/>
      <c r="B66" s="13" t="str">
        <f>CONCATENATE("          ","4301", " - ","SALES RETURN NON TAXABLE-NEW T")</f>
        <v xml:space="preserve">          4301 - SALES RETURN NON TAXABLE-NEW T</v>
      </c>
      <c r="C66" s="23"/>
      <c r="D66" s="2">
        <f>0</f>
        <v>0</v>
      </c>
      <c r="E66" s="2">
        <f>-20.25</f>
        <v>-20.25</v>
      </c>
      <c r="F66" s="2">
        <f>-1820.43</f>
        <v>-1820.43</v>
      </c>
      <c r="G66" s="2">
        <f>-535.49</f>
        <v>-535.49</v>
      </c>
      <c r="H66" s="2"/>
      <c r="I66" s="2"/>
      <c r="J66" s="2"/>
      <c r="K66" s="2"/>
      <c r="L66" s="2"/>
      <c r="M66" s="2"/>
      <c r="N66" s="2"/>
      <c r="O66" s="2"/>
      <c r="Q66" s="2">
        <f>SUM(OSRRefD11_55x)+IFERROR(SUM(OSRRefE11_55x),0)</f>
        <v>-2376.17</v>
      </c>
    </row>
    <row r="67" spans="1:17" s="9" customFormat="1" hidden="1" outlineLevel="1" x14ac:dyDescent="0.25">
      <c r="A67" s="22"/>
      <c r="B67" s="13" t="str">
        <f>CONCATENATE("          ","4302", " - ","SALES RETURN NON TAXABLE-TEXT")</f>
        <v xml:space="preserve">          4302 - SALES RETURN NON TAXABLE-TEXT</v>
      </c>
      <c r="C67" s="23"/>
      <c r="D67" s="2">
        <f>-63.67</f>
        <v>-63.67</v>
      </c>
      <c r="E67" s="2">
        <f>-346.17</f>
        <v>-346.17</v>
      </c>
      <c r="F67" s="2">
        <f>-737.24</f>
        <v>-737.24</v>
      </c>
      <c r="G67" s="2">
        <f>-169.72</f>
        <v>-169.72</v>
      </c>
      <c r="H67" s="2"/>
      <c r="I67" s="2"/>
      <c r="J67" s="2"/>
      <c r="K67" s="2"/>
      <c r="L67" s="2"/>
      <c r="M67" s="2"/>
      <c r="N67" s="2"/>
      <c r="O67" s="2"/>
      <c r="Q67" s="2">
        <f>SUM(OSRRefD11_56x)+IFERROR(SUM(OSRRefE11_56x),0)</f>
        <v>-1316.8</v>
      </c>
    </row>
    <row r="68" spans="1:17" s="9" customFormat="1" hidden="1" outlineLevel="1" x14ac:dyDescent="0.25">
      <c r="A68" s="22"/>
      <c r="B68" s="13" t="str">
        <f>CONCATENATE("          ","4304", " - ","SALES RETURN NON TAXABLE-DIGIT")</f>
        <v xml:space="preserve">          4304 - SALES RETURN NON TAXABLE-DIGIT</v>
      </c>
      <c r="C68" s="23"/>
      <c r="D68" s="2">
        <f>-452.05</f>
        <v>-452.05</v>
      </c>
      <c r="E68" s="2">
        <f>-5500.68</f>
        <v>-5500.68</v>
      </c>
      <c r="F68" s="2">
        <f>-7456.63</f>
        <v>-7456.63</v>
      </c>
      <c r="G68" s="2">
        <f>-692.75</f>
        <v>-692.75</v>
      </c>
      <c r="H68" s="2"/>
      <c r="I68" s="2"/>
      <c r="J68" s="2"/>
      <c r="K68" s="2"/>
      <c r="L68" s="2"/>
      <c r="M68" s="2"/>
      <c r="N68" s="2"/>
      <c r="O68" s="2"/>
      <c r="Q68" s="2">
        <f>SUM(OSRRefD11_57x)+IFERROR(SUM(OSRRefE11_57x),0)</f>
        <v>-14102.11</v>
      </c>
    </row>
    <row r="69" spans="1:17" s="9" customFormat="1" hidden="1" outlineLevel="1" x14ac:dyDescent="0.25">
      <c r="A69" s="22"/>
      <c r="B69" s="13" t="str">
        <f>CONCATENATE("          ","4340", " - ","SALES RETURN NON TAXABLE-LOGO")</f>
        <v xml:space="preserve">          4340 - SALES RETURN NON TAXABLE-LOGO</v>
      </c>
      <c r="C69" s="23"/>
      <c r="D69" s="2">
        <f>-434.24</f>
        <v>-434.24</v>
      </c>
      <c r="E69" s="2">
        <f>-69.9</f>
        <v>-69.900000000000006</v>
      </c>
      <c r="F69" s="2">
        <f>-36.9</f>
        <v>-36.9</v>
      </c>
      <c r="G69" s="2">
        <f>-195.69</f>
        <v>-195.69</v>
      </c>
      <c r="H69" s="2"/>
      <c r="I69" s="2"/>
      <c r="J69" s="2"/>
      <c r="K69" s="2"/>
      <c r="L69" s="2"/>
      <c r="M69" s="2"/>
      <c r="N69" s="2"/>
      <c r="O69" s="2"/>
      <c r="Q69" s="2">
        <f>SUM(OSRRefD11_58x)+IFERROR(SUM(OSRRefE11_58x),0)</f>
        <v>-736.73</v>
      </c>
    </row>
    <row r="70" spans="1:17" s="9" customFormat="1" hidden="1" outlineLevel="1" x14ac:dyDescent="0.25">
      <c r="A70" s="22"/>
      <c r="B70" s="13" t="str">
        <f>CONCATENATE("          ","4341", " - ","SALES RETURN NON TAXABLE-LOGO")</f>
        <v xml:space="preserve">          4341 - SALES RETURN NON TAXABLE-LOGO</v>
      </c>
      <c r="C70" s="23"/>
      <c r="D70" s="2">
        <f>-16.95</f>
        <v>-16.95</v>
      </c>
      <c r="E70" s="2">
        <f>0</f>
        <v>0</v>
      </c>
      <c r="F70" s="2">
        <f>-129.95</f>
        <v>-129.94999999999999</v>
      </c>
      <c r="G70" s="2">
        <f t="shared" ref="G70:G71" si="12">0</f>
        <v>0</v>
      </c>
      <c r="H70" s="2"/>
      <c r="I70" s="2"/>
      <c r="J70" s="2"/>
      <c r="K70" s="2"/>
      <c r="L70" s="2"/>
      <c r="M70" s="2"/>
      <c r="N70" s="2"/>
      <c r="O70" s="2"/>
      <c r="Q70" s="2">
        <f>SUM(OSRRefD11_59x)+IFERROR(SUM(OSRRefE11_59x),0)</f>
        <v>-146.89999999999998</v>
      </c>
    </row>
    <row r="71" spans="1:17" s="9" customFormat="1" hidden="1" outlineLevel="1" x14ac:dyDescent="0.25">
      <c r="A71" s="22"/>
      <c r="B71" s="13" t="str">
        <f>CONCATENATE("          ","4342", " - ","SALES RETURN NON TAXABLE-EVERY")</f>
        <v xml:space="preserve">          4342 - SALES RETURN NON TAXABLE-EVERY</v>
      </c>
      <c r="C71" s="23"/>
      <c r="D71" s="2">
        <f>-79.85</f>
        <v>-79.849999999999994</v>
      </c>
      <c r="E71" s="2">
        <f>-13.9</f>
        <v>-13.9</v>
      </c>
      <c r="F71" s="2">
        <f>-24.95</f>
        <v>-24.95</v>
      </c>
      <c r="G71" s="2">
        <f t="shared" si="12"/>
        <v>0</v>
      </c>
      <c r="H71" s="2"/>
      <c r="I71" s="2"/>
      <c r="J71" s="2"/>
      <c r="K71" s="2"/>
      <c r="L71" s="2"/>
      <c r="M71" s="2"/>
      <c r="N71" s="2"/>
      <c r="O71" s="2"/>
      <c r="Q71" s="2">
        <f>SUM(OSRRefD11_60x)+IFERROR(SUM(OSRRefE11_60x),0)</f>
        <v>-118.7</v>
      </c>
    </row>
    <row r="72" spans="1:17" x14ac:dyDescent="0.25">
      <c r="A72" s="5"/>
      <c r="B72" s="8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9" customFormat="1" collapsed="1" x14ac:dyDescent="0.25">
      <c r="A73" s="22"/>
      <c r="B73" s="16" t="s">
        <v>290</v>
      </c>
      <c r="C73" s="23"/>
      <c r="D73" s="3">
        <f>SUM(OSRRefD14x_0)</f>
        <v>141395.27000000002</v>
      </c>
      <c r="E73" s="3">
        <f>SUM(OSRRefD14x_1)</f>
        <v>1081423.06</v>
      </c>
      <c r="F73" s="3">
        <f>SUM(OSRRefD14x_2)</f>
        <v>231141.09999999989</v>
      </c>
      <c r="G73" s="3">
        <f>SUM(OSRRefD14x_3)</f>
        <v>86470.499999999985</v>
      </c>
      <c r="H73" s="3">
        <f>SUM(OSRRefE14x_0)</f>
        <v>162748</v>
      </c>
      <c r="I73" s="3">
        <f>SUM(OSRRefE14x_1)</f>
        <v>170025</v>
      </c>
      <c r="J73" s="3">
        <f>SUM(OSRRefE14x_2)</f>
        <v>771410</v>
      </c>
      <c r="K73" s="3">
        <f>SUM(OSRRefE14x_3)</f>
        <v>237039</v>
      </c>
      <c r="L73" s="3">
        <f>SUM(OSRRefE14x_4)</f>
        <v>154534</v>
      </c>
      <c r="M73" s="3">
        <f>SUM(OSRRefE14x_5)</f>
        <v>149745</v>
      </c>
      <c r="N73" s="3">
        <f>SUM(OSRRefE14x_6)</f>
        <v>214996</v>
      </c>
      <c r="O73" s="3">
        <f>SUM(OSRRefE14x_7)</f>
        <v>164548</v>
      </c>
      <c r="Q73" s="3">
        <f>SUM(OSRRefG14x)</f>
        <v>3565474.9300000006</v>
      </c>
    </row>
    <row r="74" spans="1:17" s="9" customFormat="1" hidden="1" outlineLevel="1" x14ac:dyDescent="0.25">
      <c r="A74" s="22"/>
      <c r="B74" s="13" t="str">
        <f>CONCATENATE("          ","5000", " - ","PURCHASES @ COST")</f>
        <v xml:space="preserve">          5000 - PURCHASES @ COST</v>
      </c>
      <c r="C74" s="23"/>
      <c r="D74" s="2"/>
      <c r="E74" s="2"/>
      <c r="F74" s="2"/>
      <c r="G74" s="2"/>
      <c r="H74" s="2">
        <v>162748</v>
      </c>
      <c r="I74" s="2">
        <v>170025</v>
      </c>
      <c r="J74" s="2">
        <v>771410</v>
      </c>
      <c r="K74" s="2">
        <v>237039</v>
      </c>
      <c r="L74" s="2">
        <v>154534</v>
      </c>
      <c r="M74" s="2">
        <v>149745</v>
      </c>
      <c r="N74" s="2">
        <v>214996</v>
      </c>
      <c r="O74" s="2">
        <v>164548</v>
      </c>
      <c r="Q74" s="2">
        <f>SUM(OSRRefD14_0x)+IFERROR(SUM(OSRRefE14_0x),0)</f>
        <v>2025045</v>
      </c>
    </row>
    <row r="75" spans="1:17" s="9" customFormat="1" hidden="1" outlineLevel="1" x14ac:dyDescent="0.25">
      <c r="A75" s="22"/>
      <c r="B75" s="13" t="str">
        <f>CONCATENATE("          ","5001", " - ","PURCHASES @ COST-NEW TEXT")</f>
        <v xml:space="preserve">          5001 - PURCHASES @ COST-NEW TEXT</v>
      </c>
      <c r="C75" s="23"/>
      <c r="D75" s="2">
        <v>153110.63</v>
      </c>
      <c r="E75" s="2">
        <v>538222.14</v>
      </c>
      <c r="F75" s="2">
        <v>602088.99</v>
      </c>
      <c r="G75" s="2">
        <v>55775.07</v>
      </c>
      <c r="H75" s="2"/>
      <c r="I75" s="2"/>
      <c r="J75" s="2"/>
      <c r="K75" s="2"/>
      <c r="L75" s="2"/>
      <c r="M75" s="2"/>
      <c r="N75" s="2"/>
      <c r="O75" s="2"/>
      <c r="Q75" s="2">
        <f>SUM(OSRRefD14_1x)+IFERROR(SUM(OSRRefE14_1x),0)</f>
        <v>1349196.83</v>
      </c>
    </row>
    <row r="76" spans="1:17" s="9" customFormat="1" hidden="1" outlineLevel="1" x14ac:dyDescent="0.25">
      <c r="A76" s="22"/>
      <c r="B76" s="13" t="str">
        <f>CONCATENATE("          ","5002", " - ","PURCHASES @ COST-USED TEXT")</f>
        <v xml:space="preserve">          5002 - PURCHASES @ COST-USED TEXT</v>
      </c>
      <c r="C76" s="23"/>
      <c r="D76" s="2">
        <v>60324.850000000006</v>
      </c>
      <c r="E76" s="2">
        <v>128042.67</v>
      </c>
      <c r="F76" s="2">
        <v>108363.86</v>
      </c>
      <c r="G76" s="2">
        <v>6331.95</v>
      </c>
      <c r="H76" s="2"/>
      <c r="I76" s="2"/>
      <c r="J76" s="2"/>
      <c r="K76" s="2"/>
      <c r="L76" s="2"/>
      <c r="M76" s="2"/>
      <c r="N76" s="2"/>
      <c r="O76" s="2"/>
      <c r="Q76" s="2">
        <f>SUM(OSRRefD14_2x)+IFERROR(SUM(OSRRefE14_2x),0)</f>
        <v>303063.33</v>
      </c>
    </row>
    <row r="77" spans="1:17" s="9" customFormat="1" hidden="1" outlineLevel="1" x14ac:dyDescent="0.25">
      <c r="A77" s="22"/>
      <c r="B77" s="13" t="str">
        <f>CONCATENATE("          ","5003", " - ","PURCHASES @ COST-RENTAL TEXT")</f>
        <v xml:space="preserve">          5003 - PURCHASES @ COST-RENTAL TEXT</v>
      </c>
      <c r="C77" s="23"/>
      <c r="D77" s="2">
        <v>-11926.64</v>
      </c>
      <c r="E77" s="2">
        <v>58.8</v>
      </c>
      <c r="F77" s="2">
        <v>781.74</v>
      </c>
      <c r="G77" s="2">
        <v>10600.69</v>
      </c>
      <c r="H77" s="2"/>
      <c r="I77" s="2"/>
      <c r="J77" s="2"/>
      <c r="K77" s="2"/>
      <c r="L77" s="2"/>
      <c r="M77" s="2"/>
      <c r="N77" s="2"/>
      <c r="O77" s="2"/>
      <c r="Q77" s="2">
        <f>SUM(OSRRefD14_3x)+IFERROR(SUM(OSRRefE14_3x),0)</f>
        <v>-485.40999999999985</v>
      </c>
    </row>
    <row r="78" spans="1:17" s="9" customFormat="1" hidden="1" outlineLevel="1" x14ac:dyDescent="0.25">
      <c r="A78" s="22"/>
      <c r="B78" s="13" t="str">
        <f>CONCATENATE("          ","5004", " - ","PURCHASES @ COST-DIGITAL TEXT")</f>
        <v xml:space="preserve">          5004 - PURCHASES @ COST-DIGITAL TEXT</v>
      </c>
      <c r="C78" s="23"/>
      <c r="D78" s="2">
        <v>4925.4799999999996</v>
      </c>
      <c r="E78" s="2">
        <v>117504.49</v>
      </c>
      <c r="F78" s="2">
        <v>60186.1</v>
      </c>
      <c r="G78" s="2">
        <v>12903.46</v>
      </c>
      <c r="H78" s="2"/>
      <c r="I78" s="2"/>
      <c r="J78" s="2"/>
      <c r="K78" s="2"/>
      <c r="L78" s="2"/>
      <c r="M78" s="2"/>
      <c r="N78" s="2"/>
      <c r="O78" s="2"/>
      <c r="Q78" s="2">
        <f>SUM(OSRRefD14_4x)+IFERROR(SUM(OSRRefE14_4x),0)</f>
        <v>195519.53</v>
      </c>
    </row>
    <row r="79" spans="1:17" s="9" customFormat="1" hidden="1" outlineLevel="1" x14ac:dyDescent="0.25">
      <c r="A79" s="22"/>
      <c r="B79" s="13" t="str">
        <f>CONCATENATE("          ","5011", " - ","PURCHASES @ COST-NO VALUE TEXT")</f>
        <v xml:space="preserve">          5011 - PURCHASES @ COST-NO VALUE TEXT</v>
      </c>
      <c r="C79" s="23"/>
      <c r="D79" s="2"/>
      <c r="E79" s="2"/>
      <c r="F79" s="2"/>
      <c r="G79" s="2">
        <v>67.17</v>
      </c>
      <c r="H79" s="2"/>
      <c r="I79" s="2"/>
      <c r="J79" s="2"/>
      <c r="K79" s="2"/>
      <c r="L79" s="2"/>
      <c r="M79" s="2"/>
      <c r="N79" s="2"/>
      <c r="O79" s="2"/>
      <c r="Q79" s="2">
        <f>SUM(OSRRefD14_5x)+IFERROR(SUM(OSRRefE14_5x),0)</f>
        <v>67.17</v>
      </c>
    </row>
    <row r="80" spans="1:17" s="9" customFormat="1" hidden="1" outlineLevel="1" x14ac:dyDescent="0.25">
      <c r="A80" s="22"/>
      <c r="B80" s="13" t="str">
        <f>CONCATENATE("          ","5013", " - ","PURCHASES @ COST-TRADE BOOKS")</f>
        <v xml:space="preserve">          5013 - PURCHASES @ COST-TRADE BOOKS</v>
      </c>
      <c r="C80" s="23"/>
      <c r="D80" s="2">
        <v>108.54</v>
      </c>
      <c r="E80" s="2"/>
      <c r="F80" s="2">
        <v>-9.36</v>
      </c>
      <c r="G80" s="2">
        <v>1384.46</v>
      </c>
      <c r="H80" s="2"/>
      <c r="I80" s="2"/>
      <c r="J80" s="2"/>
      <c r="K80" s="2"/>
      <c r="L80" s="2"/>
      <c r="M80" s="2"/>
      <c r="N80" s="2"/>
      <c r="O80" s="2"/>
      <c r="Q80" s="2">
        <f>SUM(OSRRefD14_6x)+IFERROR(SUM(OSRRefE14_6x),0)</f>
        <v>1483.64</v>
      </c>
    </row>
    <row r="81" spans="1:17" s="9" customFormat="1" hidden="1" outlineLevel="1" x14ac:dyDescent="0.25">
      <c r="A81" s="22"/>
      <c r="B81" s="13" t="str">
        <f>CONCATENATE("          ","5014", " - ","PURCHASES @ COST-REMAINDERS")</f>
        <v xml:space="preserve">          5014 - PURCHASES @ COST-REMAINDERS</v>
      </c>
      <c r="C81" s="23"/>
      <c r="D81" s="2">
        <v>-12.51</v>
      </c>
      <c r="E81" s="2"/>
      <c r="F81" s="2"/>
      <c r="G81" s="2">
        <v>102.92</v>
      </c>
      <c r="H81" s="2"/>
      <c r="I81" s="2"/>
      <c r="J81" s="2"/>
      <c r="K81" s="2"/>
      <c r="L81" s="2"/>
      <c r="M81" s="2"/>
      <c r="N81" s="2"/>
      <c r="O81" s="2"/>
      <c r="Q81" s="2">
        <f>SUM(OSRRefD14_7x)+IFERROR(SUM(OSRRefE14_7x),0)</f>
        <v>90.41</v>
      </c>
    </row>
    <row r="82" spans="1:17" s="9" customFormat="1" hidden="1" outlineLevel="1" x14ac:dyDescent="0.25">
      <c r="A82" s="22"/>
      <c r="B82" s="13" t="str">
        <f>CONCATENATE("          ","5025", " - ","PURCHASES @ COST-TEST FORMS")</f>
        <v xml:space="preserve">          5025 - PURCHASES @ COST-TEST FORMS</v>
      </c>
      <c r="C82" s="23"/>
      <c r="D82" s="2"/>
      <c r="E82" s="2"/>
      <c r="F82" s="2"/>
      <c r="G82" s="2">
        <v>599.29</v>
      </c>
      <c r="H82" s="2"/>
      <c r="I82" s="2"/>
      <c r="J82" s="2"/>
      <c r="K82" s="2"/>
      <c r="L82" s="2"/>
      <c r="M82" s="2"/>
      <c r="N82" s="2"/>
      <c r="O82" s="2"/>
      <c r="Q82" s="2">
        <f>SUM(OSRRefD14_8x)+IFERROR(SUM(OSRRefE14_8x),0)</f>
        <v>599.29</v>
      </c>
    </row>
    <row r="83" spans="1:17" s="9" customFormat="1" hidden="1" outlineLevel="1" x14ac:dyDescent="0.25">
      <c r="A83" s="22"/>
      <c r="B83" s="13" t="str">
        <f>CONCATENATE("          ","5026", " - ","PURCHASES @ COST-WRITING INSTR")</f>
        <v xml:space="preserve">          5026 - PURCHASES @ COST-WRITING INSTR</v>
      </c>
      <c r="C83" s="23"/>
      <c r="D83" s="2"/>
      <c r="E83" s="2"/>
      <c r="F83" s="2"/>
      <c r="G83" s="2">
        <v>380.02</v>
      </c>
      <c r="H83" s="2"/>
      <c r="I83" s="2"/>
      <c r="J83" s="2"/>
      <c r="K83" s="2"/>
      <c r="L83" s="2"/>
      <c r="M83" s="2"/>
      <c r="N83" s="2"/>
      <c r="O83" s="2"/>
      <c r="Q83" s="2">
        <f>SUM(OSRRefD14_9x)+IFERROR(SUM(OSRRefE14_9x),0)</f>
        <v>380.02</v>
      </c>
    </row>
    <row r="84" spans="1:17" s="9" customFormat="1" hidden="1" outlineLevel="1" x14ac:dyDescent="0.25">
      <c r="A84" s="22"/>
      <c r="B84" s="13" t="str">
        <f>CONCATENATE("          ","5027", " - ","PURCHASES @ COST-SCHOOL SUPPLI")</f>
        <v xml:space="preserve">          5027 - PURCHASES @ COST-SCHOOL SUPPLI</v>
      </c>
      <c r="C84" s="23"/>
      <c r="D84" s="2">
        <v>8503.4</v>
      </c>
      <c r="E84" s="2"/>
      <c r="F84" s="2"/>
      <c r="G84" s="2">
        <v>10567.95</v>
      </c>
      <c r="H84" s="2"/>
      <c r="I84" s="2"/>
      <c r="J84" s="2"/>
      <c r="K84" s="2"/>
      <c r="L84" s="2"/>
      <c r="M84" s="2"/>
      <c r="N84" s="2"/>
      <c r="O84" s="2"/>
      <c r="Q84" s="2">
        <f>SUM(OSRRefD14_10x)+IFERROR(SUM(OSRRefE14_10x),0)</f>
        <v>19071.349999999999</v>
      </c>
    </row>
    <row r="85" spans="1:17" s="9" customFormat="1" hidden="1" outlineLevel="1" x14ac:dyDescent="0.25">
      <c r="A85" s="22"/>
      <c r="B85" s="13" t="str">
        <f>CONCATENATE("          ","5028", " - ","PURCHASES @ COST-ART/TECH")</f>
        <v xml:space="preserve">          5028 - PURCHASES @ COST-ART/TECH</v>
      </c>
      <c r="C85" s="23"/>
      <c r="D85" s="2"/>
      <c r="E85" s="2"/>
      <c r="F85" s="2">
        <v>-83.4</v>
      </c>
      <c r="G85" s="2">
        <v>41425.96</v>
      </c>
      <c r="H85" s="2"/>
      <c r="I85" s="2"/>
      <c r="J85" s="2"/>
      <c r="K85" s="2"/>
      <c r="L85" s="2"/>
      <c r="M85" s="2"/>
      <c r="N85" s="2"/>
      <c r="O85" s="2"/>
      <c r="Q85" s="2">
        <f>SUM(OSRRefD14_11x)+IFERROR(SUM(OSRRefE14_11x),0)</f>
        <v>41342.559999999998</v>
      </c>
    </row>
    <row r="86" spans="1:17" s="9" customFormat="1" hidden="1" outlineLevel="1" x14ac:dyDescent="0.25">
      <c r="A86" s="22"/>
      <c r="B86" s="13" t="str">
        <f>CONCATENATE("          ","5031", " - ","PURCHASES @ COST-FOOD")</f>
        <v xml:space="preserve">          5031 - PURCHASES @ COST-FOOD</v>
      </c>
      <c r="C86" s="23"/>
      <c r="D86" s="2"/>
      <c r="E86" s="2"/>
      <c r="F86" s="2">
        <v>4065.92</v>
      </c>
      <c r="G86" s="2">
        <v>4469.18</v>
      </c>
      <c r="H86" s="2"/>
      <c r="I86" s="2"/>
      <c r="J86" s="2"/>
      <c r="K86" s="2"/>
      <c r="L86" s="2"/>
      <c r="M86" s="2"/>
      <c r="N86" s="2"/>
      <c r="O86" s="2"/>
      <c r="Q86" s="2">
        <f>SUM(OSRRefD14_12x)+IFERROR(SUM(OSRRefE14_12x),0)</f>
        <v>8535.1</v>
      </c>
    </row>
    <row r="87" spans="1:17" s="9" customFormat="1" hidden="1" outlineLevel="1" x14ac:dyDescent="0.25">
      <c r="A87" s="22"/>
      <c r="B87" s="13" t="str">
        <f>CONCATENATE("          ","5040", " - ","PURCHASES @ COST-LOGO CLOTHING")</f>
        <v xml:space="preserve">          5040 - PURCHASES @ COST-LOGO CLOTHING</v>
      </c>
      <c r="C87" s="23"/>
      <c r="D87" s="2">
        <v>1723.07</v>
      </c>
      <c r="E87" s="2">
        <v>7628.83</v>
      </c>
      <c r="F87" s="2">
        <v>4398.1499999999996</v>
      </c>
      <c r="G87" s="2">
        <v>25420.9</v>
      </c>
      <c r="H87" s="2"/>
      <c r="I87" s="2"/>
      <c r="J87" s="2"/>
      <c r="K87" s="2"/>
      <c r="L87" s="2"/>
      <c r="M87" s="2"/>
      <c r="N87" s="2"/>
      <c r="O87" s="2"/>
      <c r="Q87" s="2">
        <f>SUM(OSRRefD14_13x)+IFERROR(SUM(OSRRefE14_13x),0)</f>
        <v>39170.949999999997</v>
      </c>
    </row>
    <row r="88" spans="1:17" s="9" customFormat="1" hidden="1" outlineLevel="1" x14ac:dyDescent="0.25">
      <c r="A88" s="22"/>
      <c r="B88" s="13" t="str">
        <f>CONCATENATE("          ","5041", " - ","PURCHASES @ COST-LOGO GIFTS")</f>
        <v xml:space="preserve">          5041 - PURCHASES @ COST-LOGO GIFTS</v>
      </c>
      <c r="C88" s="23"/>
      <c r="D88" s="2">
        <v>-713.75</v>
      </c>
      <c r="E88" s="2">
        <v>1843.29</v>
      </c>
      <c r="F88" s="2">
        <v>868</v>
      </c>
      <c r="G88" s="2">
        <v>15289.8</v>
      </c>
      <c r="H88" s="2"/>
      <c r="I88" s="2"/>
      <c r="J88" s="2"/>
      <c r="K88" s="2"/>
      <c r="L88" s="2"/>
      <c r="M88" s="2"/>
      <c r="N88" s="2"/>
      <c r="O88" s="2"/>
      <c r="Q88" s="2">
        <f>SUM(OSRRefD14_14x)+IFERROR(SUM(OSRRefE14_14x),0)</f>
        <v>17287.34</v>
      </c>
    </row>
    <row r="89" spans="1:17" s="9" customFormat="1" hidden="1" outlineLevel="1" x14ac:dyDescent="0.25">
      <c r="A89" s="22"/>
      <c r="B89" s="13" t="str">
        <f>CONCATENATE("          ","5042", " - ","PURCHASES @ COST-EVERYDAY GIFT")</f>
        <v xml:space="preserve">          5042 - PURCHASES @ COST-EVERYDAY GIFT</v>
      </c>
      <c r="C89" s="23"/>
      <c r="D89" s="2">
        <v>236.16</v>
      </c>
      <c r="E89" s="2">
        <v>732.99</v>
      </c>
      <c r="F89" s="2">
        <v>522</v>
      </c>
      <c r="G89" s="2">
        <v>9421.5300000000007</v>
      </c>
      <c r="H89" s="2"/>
      <c r="I89" s="2"/>
      <c r="J89" s="2"/>
      <c r="K89" s="2"/>
      <c r="L89" s="2"/>
      <c r="M89" s="2"/>
      <c r="N89" s="2"/>
      <c r="O89" s="2"/>
      <c r="Q89" s="2">
        <f>SUM(OSRRefD14_15x)+IFERROR(SUM(OSRRefE14_15x),0)</f>
        <v>10912.68</v>
      </c>
    </row>
    <row r="90" spans="1:17" s="9" customFormat="1" hidden="1" outlineLevel="1" x14ac:dyDescent="0.25">
      <c r="A90" s="22"/>
      <c r="B90" s="13" t="str">
        <f>CONCATENATE("          ","5043", " - ","PURCHASES @ COST-CARDS")</f>
        <v xml:space="preserve">          5043 - PURCHASES @ COST-CARDS</v>
      </c>
      <c r="C90" s="23"/>
      <c r="D90" s="2">
        <v>308.7</v>
      </c>
      <c r="E90" s="2">
        <v>1406.55</v>
      </c>
      <c r="F90" s="2">
        <v>1401</v>
      </c>
      <c r="G90" s="2">
        <v>2526.75</v>
      </c>
      <c r="H90" s="2"/>
      <c r="I90" s="2"/>
      <c r="J90" s="2"/>
      <c r="K90" s="2"/>
      <c r="L90" s="2"/>
      <c r="M90" s="2"/>
      <c r="N90" s="2"/>
      <c r="O90" s="2"/>
      <c r="Q90" s="2">
        <f>SUM(OSRRefD14_16x)+IFERROR(SUM(OSRRefE14_16x),0)</f>
        <v>5643</v>
      </c>
    </row>
    <row r="91" spans="1:17" s="9" customFormat="1" hidden="1" outlineLevel="1" x14ac:dyDescent="0.25">
      <c r="A91" s="22"/>
      <c r="B91" s="13" t="str">
        <f>CONCATENATE("          ","5045", " - ","PURCHASES @ COST-SPECIAL ORDER")</f>
        <v xml:space="preserve">          5045 - PURCHASES @ COST-SPECIAL ORDER</v>
      </c>
      <c r="C91" s="23"/>
      <c r="D91" s="2">
        <v>2756.21</v>
      </c>
      <c r="E91" s="2">
        <v>5633.96</v>
      </c>
      <c r="F91" s="2">
        <v>52784.12</v>
      </c>
      <c r="G91" s="2">
        <v>10080.23</v>
      </c>
      <c r="H91" s="2"/>
      <c r="I91" s="2"/>
      <c r="J91" s="2"/>
      <c r="K91" s="2"/>
      <c r="L91" s="2"/>
      <c r="M91" s="2"/>
      <c r="N91" s="2"/>
      <c r="O91" s="2"/>
      <c r="Q91" s="2">
        <f>SUM(OSRRefD14_17x)+IFERROR(SUM(OSRRefE14_17x),0)</f>
        <v>71254.52</v>
      </c>
    </row>
    <row r="92" spans="1:17" s="9" customFormat="1" hidden="1" outlineLevel="1" x14ac:dyDescent="0.25">
      <c r="A92" s="22"/>
      <c r="B92" s="13" t="str">
        <f>CONCATENATE("          ","5200", " - ","PURCHASES OFFSET")</f>
        <v xml:space="preserve">          5200 - PURCHASES OFFSET</v>
      </c>
      <c r="C92" s="23"/>
      <c r="D92" s="2">
        <v>-215765.28</v>
      </c>
      <c r="E92" s="2">
        <v>-497237.30000000005</v>
      </c>
      <c r="F92" s="2">
        <v>-821971.10000000009</v>
      </c>
      <c r="G92" s="2">
        <v>-234183.50999999998</v>
      </c>
      <c r="H92" s="2"/>
      <c r="I92" s="2"/>
      <c r="J92" s="2"/>
      <c r="K92" s="2"/>
      <c r="L92" s="2"/>
      <c r="M92" s="2"/>
      <c r="N92" s="2"/>
      <c r="O92" s="2"/>
      <c r="Q92" s="2">
        <f>SUM(OSRRefD14_18x)+IFERROR(SUM(OSRRefE14_18x),0)</f>
        <v>-1769157.1900000002</v>
      </c>
    </row>
    <row r="93" spans="1:17" s="9" customFormat="1" hidden="1" outlineLevel="1" x14ac:dyDescent="0.25">
      <c r="A93" s="22"/>
      <c r="B93" s="13" t="str">
        <f>CONCATENATE("          ","5300", " - ","COG$ OFFSET")</f>
        <v xml:space="preserve">          5300 - COG$ OFFSET</v>
      </c>
      <c r="C93" s="23"/>
      <c r="D93" s="2">
        <v>135628</v>
      </c>
      <c r="E93" s="2">
        <v>770429</v>
      </c>
      <c r="F93" s="2">
        <v>204421</v>
      </c>
      <c r="G93" s="2">
        <v>85211</v>
      </c>
      <c r="H93" s="2"/>
      <c r="I93" s="2"/>
      <c r="J93" s="2"/>
      <c r="K93" s="2"/>
      <c r="L93" s="2"/>
      <c r="M93" s="2"/>
      <c r="N93" s="2"/>
      <c r="O93" s="2"/>
      <c r="Q93" s="2">
        <f>SUM(OSRRefD14_19x)+IFERROR(SUM(OSRRefE14_19x),0)</f>
        <v>1195689</v>
      </c>
    </row>
    <row r="94" spans="1:17" s="9" customFormat="1" hidden="1" outlineLevel="1" x14ac:dyDescent="0.25">
      <c r="A94" s="22"/>
      <c r="B94" s="13" t="str">
        <f>CONCATENATE("          ","5501", " - ","FREIGHT-IN-NEW TEXT")</f>
        <v xml:space="preserve">          5501 - FREIGHT-IN-NEW TEXT</v>
      </c>
      <c r="C94" s="23"/>
      <c r="D94" s="2">
        <v>802.72</v>
      </c>
      <c r="E94" s="2">
        <v>4680.5600000000004</v>
      </c>
      <c r="F94" s="2">
        <v>5279.6</v>
      </c>
      <c r="G94" s="2">
        <v>23295.74</v>
      </c>
      <c r="H94" s="2"/>
      <c r="I94" s="2"/>
      <c r="J94" s="2"/>
      <c r="K94" s="2"/>
      <c r="L94" s="2"/>
      <c r="M94" s="2"/>
      <c r="N94" s="2"/>
      <c r="O94" s="2"/>
      <c r="Q94" s="2">
        <f>SUM(OSRRefD14_20x)+IFERROR(SUM(OSRRefE14_20x),0)</f>
        <v>34058.620000000003</v>
      </c>
    </row>
    <row r="95" spans="1:17" s="9" customFormat="1" hidden="1" outlineLevel="1" x14ac:dyDescent="0.25">
      <c r="A95" s="22"/>
      <c r="B95" s="13" t="str">
        <f>CONCATENATE("          ","5502", " - ","FREIGHT-IN-USED TEXT")</f>
        <v xml:space="preserve">          5502 - FREIGHT-IN-USED TEXT</v>
      </c>
      <c r="C95" s="23"/>
      <c r="D95" s="2">
        <v>47.89</v>
      </c>
      <c r="E95" s="2">
        <v>1186.6600000000001</v>
      </c>
      <c r="F95" s="2">
        <v>7276.27</v>
      </c>
      <c r="G95" s="2">
        <v>2233.9</v>
      </c>
      <c r="H95" s="2"/>
      <c r="I95" s="2"/>
      <c r="J95" s="2"/>
      <c r="K95" s="2"/>
      <c r="L95" s="2"/>
      <c r="M95" s="2"/>
      <c r="N95" s="2"/>
      <c r="O95" s="2"/>
      <c r="Q95" s="2">
        <f>SUM(OSRRefD14_21x)+IFERROR(SUM(OSRRefE14_21x),0)</f>
        <v>10744.72</v>
      </c>
    </row>
    <row r="96" spans="1:17" s="9" customFormat="1" hidden="1" outlineLevel="1" x14ac:dyDescent="0.25">
      <c r="A96" s="22"/>
      <c r="B96" s="13" t="str">
        <f>CONCATENATE("          ","5504", " - ","FREIGHT-IN-DIGITAL TEXT")</f>
        <v xml:space="preserve">          5504 - FREIGHT-IN-DIGITAL TEXT</v>
      </c>
      <c r="C96" s="23"/>
      <c r="D96" s="2"/>
      <c r="E96" s="2"/>
      <c r="F96" s="2">
        <v>10.99</v>
      </c>
      <c r="G96" s="2">
        <v>10.99</v>
      </c>
      <c r="H96" s="2"/>
      <c r="I96" s="2"/>
      <c r="J96" s="2"/>
      <c r="K96" s="2"/>
      <c r="L96" s="2"/>
      <c r="M96" s="2"/>
      <c r="N96" s="2"/>
      <c r="O96" s="2"/>
      <c r="Q96" s="2">
        <f>SUM(OSRRefD14_22x)+IFERROR(SUM(OSRRefE14_22x),0)</f>
        <v>21.98</v>
      </c>
    </row>
    <row r="97" spans="1:17" s="9" customFormat="1" hidden="1" outlineLevel="1" x14ac:dyDescent="0.25">
      <c r="A97" s="22"/>
      <c r="B97" s="13" t="str">
        <f>CONCATENATE("          ","5525", " - ","FREIGHT-IN-TEST FORMS")</f>
        <v xml:space="preserve">          5525 - FREIGHT-IN-TEST FORMS</v>
      </c>
      <c r="C97" s="23"/>
      <c r="D97" s="2"/>
      <c r="E97" s="2"/>
      <c r="F97" s="2"/>
      <c r="G97" s="2">
        <v>48.14</v>
      </c>
      <c r="H97" s="2"/>
      <c r="I97" s="2"/>
      <c r="J97" s="2"/>
      <c r="K97" s="2"/>
      <c r="L97" s="2"/>
      <c r="M97" s="2"/>
      <c r="N97" s="2"/>
      <c r="O97" s="2"/>
      <c r="Q97" s="2">
        <f>SUM(OSRRefD14_23x)+IFERROR(SUM(OSRRefE14_23x),0)</f>
        <v>48.14</v>
      </c>
    </row>
    <row r="98" spans="1:17" s="9" customFormat="1" hidden="1" outlineLevel="1" x14ac:dyDescent="0.25">
      <c r="A98" s="22"/>
      <c r="B98" s="13" t="str">
        <f>CONCATENATE("          ","5527", " - ","FREIGHT-IN-SCHOOL SUPPLIES")</f>
        <v xml:space="preserve">          5527 - FREIGHT-IN-SCHOOL SUPPLIES</v>
      </c>
      <c r="C98" s="23"/>
      <c r="D98" s="2"/>
      <c r="E98" s="2"/>
      <c r="F98" s="2"/>
      <c r="G98" s="2">
        <v>56</v>
      </c>
      <c r="H98" s="2"/>
      <c r="I98" s="2"/>
      <c r="J98" s="2"/>
      <c r="K98" s="2"/>
      <c r="L98" s="2"/>
      <c r="M98" s="2"/>
      <c r="N98" s="2"/>
      <c r="O98" s="2"/>
      <c r="Q98" s="2">
        <f>SUM(OSRRefD14_24x)+IFERROR(SUM(OSRRefE14_24x),0)</f>
        <v>56</v>
      </c>
    </row>
    <row r="99" spans="1:17" s="9" customFormat="1" hidden="1" outlineLevel="1" x14ac:dyDescent="0.25">
      <c r="A99" s="22"/>
      <c r="B99" s="13" t="str">
        <f>CONCATENATE("          ","5528", " - ","FREIGHT-IN-ART/TECH")</f>
        <v xml:space="preserve">          5528 - FREIGHT-IN-ART/TECH</v>
      </c>
      <c r="C99" s="23"/>
      <c r="D99" s="2">
        <v>38.049999999999997</v>
      </c>
      <c r="E99" s="2"/>
      <c r="F99" s="2">
        <v>6.76</v>
      </c>
      <c r="G99" s="2">
        <v>239.39</v>
      </c>
      <c r="H99" s="2"/>
      <c r="I99" s="2"/>
      <c r="J99" s="2"/>
      <c r="K99" s="2"/>
      <c r="L99" s="2"/>
      <c r="M99" s="2"/>
      <c r="N99" s="2"/>
      <c r="O99" s="2"/>
      <c r="Q99" s="2">
        <f>SUM(OSRRefD14_25x)+IFERROR(SUM(OSRRefE14_25x),0)</f>
        <v>284.2</v>
      </c>
    </row>
    <row r="100" spans="1:17" s="9" customFormat="1" hidden="1" outlineLevel="1" x14ac:dyDescent="0.25">
      <c r="A100" s="22"/>
      <c r="B100" s="13" t="str">
        <f>CONCATENATE("          ","5540", " - ","FREIGHT-IN-LOGO CLOTHING")</f>
        <v xml:space="preserve">          5540 - FREIGHT-IN-LOGO CLOTHING</v>
      </c>
      <c r="C100" s="23"/>
      <c r="D100" s="2">
        <v>909.83</v>
      </c>
      <c r="E100" s="2">
        <v>1021.7</v>
      </c>
      <c r="F100" s="2">
        <v>234.23</v>
      </c>
      <c r="G100" s="2">
        <v>1036.57</v>
      </c>
      <c r="H100" s="2"/>
      <c r="I100" s="2"/>
      <c r="J100" s="2"/>
      <c r="K100" s="2"/>
      <c r="L100" s="2"/>
      <c r="M100" s="2"/>
      <c r="N100" s="2"/>
      <c r="O100" s="2"/>
      <c r="Q100" s="2">
        <f>SUM(OSRRefD14_26x)+IFERROR(SUM(OSRRefE14_26x),0)</f>
        <v>3202.33</v>
      </c>
    </row>
    <row r="101" spans="1:17" s="9" customFormat="1" hidden="1" outlineLevel="1" x14ac:dyDescent="0.25">
      <c r="A101" s="22"/>
      <c r="B101" s="13" t="str">
        <f>CONCATENATE("          ","5541", " - ","FREIGHT-IN-LOGO GIFTS")</f>
        <v xml:space="preserve">          5541 - FREIGHT-IN-LOGO GIFTS</v>
      </c>
      <c r="C101" s="23"/>
      <c r="D101" s="2">
        <v>83.58</v>
      </c>
      <c r="E101" s="2">
        <v>123.12</v>
      </c>
      <c r="F101" s="2">
        <v>154.41</v>
      </c>
      <c r="G101" s="2">
        <v>773.7</v>
      </c>
      <c r="H101" s="2"/>
      <c r="I101" s="2"/>
      <c r="J101" s="2"/>
      <c r="K101" s="2"/>
      <c r="L101" s="2"/>
      <c r="M101" s="2"/>
      <c r="N101" s="2"/>
      <c r="O101" s="2"/>
      <c r="Q101" s="2">
        <f>SUM(OSRRefD14_27x)+IFERROR(SUM(OSRRefE14_27x),0)</f>
        <v>1134.81</v>
      </c>
    </row>
    <row r="102" spans="1:17" s="9" customFormat="1" hidden="1" outlineLevel="1" x14ac:dyDescent="0.25">
      <c r="A102" s="22"/>
      <c r="B102" s="13" t="str">
        <f>CONCATENATE("          ","5542", " - ","FREIGHT-IN-EVERYDAY GIFTS")</f>
        <v xml:space="preserve">          5542 - FREIGHT-IN-EVERYDAY GIFTS</v>
      </c>
      <c r="C102" s="23"/>
      <c r="D102" s="2">
        <v>5.94</v>
      </c>
      <c r="E102" s="2"/>
      <c r="F102" s="2">
        <v>65.44</v>
      </c>
      <c r="G102" s="2">
        <v>104.17</v>
      </c>
      <c r="H102" s="2"/>
      <c r="I102" s="2"/>
      <c r="J102" s="2"/>
      <c r="K102" s="2"/>
      <c r="L102" s="2"/>
      <c r="M102" s="2"/>
      <c r="N102" s="2"/>
      <c r="O102" s="2"/>
      <c r="Q102" s="2">
        <f>SUM(OSRRefD14_28x)+IFERROR(SUM(OSRRefE14_28x),0)</f>
        <v>175.55</v>
      </c>
    </row>
    <row r="103" spans="1:17" s="9" customFormat="1" hidden="1" outlineLevel="1" x14ac:dyDescent="0.25">
      <c r="A103" s="22"/>
      <c r="B103" s="13" t="str">
        <f>CONCATENATE("          ","5543", " - ","FREIGHT-IN-CARDS")</f>
        <v xml:space="preserve">          5543 - FREIGHT-IN-CARDS</v>
      </c>
      <c r="C103" s="23"/>
      <c r="D103" s="2"/>
      <c r="E103" s="2"/>
      <c r="F103" s="2">
        <v>81.77</v>
      </c>
      <c r="G103" s="2">
        <v>107.42</v>
      </c>
      <c r="H103" s="2"/>
      <c r="I103" s="2"/>
      <c r="J103" s="2"/>
      <c r="K103" s="2"/>
      <c r="L103" s="2"/>
      <c r="M103" s="2"/>
      <c r="N103" s="2"/>
      <c r="O103" s="2"/>
      <c r="Q103" s="2">
        <f>SUM(OSRRefD14_29x)+IFERROR(SUM(OSRRefE14_29x),0)</f>
        <v>189.19</v>
      </c>
    </row>
    <row r="104" spans="1:17" s="9" customFormat="1" hidden="1" outlineLevel="1" x14ac:dyDescent="0.25">
      <c r="A104" s="22"/>
      <c r="B104" s="13" t="str">
        <f>CONCATENATE("          ","5545", " - ","FREIGHT-IN-SPECIAL ORDERS")</f>
        <v xml:space="preserve">          5545 - FREIGHT-IN-SPECIAL ORDERS</v>
      </c>
      <c r="C104" s="23"/>
      <c r="D104" s="2">
        <v>300.39999999999998</v>
      </c>
      <c r="E104" s="2">
        <v>145.6</v>
      </c>
      <c r="F104" s="2">
        <v>214.61</v>
      </c>
      <c r="G104" s="2">
        <v>189.66</v>
      </c>
      <c r="H104" s="2"/>
      <c r="I104" s="2"/>
      <c r="J104" s="2"/>
      <c r="K104" s="2"/>
      <c r="L104" s="2"/>
      <c r="M104" s="2"/>
      <c r="N104" s="2"/>
      <c r="O104" s="2"/>
      <c r="Q104" s="2">
        <f>SUM(OSRRefD14_30x)+IFERROR(SUM(OSRRefE14_30x),0)</f>
        <v>850.27</v>
      </c>
    </row>
    <row r="105" spans="1:17" x14ac:dyDescent="0.25">
      <c r="A105" s="5"/>
      <c r="B105" s="8"/>
      <c r="C105" s="8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s="14" customFormat="1" x14ac:dyDescent="0.25">
      <c r="A106" s="8"/>
      <c r="B106" s="17" t="s">
        <v>6</v>
      </c>
      <c r="C106" s="17"/>
      <c r="D106" s="6">
        <f t="shared" ref="D106:O106" si="13">IFERROR(+D10-D73, 0)</f>
        <v>86271.979999999923</v>
      </c>
      <c r="E106" s="6">
        <f t="shared" si="13"/>
        <v>515666.05000000028</v>
      </c>
      <c r="F106" s="6">
        <f t="shared" si="13"/>
        <v>138003.77000000011</v>
      </c>
      <c r="G106" s="6">
        <f t="shared" si="13"/>
        <v>73638.530000000042</v>
      </c>
      <c r="H106" s="6">
        <f t="shared" si="13"/>
        <v>141367.20000000001</v>
      </c>
      <c r="I106" s="6">
        <f t="shared" si="13"/>
        <v>143190</v>
      </c>
      <c r="J106" s="6">
        <f t="shared" si="13"/>
        <v>371369.39999999991</v>
      </c>
      <c r="K106" s="6">
        <f t="shared" si="13"/>
        <v>157619.70000000001</v>
      </c>
      <c r="L106" s="6">
        <f t="shared" si="13"/>
        <v>126558.29999999999</v>
      </c>
      <c r="M106" s="6">
        <f t="shared" si="13"/>
        <v>120167.54999999999</v>
      </c>
      <c r="N106" s="6">
        <f t="shared" si="13"/>
        <v>166139.79999999999</v>
      </c>
      <c r="O106" s="6">
        <f t="shared" si="13"/>
        <v>141409.90000000002</v>
      </c>
      <c r="Q106" s="6">
        <f>IFERROR(+Q10-Q73, 0)</f>
        <v>2181402.1799999978</v>
      </c>
    </row>
    <row r="107" spans="1:17" s="8" customFormat="1" x14ac:dyDescent="0.25">
      <c r="B107" s="16"/>
      <c r="C107" s="16"/>
      <c r="D107" s="4">
        <f t="shared" ref="D107:O107" si="14">IFERROR(D106/D10, 0)</f>
        <v>0.37893891194275831</v>
      </c>
      <c r="E107" s="4">
        <f t="shared" si="14"/>
        <v>0.32287869648049894</v>
      </c>
      <c r="F107" s="4">
        <f t="shared" si="14"/>
        <v>0.373847183627393</v>
      </c>
      <c r="G107" s="4">
        <f t="shared" si="14"/>
        <v>0.45992740072187077</v>
      </c>
      <c r="H107" s="4">
        <f t="shared" si="14"/>
        <v>0.46484753146176189</v>
      </c>
      <c r="I107" s="4">
        <f t="shared" si="14"/>
        <v>0.45716201331353862</v>
      </c>
      <c r="J107" s="4">
        <f t="shared" si="14"/>
        <v>0.32497033110677348</v>
      </c>
      <c r="K107" s="4">
        <f t="shared" si="14"/>
        <v>0.39938230172044858</v>
      </c>
      <c r="L107" s="4">
        <f t="shared" si="14"/>
        <v>0.45023751984668381</v>
      </c>
      <c r="M107" s="4">
        <f t="shared" si="14"/>
        <v>0.44520919831256456</v>
      </c>
      <c r="N107" s="4">
        <f t="shared" si="14"/>
        <v>0.43590709663064975</v>
      </c>
      <c r="O107" s="4">
        <f t="shared" si="14"/>
        <v>0.46218744474321471</v>
      </c>
      <c r="P107" s="18"/>
      <c r="Q107" s="4">
        <f>IFERROR(Q106/Q10, 0)</f>
        <v>0.37958044660537354</v>
      </c>
    </row>
    <row r="108" spans="1:17" x14ac:dyDescent="0.25">
      <c r="A108" s="5"/>
      <c r="B108" s="8"/>
      <c r="C108" s="5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Q108" s="1"/>
    </row>
    <row r="109" spans="1:17" s="14" customFormat="1" x14ac:dyDescent="0.25">
      <c r="A109" s="8"/>
      <c r="B109" s="16" t="s">
        <v>291</v>
      </c>
      <c r="C109" s="8"/>
      <c r="D109" s="10">
        <f>SUM(OSRRefD20x_0)</f>
        <v>318600.80000000005</v>
      </c>
      <c r="E109" s="10">
        <f>SUM(OSRRefD20x_1)</f>
        <v>223887.89999999997</v>
      </c>
      <c r="F109" s="10">
        <f>SUM(OSRRefD20x_2)</f>
        <v>259799.44000000003</v>
      </c>
      <c r="G109" s="10">
        <f>SUM(OSRRefD20x_3)</f>
        <v>320952.99</v>
      </c>
      <c r="H109" s="10">
        <f>SUM(OSRRefE20x_0)</f>
        <v>286469.63037888461</v>
      </c>
      <c r="I109" s="10">
        <f>SUM(OSRRefE20x_1)</f>
        <v>312961.04318085383</v>
      </c>
      <c r="J109" s="10">
        <f>SUM(OSRRefE20x_2)</f>
        <v>420663.30217540479</v>
      </c>
      <c r="K109" s="10">
        <f>SUM(OSRRefE20x_3)</f>
        <v>322337.16871127381</v>
      </c>
      <c r="L109" s="10">
        <f>SUM(OSRRefE20x_4)</f>
        <v>285939.25700327381</v>
      </c>
      <c r="M109" s="10">
        <f>SUM(OSRRefE20x_5)</f>
        <v>337517.57311640482</v>
      </c>
      <c r="N109" s="10">
        <f>SUM(OSRRefE20x_6)</f>
        <v>306383.99005277385</v>
      </c>
      <c r="O109" s="10">
        <f>SUM(OSRRefE20x_7)</f>
        <v>306464.29931149888</v>
      </c>
      <c r="Q109" s="10">
        <f>SUM(OSRRefG20x)</f>
        <v>3701977.3939303686</v>
      </c>
    </row>
    <row r="110" spans="1:17" s="34" customFormat="1" collapsed="1" x14ac:dyDescent="0.25">
      <c r="A110" s="35"/>
      <c r="B110" s="15" t="str">
        <f>CONCATENATE("     ","*Benefits                                         ")</f>
        <v xml:space="preserve">     *Benefits                                         </v>
      </c>
      <c r="C110" s="15"/>
      <c r="D110" s="1">
        <f>SUM(OSRRefD21_0x_0)</f>
        <v>40666.47</v>
      </c>
      <c r="E110" s="1">
        <f>SUM(OSRRefD21_0x_1)</f>
        <v>45446.26</v>
      </c>
      <c r="F110" s="1">
        <f>SUM(OSRRefD21_0x_2)</f>
        <v>46877.819999999992</v>
      </c>
      <c r="G110" s="1">
        <f>SUM(OSRRefD21_0x_3)</f>
        <v>47918.080000000002</v>
      </c>
      <c r="H110" s="1">
        <f>SUM(OSRRefE21_0x_0)</f>
        <v>46204.703473653841</v>
      </c>
      <c r="I110" s="1">
        <f>SUM(OSRRefE21_0x_1)</f>
        <v>43917.784891007694</v>
      </c>
      <c r="J110" s="1">
        <f>SUM(OSRRefE21_0x_2)</f>
        <v>58476.880204443252</v>
      </c>
      <c r="K110" s="1">
        <f>SUM(OSRRefE21_0x_3)</f>
        <v>47500.629634504614</v>
      </c>
      <c r="L110" s="1">
        <f>SUM(OSRRefE21_0x_4)</f>
        <v>46867.997926504606</v>
      </c>
      <c r="M110" s="1">
        <f>SUM(OSRRefE21_0x_5)</f>
        <v>53908.23239544325</v>
      </c>
      <c r="N110" s="1">
        <f>SUM(OSRRefE21_0x_6)</f>
        <v>47075.848476004619</v>
      </c>
      <c r="O110" s="1">
        <f>SUM(OSRRefE21_0x_7)</f>
        <v>49076.510234729612</v>
      </c>
      <c r="Q110" s="2">
        <f>SUM(OSRRefD20_0x)+IFERROR(SUM(OSRRefE20_0x),0)</f>
        <v>573937.2172362915</v>
      </c>
    </row>
    <row r="111" spans="1:17" s="34" customFormat="1" hidden="1" outlineLevel="1" x14ac:dyDescent="0.25">
      <c r="A111" s="35"/>
      <c r="B111" s="13" t="str">
        <f>CONCATENATE("          ","6111", " - ","F.I.C.A.")</f>
        <v xml:space="preserve">          6111 - F.I.C.A.</v>
      </c>
      <c r="C111" s="15"/>
      <c r="D111" s="2">
        <v>7566.94</v>
      </c>
      <c r="E111" s="2">
        <v>10736.45</v>
      </c>
      <c r="F111" s="2">
        <v>11303.64</v>
      </c>
      <c r="G111" s="2">
        <v>12100.84</v>
      </c>
      <c r="H111" s="2">
        <v>7411.3315055769272</v>
      </c>
      <c r="I111" s="2">
        <v>7061.4900343153886</v>
      </c>
      <c r="J111" s="2">
        <v>10553.831804443265</v>
      </c>
      <c r="K111" s="2">
        <v>7532.1525778546184</v>
      </c>
      <c r="L111" s="2">
        <v>7532.1525778546184</v>
      </c>
      <c r="M111" s="2">
        <v>9415.1907223182661</v>
      </c>
      <c r="N111" s="2">
        <v>7597.4996316046181</v>
      </c>
      <c r="O111" s="2">
        <v>10403.147403079618</v>
      </c>
      <c r="P111" s="9"/>
      <c r="Q111" s="2">
        <f>SUM(OSRRefD21_0_0x)+IFERROR(SUM(OSRRefE21_0_0x),0)</f>
        <v>109214.66625704731</v>
      </c>
    </row>
    <row r="112" spans="1:17" s="34" customFormat="1" hidden="1" outlineLevel="1" x14ac:dyDescent="0.25">
      <c r="A112" s="35"/>
      <c r="B112" s="13" t="str">
        <f>CONCATENATE("          ","6112", " - ","COMPENSATION INSURANCE")</f>
        <v xml:space="preserve">          6112 - COMPENSATION INSURANCE</v>
      </c>
      <c r="C112" s="15"/>
      <c r="D112" s="2">
        <v>1779.03</v>
      </c>
      <c r="E112" s="2">
        <v>2365.1</v>
      </c>
      <c r="F112" s="2">
        <v>4070.32</v>
      </c>
      <c r="G112" s="2">
        <v>1743.97</v>
      </c>
      <c r="H112" s="2">
        <v>2779.4339519230757</v>
      </c>
      <c r="I112" s="2">
        <v>2913.3129303846122</v>
      </c>
      <c r="J112" s="2">
        <v>5226.7535557692299</v>
      </c>
      <c r="K112" s="2">
        <v>3278.6287723653822</v>
      </c>
      <c r="L112" s="2">
        <v>2969.118592365382</v>
      </c>
      <c r="M112" s="2">
        <v>3618.1169276442329</v>
      </c>
      <c r="N112" s="2">
        <v>3035.4759186153833</v>
      </c>
      <c r="O112" s="2">
        <v>2551.546397365385</v>
      </c>
      <c r="P112" s="9"/>
      <c r="Q112" s="2">
        <f>SUM(OSRRefD21_0_1x)+IFERROR(SUM(OSRRefE21_0_1x),0)</f>
        <v>36330.807046432681</v>
      </c>
    </row>
    <row r="113" spans="1:17" s="34" customFormat="1" hidden="1" outlineLevel="1" x14ac:dyDescent="0.25">
      <c r="A113" s="35"/>
      <c r="B113" s="13" t="str">
        <f>CONCATENATE("          ","6113", " - ","GROUP INSURANCE")</f>
        <v xml:space="preserve">          6113 - GROUP INSURANCE</v>
      </c>
      <c r="C113" s="15"/>
      <c r="D113" s="2">
        <v>13468.68</v>
      </c>
      <c r="E113" s="2">
        <v>15535.390000000001</v>
      </c>
      <c r="F113" s="2">
        <v>14780.92</v>
      </c>
      <c r="G113" s="2">
        <v>14801.22</v>
      </c>
      <c r="H113" s="2">
        <v>19267.5</v>
      </c>
      <c r="I113" s="2">
        <v>18180</v>
      </c>
      <c r="J113" s="2">
        <v>20047.499999999989</v>
      </c>
      <c r="K113" s="2">
        <v>19267.5</v>
      </c>
      <c r="L113" s="2">
        <v>19267.5</v>
      </c>
      <c r="M113" s="2">
        <v>20047.499999999989</v>
      </c>
      <c r="N113" s="2">
        <v>19267.5</v>
      </c>
      <c r="O113" s="2">
        <v>19267.5</v>
      </c>
      <c r="P113" s="9"/>
      <c r="Q113" s="2">
        <f>SUM(OSRRefD21_0_2x)+IFERROR(SUM(OSRRefE21_0_2x),0)</f>
        <v>213198.70999999996</v>
      </c>
    </row>
    <row r="114" spans="1:17" s="34" customFormat="1" hidden="1" outlineLevel="1" x14ac:dyDescent="0.25">
      <c r="A114" s="35"/>
      <c r="B114" s="13" t="str">
        <f>CONCATENATE("          ","6114", " - ","STATE UNEMPLOYMENT INSURANCE")</f>
        <v xml:space="preserve">          6114 - STATE UNEMPLOYMENT INSURANCE</v>
      </c>
      <c r="C114" s="15"/>
      <c r="D114" s="2">
        <v>275.08999999999997</v>
      </c>
      <c r="E114" s="2">
        <v>373.18</v>
      </c>
      <c r="F114" s="2">
        <v>487.57</v>
      </c>
      <c r="G114" s="2">
        <v>302.25</v>
      </c>
      <c r="H114" s="2">
        <v>390.62315000000001</v>
      </c>
      <c r="I114" s="2">
        <v>409.43857400000002</v>
      </c>
      <c r="J114" s="2">
        <v>734.57077000000004</v>
      </c>
      <c r="K114" s="2">
        <v>460.78025989999998</v>
      </c>
      <c r="L114" s="2">
        <v>417.2815319</v>
      </c>
      <c r="M114" s="2">
        <v>508.49210875</v>
      </c>
      <c r="N114" s="2">
        <v>426.60742640000001</v>
      </c>
      <c r="O114" s="2">
        <v>358.59570989999997</v>
      </c>
      <c r="P114" s="9"/>
      <c r="Q114" s="2">
        <f>SUM(OSRRefD21_0_3x)+IFERROR(SUM(OSRRefE21_0_3x),0)</f>
        <v>5144.4795308499997</v>
      </c>
    </row>
    <row r="115" spans="1:17" s="34" customFormat="1" hidden="1" outlineLevel="1" x14ac:dyDescent="0.25">
      <c r="A115" s="35"/>
      <c r="B115" s="13" t="str">
        <f>CONCATENATE("          ","6115", " - ","P.E.R.S.")</f>
        <v xml:space="preserve">          6115 - P.E.R.S.</v>
      </c>
      <c r="C115" s="15"/>
      <c r="D115" s="2">
        <v>8158.49</v>
      </c>
      <c r="E115" s="2">
        <v>6155.57</v>
      </c>
      <c r="F115" s="2">
        <v>5930.47</v>
      </c>
      <c r="G115" s="2">
        <v>4938.6400000000003</v>
      </c>
      <c r="H115" s="2">
        <v>5507.4204846153816</v>
      </c>
      <c r="I115" s="2">
        <v>4977.1188169230718</v>
      </c>
      <c r="J115" s="2">
        <v>6977.8802963461567</v>
      </c>
      <c r="K115" s="2">
        <v>5582.3042370769226</v>
      </c>
      <c r="L115" s="2">
        <v>5582.3042370769226</v>
      </c>
      <c r="M115" s="2">
        <v>6977.8802963461567</v>
      </c>
      <c r="N115" s="2">
        <v>5582.3042370769226</v>
      </c>
      <c r="O115" s="2">
        <v>5582.3042370769226</v>
      </c>
      <c r="P115" s="9"/>
      <c r="Q115" s="2">
        <f>SUM(OSRRefD21_0_4x)+IFERROR(SUM(OSRRefE21_0_4x),0)</f>
        <v>71952.68684253846</v>
      </c>
    </row>
    <row r="116" spans="1:17" s="34" customFormat="1" hidden="1" outlineLevel="1" x14ac:dyDescent="0.25">
      <c r="A116" s="35"/>
      <c r="B116" s="13" t="str">
        <f>CONCATENATE("          ","6116", " - ","EDUCATIONAL BENEFITS")</f>
        <v xml:space="preserve">          6116 - EDUCATIONAL BENEFITS</v>
      </c>
      <c r="C116" s="15"/>
      <c r="D116" s="2">
        <v>0</v>
      </c>
      <c r="E116" s="2"/>
      <c r="F116" s="2"/>
      <c r="G116" s="2"/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9"/>
      <c r="Q116" s="2">
        <f>SUM(OSRRefD21_0_5x)+IFERROR(SUM(OSRRefE21_0_5x),0)</f>
        <v>0</v>
      </c>
    </row>
    <row r="117" spans="1:17" s="34" customFormat="1" hidden="1" outlineLevel="1" x14ac:dyDescent="0.25">
      <c r="A117" s="35"/>
      <c r="B117" s="13" t="str">
        <f>CONCATENATE("          ","6117", " - ","RETIREMENT STAFF HOURLY")</f>
        <v xml:space="preserve">          6117 - RETIREMENT STAFF HOURLY</v>
      </c>
      <c r="C117" s="15"/>
      <c r="D117" s="2">
        <v>333.14</v>
      </c>
      <c r="E117" s="2">
        <v>255.65</v>
      </c>
      <c r="F117" s="2">
        <v>248.98</v>
      </c>
      <c r="G117" s="2">
        <v>222.97</v>
      </c>
      <c r="H117" s="2"/>
      <c r="I117" s="2"/>
      <c r="J117" s="2"/>
      <c r="K117" s="2"/>
      <c r="L117" s="2"/>
      <c r="M117" s="2"/>
      <c r="N117" s="2"/>
      <c r="O117" s="2"/>
      <c r="P117" s="9"/>
      <c r="Q117" s="2">
        <f>SUM(OSRRefD21_0_6x)+IFERROR(SUM(OSRRefE21_0_6x),0)</f>
        <v>1060.74</v>
      </c>
    </row>
    <row r="118" spans="1:17" s="34" customFormat="1" hidden="1" outlineLevel="1" x14ac:dyDescent="0.25">
      <c r="A118" s="35"/>
      <c r="B118" s="13" t="str">
        <f>CONCATENATE("          ","6118", " - ","VACATION")</f>
        <v xml:space="preserve">          6118 - VACATION</v>
      </c>
      <c r="C118" s="15"/>
      <c r="D118" s="2">
        <v>4733.7</v>
      </c>
      <c r="E118" s="2">
        <v>4990.96</v>
      </c>
      <c r="F118" s="2">
        <v>4704.91</v>
      </c>
      <c r="G118" s="2">
        <v>6844.14</v>
      </c>
      <c r="H118" s="2">
        <v>4453.5680938461528</v>
      </c>
      <c r="I118" s="2">
        <v>4145.2531707692351</v>
      </c>
      <c r="J118" s="2">
        <v>5648.1376855769213</v>
      </c>
      <c r="K118" s="2">
        <v>4518.5101484615352</v>
      </c>
      <c r="L118" s="2">
        <v>4518.5101484615352</v>
      </c>
      <c r="M118" s="2">
        <v>5648.1376855769213</v>
      </c>
      <c r="N118" s="2">
        <v>4518.5101484615352</v>
      </c>
      <c r="O118" s="2">
        <v>4518.5101484615352</v>
      </c>
      <c r="P118" s="9"/>
      <c r="Q118" s="2">
        <f>SUM(OSRRefD21_0_7x)+IFERROR(SUM(OSRRefE21_0_7x),0)</f>
        <v>59242.84722961537</v>
      </c>
    </row>
    <row r="119" spans="1:17" s="34" customFormat="1" hidden="1" outlineLevel="1" x14ac:dyDescent="0.25">
      <c r="A119" s="35"/>
      <c r="B119" s="13" t="str">
        <f>CONCATENATE("          ","6119", " - ","SICK LEAVE")</f>
        <v xml:space="preserve">          6119 - SICK LEAVE</v>
      </c>
      <c r="C119" s="15"/>
      <c r="D119" s="2">
        <v>3335.98</v>
      </c>
      <c r="E119" s="2">
        <v>3619.21</v>
      </c>
      <c r="F119" s="2">
        <v>3523.27</v>
      </c>
      <c r="G119" s="2">
        <v>5141</v>
      </c>
      <c r="H119" s="2">
        <v>4419.8262876923054</v>
      </c>
      <c r="I119" s="2">
        <v>4256.1713646153867</v>
      </c>
      <c r="J119" s="2">
        <v>7313.2060923076906</v>
      </c>
      <c r="K119" s="2">
        <v>4885.7536388461504</v>
      </c>
      <c r="L119" s="2">
        <v>4606.1308388461503</v>
      </c>
      <c r="M119" s="2">
        <v>5717.9146548076897</v>
      </c>
      <c r="N119" s="2">
        <v>4672.9511138461503</v>
      </c>
      <c r="O119" s="2">
        <v>4419.90633884615</v>
      </c>
      <c r="P119" s="9"/>
      <c r="Q119" s="2">
        <f>SUM(OSRRefD21_0_8x)+IFERROR(SUM(OSRRefE21_0_8x),0)</f>
        <v>55911.32032980767</v>
      </c>
    </row>
    <row r="120" spans="1:17" s="34" customFormat="1" hidden="1" outlineLevel="1" x14ac:dyDescent="0.25">
      <c r="A120" s="35"/>
      <c r="B120" s="13" t="str">
        <f>CONCATENATE("          ","6156", " - ","EMPLOYEE MEALS")</f>
        <v xml:space="preserve">          6156 - EMPLOYEE MEALS</v>
      </c>
      <c r="C120" s="15"/>
      <c r="D120" s="2">
        <v>1015.42</v>
      </c>
      <c r="E120" s="2">
        <v>1414.75</v>
      </c>
      <c r="F120" s="2">
        <v>1827.74</v>
      </c>
      <c r="G120" s="2">
        <v>1823.05</v>
      </c>
      <c r="H120" s="2">
        <v>1975</v>
      </c>
      <c r="I120" s="2">
        <v>1975</v>
      </c>
      <c r="J120" s="2">
        <v>1975</v>
      </c>
      <c r="K120" s="2">
        <v>1975</v>
      </c>
      <c r="L120" s="2">
        <v>1975</v>
      </c>
      <c r="M120" s="2">
        <v>1975</v>
      </c>
      <c r="N120" s="2">
        <v>1975</v>
      </c>
      <c r="O120" s="2">
        <v>1975</v>
      </c>
      <c r="P120" s="9"/>
      <c r="Q120" s="2">
        <f>SUM(OSRRefD21_0_9x)+IFERROR(SUM(OSRRefE21_0_9x),0)</f>
        <v>21880.959999999999</v>
      </c>
    </row>
    <row r="121" spans="1:17" s="34" customFormat="1" collapsed="1" x14ac:dyDescent="0.25">
      <c r="A121" s="35"/>
      <c r="B121" s="15" t="str">
        <f>CONCATENATE("     ","*Payroll                                          ")</f>
        <v xml:space="preserve">     *Payroll                                          </v>
      </c>
      <c r="C121" s="15"/>
      <c r="D121" s="1">
        <f>SUM(OSRRefD21_1x_0)</f>
        <v>120477.56000000001</v>
      </c>
      <c r="E121" s="1">
        <f>SUM(OSRRefD21_1x_1)</f>
        <v>159836.01</v>
      </c>
      <c r="F121" s="1">
        <f>SUM(OSRRefD21_1x_2)</f>
        <v>120415</v>
      </c>
      <c r="G121" s="1">
        <f>SUM(OSRRefD21_1x_3)</f>
        <v>117475.85999999999</v>
      </c>
      <c r="H121" s="1">
        <f>SUM(OSRRefE21_1x_0)</f>
        <v>136892.92690523076</v>
      </c>
      <c r="I121" s="1">
        <f>SUM(OSRRefE21_1x_1)</f>
        <v>144746.25828984613</v>
      </c>
      <c r="J121" s="1">
        <f>SUM(OSRRefE21_1x_2)</f>
        <v>264669.42197096156</v>
      </c>
      <c r="K121" s="1">
        <f>SUM(OSRRefE21_1x_3)</f>
        <v>163719.5390767692</v>
      </c>
      <c r="L121" s="1">
        <f>SUM(OSRRefE21_1x_4)</f>
        <v>146989.25907676923</v>
      </c>
      <c r="M121" s="1">
        <f>SUM(OSRRefE21_1x_5)</f>
        <v>178694.34072096157</v>
      </c>
      <c r="N121" s="1">
        <f>SUM(OSRRefE21_1x_6)</f>
        <v>150576.14157676921</v>
      </c>
      <c r="O121" s="1">
        <f>SUM(OSRRefE21_1x_7)</f>
        <v>124417.78907676923</v>
      </c>
      <c r="Q121" s="2">
        <f>SUM(OSRRefD20_1x)+IFERROR(SUM(OSRRefE20_1x),0)</f>
        <v>1828910.1066940769</v>
      </c>
    </row>
    <row r="122" spans="1:17" s="34" customFormat="1" hidden="1" outlineLevel="1" x14ac:dyDescent="0.25">
      <c r="A122" s="35"/>
      <c r="B122" s="13" t="str">
        <f>CONCATENATE("          ","6001", " - ","ADMINISTRATIVE SALARIES")</f>
        <v xml:space="preserve">          6001 - ADMINISTRATIVE SALARIES</v>
      </c>
      <c r="C122" s="15"/>
      <c r="D122" s="2">
        <v>4525.8500000000004</v>
      </c>
      <c r="E122" s="2">
        <v>4205.74</v>
      </c>
      <c r="F122" s="2">
        <v>4205.74</v>
      </c>
      <c r="G122" s="2">
        <v>4205.17</v>
      </c>
      <c r="H122" s="2">
        <v>3807.6923076923099</v>
      </c>
      <c r="I122" s="2">
        <v>0</v>
      </c>
      <c r="J122" s="2">
        <v>4759.6153846153902</v>
      </c>
      <c r="K122" s="2">
        <v>3807.6923076923099</v>
      </c>
      <c r="L122" s="2">
        <v>3807.6923076923099</v>
      </c>
      <c r="M122" s="2">
        <v>4759.6153846153902</v>
      </c>
      <c r="N122" s="2">
        <v>3807.6923076923099</v>
      </c>
      <c r="O122" s="2">
        <v>3807.6923076923099</v>
      </c>
      <c r="P122" s="9"/>
      <c r="Q122" s="2">
        <f>SUM(OSRRefD21_1_0x)+IFERROR(SUM(OSRRefE21_1_0x),0)</f>
        <v>45700.192307692327</v>
      </c>
    </row>
    <row r="123" spans="1:17" s="34" customFormat="1" hidden="1" outlineLevel="1" x14ac:dyDescent="0.25">
      <c r="A123" s="35"/>
      <c r="B123" s="13" t="str">
        <f>CONCATENATE("          ","6002", " - ","STAFF SALARIES")</f>
        <v xml:space="preserve">          6002 - STAFF SALARIES</v>
      </c>
      <c r="C123" s="15"/>
      <c r="D123" s="2">
        <v>64436.4</v>
      </c>
      <c r="E123" s="2">
        <v>54058.76</v>
      </c>
      <c r="F123" s="2">
        <v>53438.720000000001</v>
      </c>
      <c r="G123" s="2">
        <v>55040.29</v>
      </c>
      <c r="H123" s="2">
        <v>49224.984517538447</v>
      </c>
      <c r="I123" s="2">
        <v>47483.008209846121</v>
      </c>
      <c r="J123" s="2">
        <v>62515.905236346167</v>
      </c>
      <c r="K123" s="2">
        <v>50012.724189076907</v>
      </c>
      <c r="L123" s="2">
        <v>50012.724189076907</v>
      </c>
      <c r="M123" s="2">
        <v>62515.905236346167</v>
      </c>
      <c r="N123" s="2">
        <v>50012.724189076907</v>
      </c>
      <c r="O123" s="2">
        <v>50012.724189076907</v>
      </c>
      <c r="P123" s="9"/>
      <c r="Q123" s="2">
        <f>SUM(OSRRefD21_1_1x)+IFERROR(SUM(OSRRefE21_1_1x),0)</f>
        <v>648764.86995638465</v>
      </c>
    </row>
    <row r="124" spans="1:17" s="34" customFormat="1" hidden="1" outlineLevel="1" x14ac:dyDescent="0.25">
      <c r="A124" s="35"/>
      <c r="B124" s="13" t="str">
        <f>CONCATENATE("          ","6003", " - ","STAFF HOURLY-9 MONTH")</f>
        <v xml:space="preserve">          6003 - STAFF HOURLY-9 MONTH</v>
      </c>
      <c r="C124" s="15"/>
      <c r="D124" s="2"/>
      <c r="E124" s="2"/>
      <c r="F124" s="2"/>
      <c r="G124" s="2"/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9"/>
      <c r="Q124" s="2">
        <f>SUM(OSRRefD21_1_2x)+IFERROR(SUM(OSRRefE21_1_2x),0)</f>
        <v>0</v>
      </c>
    </row>
    <row r="125" spans="1:17" s="34" customFormat="1" hidden="1" outlineLevel="1" x14ac:dyDescent="0.25">
      <c r="A125" s="35"/>
      <c r="B125" s="13" t="str">
        <f>CONCATENATE("          ","6004", " - ","STAFF HOURLY")</f>
        <v xml:space="preserve">          6004 - STAFF HOURLY</v>
      </c>
      <c r="C125" s="15"/>
      <c r="D125" s="2">
        <v>15713.52</v>
      </c>
      <c r="E125" s="2">
        <v>13876.36</v>
      </c>
      <c r="F125" s="2">
        <v>15888.169999999998</v>
      </c>
      <c r="G125" s="2">
        <v>18098.75</v>
      </c>
      <c r="H125" s="2">
        <v>30982.750080000002</v>
      </c>
      <c r="I125" s="2">
        <v>32302.750080000002</v>
      </c>
      <c r="J125" s="2">
        <v>39569.825100000002</v>
      </c>
      <c r="K125" s="2">
        <v>31655.860080000002</v>
      </c>
      <c r="L125" s="2">
        <v>31655.860080000002</v>
      </c>
      <c r="M125" s="2">
        <v>39569.825100000002</v>
      </c>
      <c r="N125" s="2">
        <v>31655.860080000002</v>
      </c>
      <c r="O125" s="2">
        <v>31655.860080000002</v>
      </c>
      <c r="P125" s="9"/>
      <c r="Q125" s="2">
        <f>SUM(OSRRefD21_1_3x)+IFERROR(SUM(OSRRefE21_1_3x),0)</f>
        <v>332625.39068000007</v>
      </c>
    </row>
    <row r="126" spans="1:17" s="34" customFormat="1" hidden="1" outlineLevel="1" x14ac:dyDescent="0.25">
      <c r="A126" s="35"/>
      <c r="B126" s="13" t="str">
        <f>CONCATENATE("          ","6005", " - ","TEMPORARY WAGES-HOURLY")</f>
        <v xml:space="preserve">          6005 - TEMPORARY WAGES-HOURLY</v>
      </c>
      <c r="C126" s="15"/>
      <c r="D126" s="2">
        <v>12385.55</v>
      </c>
      <c r="E126" s="2">
        <v>22505.489999999998</v>
      </c>
      <c r="F126" s="2">
        <v>25841.46</v>
      </c>
      <c r="G126" s="2">
        <v>19636.400000000001</v>
      </c>
      <c r="H126" s="2">
        <v>1653</v>
      </c>
      <c r="I126" s="2">
        <v>1909.5</v>
      </c>
      <c r="J126" s="2">
        <v>2964</v>
      </c>
      <c r="K126" s="2">
        <v>1719.12</v>
      </c>
      <c r="L126" s="2">
        <v>1719.12</v>
      </c>
      <c r="M126" s="2">
        <v>2148.9</v>
      </c>
      <c r="N126" s="2">
        <v>1985.88</v>
      </c>
      <c r="O126" s="2">
        <v>1985.88</v>
      </c>
      <c r="P126" s="9"/>
      <c r="Q126" s="2">
        <f>SUM(OSRRefD21_1_4x)+IFERROR(SUM(OSRRefE21_1_4x),0)</f>
        <v>96454.299999999988</v>
      </c>
    </row>
    <row r="127" spans="1:17" s="34" customFormat="1" hidden="1" outlineLevel="1" x14ac:dyDescent="0.25">
      <c r="A127" s="35"/>
      <c r="B127" s="13" t="str">
        <f>CONCATENATE("          ","6006", " - ","TEMPORARY PART TIME")</f>
        <v xml:space="preserve">          6006 - TEMPORARY PART TIME</v>
      </c>
      <c r="C127" s="15"/>
      <c r="D127" s="2">
        <v>2048.21</v>
      </c>
      <c r="E127" s="2">
        <v>1927.34</v>
      </c>
      <c r="F127" s="2">
        <v>1728.86</v>
      </c>
      <c r="G127" s="2">
        <v>1802.76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9"/>
      <c r="Q127" s="2">
        <f>SUM(OSRRefD21_1_5x)+IFERROR(SUM(OSRRefE21_1_5x),0)</f>
        <v>7507.17</v>
      </c>
    </row>
    <row r="128" spans="1:17" s="34" customFormat="1" hidden="1" outlineLevel="1" x14ac:dyDescent="0.25">
      <c r="A128" s="35"/>
      <c r="B128" s="13" t="str">
        <f>CONCATENATE("          ","6007", " - ","STUDENT HOURLY")</f>
        <v xml:space="preserve">          6007 - STUDENT HOURLY</v>
      </c>
      <c r="C128" s="15"/>
      <c r="D128" s="2">
        <v>21368.030000000002</v>
      </c>
      <c r="E128" s="2">
        <v>62829.29</v>
      </c>
      <c r="F128" s="2">
        <v>18256.38</v>
      </c>
      <c r="G128" s="2">
        <v>17216.47</v>
      </c>
      <c r="H128" s="2">
        <v>0</v>
      </c>
      <c r="I128" s="2">
        <v>275</v>
      </c>
      <c r="J128" s="2">
        <v>14878.362499999999</v>
      </c>
      <c r="K128" s="2">
        <v>0</v>
      </c>
      <c r="L128" s="2">
        <v>0</v>
      </c>
      <c r="M128" s="2">
        <v>0</v>
      </c>
      <c r="N128" s="2">
        <v>853.875</v>
      </c>
      <c r="O128" s="2">
        <v>36955.6325</v>
      </c>
      <c r="P128" s="9"/>
      <c r="Q128" s="2">
        <f>SUM(OSRRefD21_1_6x)+IFERROR(SUM(OSRRefE21_1_6x),0)</f>
        <v>172633.04</v>
      </c>
    </row>
    <row r="129" spans="1:17" s="34" customFormat="1" hidden="1" outlineLevel="1" x14ac:dyDescent="0.25">
      <c r="A129" s="35"/>
      <c r="B129" s="13" t="str">
        <f>CONCATENATE("          ","6008", " - ","STUDENT HOURLY-FICA EXEMPT")</f>
        <v xml:space="preserve">          6008 - STUDENT HOURLY-FICA EXEMPT</v>
      </c>
      <c r="C129" s="15"/>
      <c r="D129" s="2"/>
      <c r="E129" s="2">
        <v>433.03</v>
      </c>
      <c r="F129" s="2">
        <v>1055.67</v>
      </c>
      <c r="G129" s="2">
        <v>1476.02</v>
      </c>
      <c r="H129" s="2">
        <v>51224.5</v>
      </c>
      <c r="I129" s="2">
        <v>62776</v>
      </c>
      <c r="J129" s="2">
        <v>139981.71375</v>
      </c>
      <c r="K129" s="2">
        <v>76524.142500000002</v>
      </c>
      <c r="L129" s="2">
        <v>59793.862500000003</v>
      </c>
      <c r="M129" s="2">
        <v>69700.095000000001</v>
      </c>
      <c r="N129" s="2">
        <v>62260.109999999993</v>
      </c>
      <c r="O129" s="2">
        <v>0</v>
      </c>
      <c r="P129" s="9"/>
      <c r="Q129" s="2">
        <f>SUM(OSRRefD21_1_7x)+IFERROR(SUM(OSRRefE21_1_7x),0)</f>
        <v>525225.14374999993</v>
      </c>
    </row>
    <row r="130" spans="1:17" s="34" customFormat="1" hidden="1" outlineLevel="1" x14ac:dyDescent="0.25">
      <c r="A130" s="35"/>
      <c r="B130" s="13" t="str">
        <f>CONCATENATE("          ","6009", " - ","TEMPORARY-SEASONAL")</f>
        <v xml:space="preserve">          6009 - TEMPORARY-SEASONAL</v>
      </c>
      <c r="C130" s="15"/>
      <c r="D130" s="2"/>
      <c r="E130" s="2"/>
      <c r="F130" s="2"/>
      <c r="G130" s="2"/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9"/>
      <c r="Q130" s="2">
        <f>SUM(OSRRefD21_1_8x)+IFERROR(SUM(OSRRefE21_1_8x),0)</f>
        <v>0</v>
      </c>
    </row>
    <row r="131" spans="1:17" s="34" customFormat="1" hidden="1" outlineLevel="1" x14ac:dyDescent="0.25">
      <c r="A131" s="35"/>
      <c r="B131" s="13" t="str">
        <f>CONCATENATE("          ","6010", " - ","GRATUITY")</f>
        <v xml:space="preserve">          6010 - GRATUITY</v>
      </c>
      <c r="C131" s="15"/>
      <c r="D131" s="2"/>
      <c r="E131" s="2"/>
      <c r="F131" s="2"/>
      <c r="G131" s="2"/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9"/>
      <c r="Q131" s="2">
        <f>SUM(OSRRefD21_1_9x)+IFERROR(SUM(OSRRefE21_1_9x),0)</f>
        <v>0</v>
      </c>
    </row>
    <row r="132" spans="1:17" s="34" customFormat="1" collapsed="1" x14ac:dyDescent="0.25">
      <c r="A132" s="35"/>
      <c r="B132" s="15" t="str">
        <f>CONCATENATE("     ","Advertising/Promo                                 ")</f>
        <v xml:space="preserve">     Advertising/Promo                                 </v>
      </c>
      <c r="C132" s="15"/>
      <c r="D132" s="1">
        <f>SUM(OSRRefD21_2x_0)</f>
        <v>2590.83</v>
      </c>
      <c r="E132" s="1">
        <f>SUM(OSRRefD21_2x_1)</f>
        <v>9411.3700000000008</v>
      </c>
      <c r="F132" s="1">
        <f>SUM(OSRRefD21_2x_2)</f>
        <v>391.39</v>
      </c>
      <c r="G132" s="1">
        <f>SUM(OSRRefD21_2x_3)</f>
        <v>1316.16</v>
      </c>
      <c r="H132" s="1">
        <f>SUM(OSRRefE21_2x_0)</f>
        <v>450</v>
      </c>
      <c r="I132" s="1">
        <f>SUM(OSRRefE21_2x_1)</f>
        <v>800</v>
      </c>
      <c r="J132" s="1">
        <f>SUM(OSRRefE21_2x_2)</f>
        <v>600</v>
      </c>
      <c r="K132" s="1">
        <f>SUM(OSRRefE21_2x_3)</f>
        <v>400</v>
      </c>
      <c r="L132" s="1">
        <f>SUM(OSRRefE21_2x_4)</f>
        <v>450</v>
      </c>
      <c r="M132" s="1">
        <f>SUM(OSRRefE21_2x_5)</f>
        <v>400</v>
      </c>
      <c r="N132" s="1">
        <f>SUM(OSRRefE21_2x_6)</f>
        <v>850</v>
      </c>
      <c r="O132" s="1">
        <f>SUM(OSRRefE21_2x_7)</f>
        <v>400</v>
      </c>
      <c r="Q132" s="2">
        <f>SUM(OSRRefD20_2x)+IFERROR(SUM(OSRRefE20_2x),0)</f>
        <v>18059.75</v>
      </c>
    </row>
    <row r="133" spans="1:17" s="34" customFormat="1" hidden="1" outlineLevel="1" x14ac:dyDescent="0.25">
      <c r="A133" s="35"/>
      <c r="B133" s="13" t="str">
        <f>CONCATENATE("          ","6362", " - ","ADVERTISING EXPENSE")</f>
        <v xml:space="preserve">          6362 - ADVERTISING EXPENSE</v>
      </c>
      <c r="C133" s="15"/>
      <c r="D133" s="2">
        <v>2590.83</v>
      </c>
      <c r="E133" s="2">
        <v>9411.3700000000008</v>
      </c>
      <c r="F133" s="2">
        <v>391.39</v>
      </c>
      <c r="G133" s="2">
        <v>1316.16</v>
      </c>
      <c r="H133" s="2">
        <v>450</v>
      </c>
      <c r="I133" s="2">
        <v>800</v>
      </c>
      <c r="J133" s="2">
        <v>600</v>
      </c>
      <c r="K133" s="2">
        <v>400</v>
      </c>
      <c r="L133" s="2">
        <v>450</v>
      </c>
      <c r="M133" s="2">
        <v>400</v>
      </c>
      <c r="N133" s="2">
        <v>850</v>
      </c>
      <c r="O133" s="2">
        <v>400</v>
      </c>
      <c r="P133" s="9"/>
      <c r="Q133" s="2">
        <f>SUM(OSRRefD21_2_0x)+IFERROR(SUM(OSRRefE21_2_0x),0)</f>
        <v>18059.75</v>
      </c>
    </row>
    <row r="134" spans="1:17" s="34" customFormat="1" collapsed="1" x14ac:dyDescent="0.25">
      <c r="A134" s="35"/>
      <c r="B134" s="15" t="str">
        <f>CONCATENATE("     ","Bad Debts/Over/Short                              ")</f>
        <v xml:space="preserve">     Bad Debts/Over/Short                              </v>
      </c>
      <c r="C134" s="15"/>
      <c r="D134" s="1">
        <f>SUM(OSRRefD21_3x_0)</f>
        <v>4.9800000000000004</v>
      </c>
      <c r="E134" s="1">
        <f>SUM(OSRRefD21_3x_1)</f>
        <v>66.81</v>
      </c>
      <c r="F134" s="1">
        <f>SUM(OSRRefD21_3x_2)</f>
        <v>8.2200000000000006</v>
      </c>
      <c r="G134" s="1">
        <f>SUM(OSRRefD21_3x_3)</f>
        <v>-29.45</v>
      </c>
      <c r="H134" s="1">
        <f>SUM(OSRRefE21_3x_0)</f>
        <v>90</v>
      </c>
      <c r="I134" s="1">
        <f>SUM(OSRRefE21_3x_1)</f>
        <v>90</v>
      </c>
      <c r="J134" s="1">
        <f>SUM(OSRRefE21_3x_2)</f>
        <v>90</v>
      </c>
      <c r="K134" s="1">
        <f>SUM(OSRRefE21_3x_3)</f>
        <v>90</v>
      </c>
      <c r="L134" s="1">
        <f>SUM(OSRRefE21_3x_4)</f>
        <v>90</v>
      </c>
      <c r="M134" s="1">
        <f>SUM(OSRRefE21_3x_5)</f>
        <v>90</v>
      </c>
      <c r="N134" s="1">
        <f>SUM(OSRRefE21_3x_6)</f>
        <v>90</v>
      </c>
      <c r="O134" s="1">
        <f>SUM(OSRRefE21_3x_7)</f>
        <v>90</v>
      </c>
      <c r="Q134" s="2">
        <f>SUM(OSRRefD20_3x)+IFERROR(SUM(OSRRefE20_3x),0)</f>
        <v>770.56</v>
      </c>
    </row>
    <row r="135" spans="1:17" s="34" customFormat="1" hidden="1" outlineLevel="1" x14ac:dyDescent="0.25">
      <c r="A135" s="35"/>
      <c r="B135" s="13" t="str">
        <f>CONCATENATE("          ","6272", " - ","CASH (OVER/SHORT)")</f>
        <v xml:space="preserve">          6272 - CASH (OVER/SHORT)</v>
      </c>
      <c r="C135" s="15"/>
      <c r="D135" s="2">
        <v>4.9800000000000004</v>
      </c>
      <c r="E135" s="2">
        <v>66.81</v>
      </c>
      <c r="F135" s="2">
        <v>8.2200000000000006</v>
      </c>
      <c r="G135" s="2">
        <v>-29.45</v>
      </c>
      <c r="H135" s="2">
        <v>60</v>
      </c>
      <c r="I135" s="2">
        <v>60</v>
      </c>
      <c r="J135" s="2">
        <v>60</v>
      </c>
      <c r="K135" s="2">
        <v>60</v>
      </c>
      <c r="L135" s="2">
        <v>60</v>
      </c>
      <c r="M135" s="2">
        <v>60</v>
      </c>
      <c r="N135" s="2">
        <v>60</v>
      </c>
      <c r="O135" s="2">
        <v>60</v>
      </c>
      <c r="P135" s="9"/>
      <c r="Q135" s="2">
        <f>SUM(OSRRefD21_3_0x)+IFERROR(SUM(OSRRefE21_3_0x),0)</f>
        <v>530.55999999999995</v>
      </c>
    </row>
    <row r="136" spans="1:17" s="34" customFormat="1" hidden="1" outlineLevel="1" x14ac:dyDescent="0.25">
      <c r="A136" s="35"/>
      <c r="B136" s="13" t="str">
        <f>CONCATENATE("          ","6342", " - ","BAD DEBT")</f>
        <v xml:space="preserve">          6342 - BAD DEBT</v>
      </c>
      <c r="C136" s="15"/>
      <c r="D136" s="2"/>
      <c r="E136" s="2"/>
      <c r="F136" s="2"/>
      <c r="G136" s="2"/>
      <c r="H136" s="2">
        <v>30</v>
      </c>
      <c r="I136" s="2">
        <v>30</v>
      </c>
      <c r="J136" s="2">
        <v>30</v>
      </c>
      <c r="K136" s="2">
        <v>30</v>
      </c>
      <c r="L136" s="2">
        <v>30</v>
      </c>
      <c r="M136" s="2">
        <v>30</v>
      </c>
      <c r="N136" s="2">
        <v>30</v>
      </c>
      <c r="O136" s="2">
        <v>30</v>
      </c>
      <c r="P136" s="9"/>
      <c r="Q136" s="2">
        <f>SUM(OSRRefD21_3_1x)+IFERROR(SUM(OSRRefE21_3_1x),0)</f>
        <v>240</v>
      </c>
    </row>
    <row r="137" spans="1:17" s="34" customFormat="1" collapsed="1" x14ac:dyDescent="0.25">
      <c r="A137" s="35"/>
      <c r="B137" s="15" t="str">
        <f>CONCATENATE("     ","Bank/card Fees                                    ")</f>
        <v xml:space="preserve">     Bank/card Fees                                    </v>
      </c>
      <c r="C137" s="15"/>
      <c r="D137" s="1">
        <f>SUM(OSRRefD21_4x_0)</f>
        <v>3117.21</v>
      </c>
      <c r="E137" s="1">
        <f>SUM(OSRRefD21_4x_1)</f>
        <v>22080.34</v>
      </c>
      <c r="F137" s="1">
        <f>SUM(OSRRefD21_4x_2)</f>
        <v>9050.2199999999993</v>
      </c>
      <c r="G137" s="1">
        <f>SUM(OSRRefD21_4x_3)</f>
        <v>4891.9799999999996</v>
      </c>
      <c r="H137" s="1">
        <f>SUM(OSRRefE21_4x_0)</f>
        <v>6600</v>
      </c>
      <c r="I137" s="1">
        <f>SUM(OSRRefE21_4x_1)</f>
        <v>26650</v>
      </c>
      <c r="J137" s="1">
        <f>SUM(OSRRefE21_4x_2)</f>
        <v>12490</v>
      </c>
      <c r="K137" s="1">
        <f>SUM(OSRRefE21_4x_3)</f>
        <v>10600</v>
      </c>
      <c r="L137" s="1">
        <f>SUM(OSRRefE21_4x_4)</f>
        <v>11700</v>
      </c>
      <c r="M137" s="1">
        <f>SUM(OSRRefE21_4x_5)</f>
        <v>12700</v>
      </c>
      <c r="N137" s="1">
        <f>SUM(OSRRefE21_4x_6)</f>
        <v>7000</v>
      </c>
      <c r="O137" s="1">
        <f>SUM(OSRRefE21_4x_7)</f>
        <v>900</v>
      </c>
      <c r="Q137" s="2">
        <f>SUM(OSRRefD20_4x)+IFERROR(SUM(OSRRefE20_4x),0)</f>
        <v>127779.75</v>
      </c>
    </row>
    <row r="138" spans="1:17" s="34" customFormat="1" hidden="1" outlineLevel="1" x14ac:dyDescent="0.25">
      <c r="A138" s="35"/>
      <c r="B138" s="13" t="str">
        <f>CONCATENATE("          ","6381", " - ","BANK/CREDIT CARD FEES")</f>
        <v xml:space="preserve">          6381 - BANK/CREDIT CARD FEES</v>
      </c>
      <c r="C138" s="15"/>
      <c r="D138" s="2">
        <v>3117.21</v>
      </c>
      <c r="E138" s="2">
        <v>22080.34</v>
      </c>
      <c r="F138" s="2">
        <v>9050.2199999999993</v>
      </c>
      <c r="G138" s="2">
        <v>4891.9799999999996</v>
      </c>
      <c r="H138" s="2">
        <v>6600</v>
      </c>
      <c r="I138" s="2">
        <v>26650</v>
      </c>
      <c r="J138" s="2">
        <v>12490</v>
      </c>
      <c r="K138" s="2">
        <v>10600</v>
      </c>
      <c r="L138" s="2">
        <v>11700</v>
      </c>
      <c r="M138" s="2">
        <v>12700</v>
      </c>
      <c r="N138" s="2">
        <v>7000</v>
      </c>
      <c r="O138" s="2">
        <v>900</v>
      </c>
      <c r="P138" s="9"/>
      <c r="Q138" s="2">
        <f>SUM(OSRRefD21_4_0x)+IFERROR(SUM(OSRRefE21_4_0x),0)</f>
        <v>127779.75</v>
      </c>
    </row>
    <row r="139" spans="1:17" s="34" customFormat="1" collapsed="1" x14ac:dyDescent="0.25">
      <c r="A139" s="35"/>
      <c r="B139" s="15" t="str">
        <f>CONCATENATE("     ","Depreciation                                      ")</f>
        <v xml:space="preserve">     Depreciation                                      </v>
      </c>
      <c r="C139" s="15"/>
      <c r="D139" s="1">
        <f>SUM(OSRRefD21_5x_0)</f>
        <v>30346.86</v>
      </c>
      <c r="E139" s="1">
        <f>SUM(OSRRefD21_5x_1)</f>
        <v>31089.33</v>
      </c>
      <c r="F139" s="1">
        <f>SUM(OSRRefD21_5x_2)</f>
        <v>31066.84</v>
      </c>
      <c r="G139" s="1">
        <f>SUM(OSRRefD21_5x_3)</f>
        <v>30735.86</v>
      </c>
      <c r="H139" s="1">
        <f>SUM(OSRRefE21_5x_0)</f>
        <v>30294</v>
      </c>
      <c r="I139" s="1">
        <f>SUM(OSRRefE21_5x_1)</f>
        <v>30294</v>
      </c>
      <c r="J139" s="1">
        <f>SUM(OSRRefE21_5x_2)</f>
        <v>30294</v>
      </c>
      <c r="K139" s="1">
        <f>SUM(OSRRefE21_5x_3)</f>
        <v>30294</v>
      </c>
      <c r="L139" s="1">
        <f>SUM(OSRRefE21_5x_4)</f>
        <v>30294</v>
      </c>
      <c r="M139" s="1">
        <f>SUM(OSRRefE21_5x_5)</f>
        <v>30294</v>
      </c>
      <c r="N139" s="1">
        <f>SUM(OSRRefE21_5x_6)</f>
        <v>30294</v>
      </c>
      <c r="O139" s="1">
        <f>SUM(OSRRefE21_5x_7)</f>
        <v>29877</v>
      </c>
      <c r="Q139" s="2">
        <f>SUM(OSRRefD20_5x)+IFERROR(SUM(OSRRefE20_5x),0)</f>
        <v>365173.89</v>
      </c>
    </row>
    <row r="140" spans="1:17" s="34" customFormat="1" hidden="1" outlineLevel="1" x14ac:dyDescent="0.25">
      <c r="A140" s="35"/>
      <c r="B140" s="13" t="str">
        <f>CONCATENATE("          ","6321", " - ","BUILDING DEPRECIATION")</f>
        <v xml:space="preserve">          6321 - BUILDING DEPRECIATION</v>
      </c>
      <c r="C140" s="15"/>
      <c r="D140" s="2">
        <v>16396.52</v>
      </c>
      <c r="E140" s="2">
        <v>16396.52</v>
      </c>
      <c r="F140" s="2">
        <v>16396.52</v>
      </c>
      <c r="G140" s="2">
        <v>16396.52</v>
      </c>
      <c r="H140" s="2"/>
      <c r="I140" s="2"/>
      <c r="J140" s="2"/>
      <c r="K140" s="2"/>
      <c r="L140" s="2"/>
      <c r="M140" s="2"/>
      <c r="N140" s="2"/>
      <c r="O140" s="2"/>
      <c r="P140" s="9"/>
      <c r="Q140" s="2">
        <f>SUM(OSRRefD21_5_0x)+IFERROR(SUM(OSRRefE21_5_0x),0)</f>
        <v>65586.080000000002</v>
      </c>
    </row>
    <row r="141" spans="1:17" s="34" customFormat="1" hidden="1" outlineLevel="1" x14ac:dyDescent="0.25">
      <c r="A141" s="35"/>
      <c r="B141" s="13" t="str">
        <f>CONCATENATE("          ","6322", " - ","EQUIPMENT DEPRECIATION EXPENSE")</f>
        <v xml:space="preserve">          6322 - EQUIPMENT DEPRECIATION EXPENSE</v>
      </c>
      <c r="C141" s="15"/>
      <c r="D141" s="2">
        <v>13950.34</v>
      </c>
      <c r="E141" s="2">
        <v>14692.81</v>
      </c>
      <c r="F141" s="2">
        <v>14670.32</v>
      </c>
      <c r="G141" s="2">
        <v>14339.34</v>
      </c>
      <c r="H141" s="2">
        <v>30294</v>
      </c>
      <c r="I141" s="2">
        <v>30294</v>
      </c>
      <c r="J141" s="2">
        <v>30294</v>
      </c>
      <c r="K141" s="2">
        <v>30294</v>
      </c>
      <c r="L141" s="2">
        <v>30294</v>
      </c>
      <c r="M141" s="2">
        <v>30294</v>
      </c>
      <c r="N141" s="2">
        <v>30294</v>
      </c>
      <c r="O141" s="2">
        <v>29877</v>
      </c>
      <c r="P141" s="9"/>
      <c r="Q141" s="2">
        <f>SUM(OSRRefD21_5_1x)+IFERROR(SUM(OSRRefE21_5_1x),0)</f>
        <v>299587.81</v>
      </c>
    </row>
    <row r="142" spans="1:17" s="34" customFormat="1" collapsed="1" x14ac:dyDescent="0.25">
      <c r="A142" s="35"/>
      <c r="B142" s="15" t="str">
        <f>CONCATENATE("     ","Discounts and Markdowns                           ")</f>
        <v xml:space="preserve">     Discounts and Markdowns                           </v>
      </c>
      <c r="C142" s="15"/>
      <c r="D142" s="1">
        <f>SUM(OSRRefD21_6x_0)</f>
        <v>0</v>
      </c>
      <c r="E142" s="1">
        <f>SUM(OSRRefD21_6x_1)</f>
        <v>0</v>
      </c>
      <c r="F142" s="1">
        <f>SUM(OSRRefD21_6x_2)</f>
        <v>830.95</v>
      </c>
      <c r="G142" s="1">
        <f>SUM(OSRRefD21_6x_3)</f>
        <v>-1249.8000000000002</v>
      </c>
      <c r="H142" s="1">
        <f>SUM(OSRRefE21_6x_0)</f>
        <v>1450</v>
      </c>
      <c r="I142" s="1">
        <f>SUM(OSRRefE21_6x_1)</f>
        <v>1250</v>
      </c>
      <c r="J142" s="1">
        <f>SUM(OSRRefE21_6x_2)</f>
        <v>3550</v>
      </c>
      <c r="K142" s="1">
        <f>SUM(OSRRefE21_6x_3)</f>
        <v>1250</v>
      </c>
      <c r="L142" s="1">
        <f>SUM(OSRRefE21_6x_4)</f>
        <v>1750</v>
      </c>
      <c r="M142" s="1">
        <f>SUM(OSRRefE21_6x_5)</f>
        <v>1250</v>
      </c>
      <c r="N142" s="1">
        <f>SUM(OSRRefE21_6x_6)</f>
        <v>1250</v>
      </c>
      <c r="O142" s="1">
        <f>SUM(OSRRefE21_6x_7)</f>
        <v>1250</v>
      </c>
      <c r="Q142" s="2">
        <f>SUM(OSRRefD20_6x)+IFERROR(SUM(OSRRefE20_6x),0)</f>
        <v>12581.15</v>
      </c>
    </row>
    <row r="143" spans="1:17" s="34" customFormat="1" hidden="1" outlineLevel="1" x14ac:dyDescent="0.25">
      <c r="A143" s="35"/>
      <c r="B143" s="13" t="str">
        <f>CONCATENATE("          ","6382", " - ","DISCOUNTS/MARK DOWNS")</f>
        <v xml:space="preserve">          6382 - DISCOUNTS/MARK DOWNS</v>
      </c>
      <c r="C143" s="15"/>
      <c r="D143" s="2"/>
      <c r="E143" s="2"/>
      <c r="F143" s="2">
        <v>830.95</v>
      </c>
      <c r="G143" s="2">
        <v>-830.95</v>
      </c>
      <c r="H143" s="2">
        <v>1450</v>
      </c>
      <c r="I143" s="2">
        <v>1250</v>
      </c>
      <c r="J143" s="2">
        <v>3550</v>
      </c>
      <c r="K143" s="2">
        <v>1250</v>
      </c>
      <c r="L143" s="2">
        <v>1750</v>
      </c>
      <c r="M143" s="2">
        <v>1250</v>
      </c>
      <c r="N143" s="2">
        <v>1250</v>
      </c>
      <c r="O143" s="2">
        <v>1250</v>
      </c>
      <c r="P143" s="9"/>
      <c r="Q143" s="2">
        <f>SUM(OSRRefD21_6_0x)+IFERROR(SUM(OSRRefE21_6_0x),0)</f>
        <v>13000</v>
      </c>
    </row>
    <row r="144" spans="1:17" s="34" customFormat="1" hidden="1" outlineLevel="1" x14ac:dyDescent="0.25">
      <c r="A144" s="35"/>
      <c r="B144" s="13" t="str">
        <f>CONCATENATE("          ","9175", " - ","EARNED DISCOUNTS")</f>
        <v xml:space="preserve">          9175 - EARNED DISCOUNTS</v>
      </c>
      <c r="C144" s="15"/>
      <c r="D144" s="2"/>
      <c r="E144" s="2"/>
      <c r="F144" s="2"/>
      <c r="G144" s="2">
        <v>-418.85</v>
      </c>
      <c r="H144" s="2"/>
      <c r="I144" s="2"/>
      <c r="J144" s="2"/>
      <c r="K144" s="2"/>
      <c r="L144" s="2"/>
      <c r="M144" s="2"/>
      <c r="N144" s="2"/>
      <c r="O144" s="2"/>
      <c r="P144" s="9"/>
      <c r="Q144" s="2">
        <f>SUM(OSRRefD21_6_1x)+IFERROR(SUM(OSRRefE21_6_1x),0)</f>
        <v>-418.85</v>
      </c>
    </row>
    <row r="145" spans="1:17" s="34" customFormat="1" collapsed="1" x14ac:dyDescent="0.25">
      <c r="A145" s="35"/>
      <c r="B145" s="15" t="str">
        <f>CONCATENATE("     ","Donations                                         ")</f>
        <v xml:space="preserve">     Donations                                         </v>
      </c>
      <c r="C145" s="15"/>
      <c r="D145" s="1">
        <f>SUM(OSRRefD21_7x_0)</f>
        <v>0</v>
      </c>
      <c r="E145" s="1">
        <f>SUM(OSRRefD21_7x_1)</f>
        <v>0</v>
      </c>
      <c r="F145" s="1">
        <f>SUM(OSRRefD21_7x_2)</f>
        <v>0</v>
      </c>
      <c r="G145" s="1">
        <f>SUM(OSRRefD21_7x_3)</f>
        <v>0</v>
      </c>
      <c r="H145" s="1">
        <f>SUM(OSRRefE21_7x_0)</f>
        <v>0</v>
      </c>
      <c r="I145" s="1">
        <f>SUM(OSRRefE21_7x_1)</f>
        <v>0</v>
      </c>
      <c r="J145" s="1">
        <f>SUM(OSRRefE21_7x_2)</f>
        <v>0</v>
      </c>
      <c r="K145" s="1">
        <f>SUM(OSRRefE21_7x_3)</f>
        <v>0</v>
      </c>
      <c r="L145" s="1">
        <f>SUM(OSRRefE21_7x_4)</f>
        <v>0</v>
      </c>
      <c r="M145" s="1">
        <f>SUM(OSRRefE21_7x_5)</f>
        <v>0</v>
      </c>
      <c r="N145" s="1">
        <f>SUM(OSRRefE21_7x_6)</f>
        <v>0</v>
      </c>
      <c r="O145" s="1">
        <f>SUM(OSRRefE21_7x_7)</f>
        <v>0</v>
      </c>
      <c r="Q145" s="2">
        <f>SUM(OSRRefD20_7x)+IFERROR(SUM(OSRRefE20_7x),0)</f>
        <v>0</v>
      </c>
    </row>
    <row r="146" spans="1:17" s="34" customFormat="1" hidden="1" outlineLevel="1" x14ac:dyDescent="0.25">
      <c r="A146" s="35"/>
      <c r="B146" s="13" t="str">
        <f>CONCATENATE("          ","6399", " - ","DONATION-ON CAMPUS")</f>
        <v xml:space="preserve">          6399 - DONATION-ON CAMPUS</v>
      </c>
      <c r="C146" s="15"/>
      <c r="D146" s="2"/>
      <c r="E146" s="2"/>
      <c r="F146" s="2"/>
      <c r="G146" s="2"/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9"/>
      <c r="Q146" s="2">
        <f>SUM(OSRRefD21_7_0x)+IFERROR(SUM(OSRRefE21_7_0x),0)</f>
        <v>0</v>
      </c>
    </row>
    <row r="147" spans="1:17" s="34" customFormat="1" collapsed="1" x14ac:dyDescent="0.25">
      <c r="A147" s="35"/>
      <c r="B147" s="15" t="str">
        <f>CONCATENATE("     ","Employees' Appreciation                           ")</f>
        <v xml:space="preserve">     Employees' Appreciation                           </v>
      </c>
      <c r="C147" s="15"/>
      <c r="D147" s="1">
        <f>SUM(OSRRefD21_8x_0)</f>
        <v>107.7</v>
      </c>
      <c r="E147" s="1">
        <f>SUM(OSRRefD21_8x_1)</f>
        <v>0</v>
      </c>
      <c r="F147" s="1">
        <f>SUM(OSRRefD21_8x_2)</f>
        <v>0</v>
      </c>
      <c r="G147" s="1">
        <f>SUM(OSRRefD21_8x_3)</f>
        <v>0</v>
      </c>
      <c r="H147" s="1">
        <f>SUM(OSRRefE21_8x_0)</f>
        <v>250</v>
      </c>
      <c r="I147" s="1">
        <f>SUM(OSRRefE21_8x_1)</f>
        <v>250</v>
      </c>
      <c r="J147" s="1">
        <f>SUM(OSRRefE21_8x_2)</f>
        <v>275</v>
      </c>
      <c r="K147" s="1">
        <f>SUM(OSRRefE21_8x_3)</f>
        <v>275</v>
      </c>
      <c r="L147" s="1">
        <f>SUM(OSRRefE21_8x_4)</f>
        <v>250</v>
      </c>
      <c r="M147" s="1">
        <f>SUM(OSRRefE21_8x_5)</f>
        <v>250</v>
      </c>
      <c r="N147" s="1">
        <f>SUM(OSRRefE21_8x_6)</f>
        <v>250</v>
      </c>
      <c r="O147" s="1">
        <f>SUM(OSRRefE21_8x_7)</f>
        <v>250</v>
      </c>
      <c r="Q147" s="2">
        <f>SUM(OSRRefD20_8x)+IFERROR(SUM(OSRRefE20_8x),0)</f>
        <v>2157.6999999999998</v>
      </c>
    </row>
    <row r="148" spans="1:17" s="34" customFormat="1" hidden="1" outlineLevel="1" x14ac:dyDescent="0.25">
      <c r="A148" s="35"/>
      <c r="B148" s="13" t="str">
        <f>CONCATENATE("          ","6277", " - ","EMPLOYEE APPRECIATION")</f>
        <v xml:space="preserve">          6277 - EMPLOYEE APPRECIATION</v>
      </c>
      <c r="C148" s="15"/>
      <c r="D148" s="2">
        <v>107.7</v>
      </c>
      <c r="E148" s="2"/>
      <c r="F148" s="2"/>
      <c r="G148" s="2"/>
      <c r="H148" s="2">
        <v>250</v>
      </c>
      <c r="I148" s="2">
        <v>250</v>
      </c>
      <c r="J148" s="2">
        <v>275</v>
      </c>
      <c r="K148" s="2">
        <v>275</v>
      </c>
      <c r="L148" s="2">
        <v>250</v>
      </c>
      <c r="M148" s="2">
        <v>250</v>
      </c>
      <c r="N148" s="2">
        <v>250</v>
      </c>
      <c r="O148" s="2">
        <v>250</v>
      </c>
      <c r="P148" s="9"/>
      <c r="Q148" s="2">
        <f>SUM(OSRRefD21_8_0x)+IFERROR(SUM(OSRRefE21_8_0x),0)</f>
        <v>2157.6999999999998</v>
      </c>
    </row>
    <row r="149" spans="1:17" s="34" customFormat="1" collapsed="1" x14ac:dyDescent="0.25">
      <c r="A149" s="35"/>
      <c r="B149" s="15" t="str">
        <f>CONCATENATE("     ","Equipment Rental                                  ")</f>
        <v xml:space="preserve">     Equipment Rental                                  </v>
      </c>
      <c r="C149" s="15"/>
      <c r="D149" s="1">
        <f>SUM(OSRRefD21_9x_0)</f>
        <v>1388.16</v>
      </c>
      <c r="E149" s="1">
        <f>SUM(OSRRefD21_9x_1)</f>
        <v>1388.16</v>
      </c>
      <c r="F149" s="1">
        <f>SUM(OSRRefD21_9x_2)</f>
        <v>1712.05</v>
      </c>
      <c r="G149" s="1">
        <f>SUM(OSRRefD21_9x_3)</f>
        <v>1479.42</v>
      </c>
      <c r="H149" s="1">
        <f>SUM(OSRRefE21_9x_0)</f>
        <v>3006</v>
      </c>
      <c r="I149" s="1">
        <f>SUM(OSRRefE21_9x_1)</f>
        <v>3006</v>
      </c>
      <c r="J149" s="1">
        <f>SUM(OSRRefE21_9x_2)</f>
        <v>3006</v>
      </c>
      <c r="K149" s="1">
        <f>SUM(OSRRefE21_9x_3)</f>
        <v>3006</v>
      </c>
      <c r="L149" s="1">
        <f>SUM(OSRRefE21_9x_4)</f>
        <v>3006</v>
      </c>
      <c r="M149" s="1">
        <f>SUM(OSRRefE21_9x_5)</f>
        <v>3006</v>
      </c>
      <c r="N149" s="1">
        <f>SUM(OSRRefE21_9x_6)</f>
        <v>3006</v>
      </c>
      <c r="O149" s="1">
        <f>SUM(OSRRefE21_9x_7)</f>
        <v>3006</v>
      </c>
      <c r="Q149" s="2">
        <f>SUM(OSRRefD20_9x)+IFERROR(SUM(OSRRefE20_9x),0)</f>
        <v>30015.79</v>
      </c>
    </row>
    <row r="150" spans="1:17" s="34" customFormat="1" hidden="1" outlineLevel="1" x14ac:dyDescent="0.25">
      <c r="A150" s="35"/>
      <c r="B150" s="13" t="str">
        <f>CONCATENATE("          ","6351", " - ","EQUIPMENT RENTAL")</f>
        <v xml:space="preserve">          6351 - EQUIPMENT RENTAL</v>
      </c>
      <c r="C150" s="15"/>
      <c r="D150" s="2">
        <v>1388.16</v>
      </c>
      <c r="E150" s="2">
        <v>1388.16</v>
      </c>
      <c r="F150" s="2">
        <v>1712.05</v>
      </c>
      <c r="G150" s="2">
        <v>1479.42</v>
      </c>
      <c r="H150" s="2">
        <v>3006</v>
      </c>
      <c r="I150" s="2">
        <v>3006</v>
      </c>
      <c r="J150" s="2">
        <v>3006</v>
      </c>
      <c r="K150" s="2">
        <v>3006</v>
      </c>
      <c r="L150" s="2">
        <v>3006</v>
      </c>
      <c r="M150" s="2">
        <v>3006</v>
      </c>
      <c r="N150" s="2">
        <v>3006</v>
      </c>
      <c r="O150" s="2">
        <v>3006</v>
      </c>
      <c r="P150" s="9"/>
      <c r="Q150" s="2">
        <f>SUM(OSRRefD21_9_0x)+IFERROR(SUM(OSRRefE21_9_0x),0)</f>
        <v>30015.79</v>
      </c>
    </row>
    <row r="151" spans="1:17" s="34" customFormat="1" collapsed="1" x14ac:dyDescent="0.25">
      <c r="A151" s="35"/>
      <c r="B151" s="15" t="str">
        <f>CONCATENATE("     ","Freight out/Postage                               ")</f>
        <v xml:space="preserve">     Freight out/Postage                               </v>
      </c>
      <c r="C151" s="15"/>
      <c r="D151" s="1">
        <f>SUM(OSRRefD21_10x_0)</f>
        <v>8928.65</v>
      </c>
      <c r="E151" s="1">
        <f>SUM(OSRRefD21_10x_1)</f>
        <v>-83740.51999999999</v>
      </c>
      <c r="F151" s="1">
        <f>SUM(OSRRefD21_10x_2)</f>
        <v>-5939.64</v>
      </c>
      <c r="G151" s="1">
        <f>SUM(OSRRefD21_10x_3)</f>
        <v>48908.160000000003</v>
      </c>
      <c r="H151" s="1">
        <f>SUM(OSRRefE21_10x_0)</f>
        <v>5535</v>
      </c>
      <c r="I151" s="1">
        <f>SUM(OSRRefE21_10x_1)</f>
        <v>1335</v>
      </c>
      <c r="J151" s="1">
        <f>SUM(OSRRefE21_10x_2)</f>
        <v>-11765</v>
      </c>
      <c r="K151" s="1">
        <f>SUM(OSRRefE21_10x_3)</f>
        <v>2235</v>
      </c>
      <c r="L151" s="1">
        <f>SUM(OSRRefE21_10x_4)</f>
        <v>-12965</v>
      </c>
      <c r="M151" s="1">
        <f>SUM(OSRRefE21_10x_5)</f>
        <v>2743</v>
      </c>
      <c r="N151" s="1">
        <f>SUM(OSRRefE21_10x_6)</f>
        <v>-1715</v>
      </c>
      <c r="O151" s="1">
        <f>SUM(OSRRefE21_10x_7)</f>
        <v>35</v>
      </c>
      <c r="Q151" s="2">
        <f>SUM(OSRRefD20_10x)+IFERROR(SUM(OSRRefE20_10x),0)</f>
        <v>-46405.349999999991</v>
      </c>
    </row>
    <row r="152" spans="1:17" s="34" customFormat="1" hidden="1" outlineLevel="1" x14ac:dyDescent="0.25">
      <c r="A152" s="35"/>
      <c r="B152" s="13" t="str">
        <f>CONCATENATE("          ","6305", " - ","FREIGHT OUT")</f>
        <v xml:space="preserve">          6305 - FREIGHT OUT</v>
      </c>
      <c r="C152" s="15"/>
      <c r="D152" s="2">
        <v>12089.09</v>
      </c>
      <c r="E152" s="2">
        <v>8240.52</v>
      </c>
      <c r="F152" s="2">
        <v>5328.45</v>
      </c>
      <c r="G152" s="2">
        <v>60594.680000000008</v>
      </c>
      <c r="H152" s="2">
        <v>6500</v>
      </c>
      <c r="I152" s="2">
        <v>4800</v>
      </c>
      <c r="J152" s="2">
        <v>4200</v>
      </c>
      <c r="K152" s="2">
        <v>10900</v>
      </c>
      <c r="L152" s="2">
        <v>7000</v>
      </c>
      <c r="M152" s="2">
        <v>4800</v>
      </c>
      <c r="N152" s="2">
        <v>3250</v>
      </c>
      <c r="O152" s="2">
        <v>2000</v>
      </c>
      <c r="P152" s="9"/>
      <c r="Q152" s="2">
        <f>SUM(OSRRefD21_10_0x)+IFERROR(SUM(OSRRefE21_10_0x),0)</f>
        <v>129702.74</v>
      </c>
    </row>
    <row r="153" spans="1:17" s="34" customFormat="1" hidden="1" outlineLevel="1" x14ac:dyDescent="0.25">
      <c r="A153" s="35"/>
      <c r="B153" s="13" t="str">
        <f>CONCATENATE("          ","6307", " - ","POSTAGE")</f>
        <v xml:space="preserve">          6307 - POSTAGE</v>
      </c>
      <c r="C153" s="15"/>
      <c r="D153" s="2">
        <v>-3160.44</v>
      </c>
      <c r="E153" s="2">
        <v>-91981.04</v>
      </c>
      <c r="F153" s="2">
        <v>-11268.09</v>
      </c>
      <c r="G153" s="2">
        <v>-11686.52</v>
      </c>
      <c r="H153" s="2">
        <v>-965</v>
      </c>
      <c r="I153" s="2">
        <v>-3465</v>
      </c>
      <c r="J153" s="2">
        <v>-15965</v>
      </c>
      <c r="K153" s="2">
        <v>-8665</v>
      </c>
      <c r="L153" s="2">
        <v>-19965</v>
      </c>
      <c r="M153" s="2">
        <v>-2057</v>
      </c>
      <c r="N153" s="2">
        <v>-4965</v>
      </c>
      <c r="O153" s="2">
        <v>-1965</v>
      </c>
      <c r="P153" s="9"/>
      <c r="Q153" s="2">
        <f>SUM(OSRRefD21_10_1x)+IFERROR(SUM(OSRRefE21_10_1x),0)</f>
        <v>-176108.09</v>
      </c>
    </row>
    <row r="154" spans="1:17" s="34" customFormat="1" collapsed="1" x14ac:dyDescent="0.25">
      <c r="A154" s="35"/>
      <c r="B154" s="15" t="str">
        <f>CONCATENATE("     ","General                                           ")</f>
        <v xml:space="preserve">     General                                           </v>
      </c>
      <c r="C154" s="15"/>
      <c r="D154" s="1">
        <f>SUM(OSRRefD21_11x_0)</f>
        <v>-3320.09</v>
      </c>
      <c r="E154" s="1">
        <f>SUM(OSRRefD21_11x_1)</f>
        <v>113.26</v>
      </c>
      <c r="F154" s="1">
        <f>SUM(OSRRefD21_11x_2)</f>
        <v>0</v>
      </c>
      <c r="G154" s="1">
        <f>SUM(OSRRefD21_11x_3)</f>
        <v>-40</v>
      </c>
      <c r="H154" s="1">
        <f>SUM(OSRRefE21_11x_0)</f>
        <v>2800</v>
      </c>
      <c r="I154" s="1">
        <f>SUM(OSRRefE21_11x_1)</f>
        <v>450</v>
      </c>
      <c r="J154" s="1">
        <f>SUM(OSRRefE21_11x_2)</f>
        <v>250</v>
      </c>
      <c r="K154" s="1">
        <f>SUM(OSRRefE21_11x_3)</f>
        <v>375</v>
      </c>
      <c r="L154" s="1">
        <f>SUM(OSRRefE21_11x_4)</f>
        <v>300</v>
      </c>
      <c r="M154" s="1">
        <f>SUM(OSRRefE21_11x_5)</f>
        <v>500</v>
      </c>
      <c r="N154" s="1">
        <f>SUM(OSRRefE21_11x_6)</f>
        <v>1500</v>
      </c>
      <c r="O154" s="1">
        <f>SUM(OSRRefE21_11x_7)</f>
        <v>250</v>
      </c>
      <c r="Q154" s="2">
        <f>SUM(OSRRefD20_11x)+IFERROR(SUM(OSRRefE20_11x),0)</f>
        <v>3178.17</v>
      </c>
    </row>
    <row r="155" spans="1:17" s="34" customFormat="1" hidden="1" outlineLevel="1" x14ac:dyDescent="0.25">
      <c r="A155" s="35"/>
      <c r="B155" s="13" t="str">
        <f>CONCATENATE("          ","6269", " - ","ENTERTAINMENT")</f>
        <v xml:space="preserve">          6269 - ENTERTAINMENT</v>
      </c>
      <c r="C155" s="15"/>
      <c r="D155" s="2"/>
      <c r="E155" s="2"/>
      <c r="F155" s="2"/>
      <c r="G155" s="2"/>
      <c r="H155" s="2">
        <v>1250</v>
      </c>
      <c r="I155" s="2">
        <v>0</v>
      </c>
      <c r="J155" s="2"/>
      <c r="K155" s="2">
        <v>125</v>
      </c>
      <c r="L155" s="2">
        <v>0</v>
      </c>
      <c r="M155" s="2"/>
      <c r="N155" s="2">
        <v>1250</v>
      </c>
      <c r="O155" s="2">
        <v>0</v>
      </c>
      <c r="P155" s="9"/>
      <c r="Q155" s="2">
        <f>SUM(OSRRefD21_11_0x)+IFERROR(SUM(OSRRefE21_11_0x),0)</f>
        <v>2625</v>
      </c>
    </row>
    <row r="156" spans="1:17" s="34" customFormat="1" hidden="1" outlineLevel="1" x14ac:dyDescent="0.25">
      <c r="A156" s="35"/>
      <c r="B156" s="13" t="str">
        <f>CONCATENATE("          ","6279", " - ","GENERAL EXPENSE")</f>
        <v xml:space="preserve">          6279 - GENERAL EXPENSE</v>
      </c>
      <c r="C156" s="15"/>
      <c r="D156" s="2">
        <v>-3320.09</v>
      </c>
      <c r="E156" s="2">
        <v>113.26</v>
      </c>
      <c r="F156" s="2"/>
      <c r="G156" s="2">
        <v>-40</v>
      </c>
      <c r="H156" s="2">
        <v>1550</v>
      </c>
      <c r="I156" s="2">
        <v>450</v>
      </c>
      <c r="J156" s="2">
        <v>250</v>
      </c>
      <c r="K156" s="2">
        <v>250</v>
      </c>
      <c r="L156" s="2">
        <v>300</v>
      </c>
      <c r="M156" s="2">
        <v>500</v>
      </c>
      <c r="N156" s="2">
        <v>250</v>
      </c>
      <c r="O156" s="2">
        <v>250</v>
      </c>
      <c r="P156" s="9"/>
      <c r="Q156" s="2">
        <f>SUM(OSRRefD21_11_1x)+IFERROR(SUM(OSRRefE21_11_1x),0)</f>
        <v>553.17000000000007</v>
      </c>
    </row>
    <row r="157" spans="1:17" s="34" customFormat="1" collapsed="1" x14ac:dyDescent="0.25">
      <c r="A157" s="35"/>
      <c r="B157" s="15" t="str">
        <f>CONCATENATE("     ","Insurance                                         ")</f>
        <v xml:space="preserve">     Insurance                                         </v>
      </c>
      <c r="C157" s="15"/>
      <c r="D157" s="1">
        <f>SUM(OSRRefD21_12x_0)</f>
        <v>4044.74</v>
      </c>
      <c r="E157" s="1">
        <f>SUM(OSRRefD21_12x_1)</f>
        <v>4044.74</v>
      </c>
      <c r="F157" s="1">
        <f>SUM(OSRRefD21_12x_2)</f>
        <v>4044.74</v>
      </c>
      <c r="G157" s="1">
        <f>SUM(OSRRefD21_12x_3)</f>
        <v>4044.74</v>
      </c>
      <c r="H157" s="1">
        <f>SUM(OSRRefE21_12x_0)</f>
        <v>4446</v>
      </c>
      <c r="I157" s="1">
        <f>SUM(OSRRefE21_12x_1)</f>
        <v>4446</v>
      </c>
      <c r="J157" s="1">
        <f>SUM(OSRRefE21_12x_2)</f>
        <v>4446</v>
      </c>
      <c r="K157" s="1">
        <f>SUM(OSRRefE21_12x_3)</f>
        <v>4446</v>
      </c>
      <c r="L157" s="1">
        <f>SUM(OSRRefE21_12x_4)</f>
        <v>4446</v>
      </c>
      <c r="M157" s="1">
        <f>SUM(OSRRefE21_12x_5)</f>
        <v>4446</v>
      </c>
      <c r="N157" s="1">
        <f>SUM(OSRRefE21_12x_6)</f>
        <v>4446</v>
      </c>
      <c r="O157" s="1">
        <f>SUM(OSRRefE21_12x_7)</f>
        <v>4446</v>
      </c>
      <c r="Q157" s="2">
        <f>SUM(OSRRefD20_12x)+IFERROR(SUM(OSRRefE20_12x),0)</f>
        <v>51746.96</v>
      </c>
    </row>
    <row r="158" spans="1:17" s="34" customFormat="1" hidden="1" outlineLevel="1" x14ac:dyDescent="0.25">
      <c r="A158" s="35"/>
      <c r="B158" s="13" t="str">
        <f>CONCATENATE("          ","6314", " - ","LIABILITY INSURANCE")</f>
        <v xml:space="preserve">          6314 - LIABILITY INSURANCE</v>
      </c>
      <c r="C158" s="15"/>
      <c r="D158" s="2">
        <v>4044.74</v>
      </c>
      <c r="E158" s="2">
        <v>4044.74</v>
      </c>
      <c r="F158" s="2">
        <v>4044.74</v>
      </c>
      <c r="G158" s="2">
        <v>4044.74</v>
      </c>
      <c r="H158" s="2">
        <v>4446</v>
      </c>
      <c r="I158" s="2">
        <v>4446</v>
      </c>
      <c r="J158" s="2">
        <v>4446</v>
      </c>
      <c r="K158" s="2">
        <v>4446</v>
      </c>
      <c r="L158" s="2">
        <v>4446</v>
      </c>
      <c r="M158" s="2">
        <v>4446</v>
      </c>
      <c r="N158" s="2">
        <v>4446</v>
      </c>
      <c r="O158" s="2">
        <v>4446</v>
      </c>
      <c r="P158" s="9"/>
      <c r="Q158" s="2">
        <f>SUM(OSRRefD21_12_0x)+IFERROR(SUM(OSRRefE21_12_0x),0)</f>
        <v>51746.96</v>
      </c>
    </row>
    <row r="159" spans="1:17" s="34" customFormat="1" collapsed="1" x14ac:dyDescent="0.25">
      <c r="A159" s="35"/>
      <c r="B159" s="15" t="str">
        <f>CONCATENATE("     ","Inventory Adjustment                              ")</f>
        <v xml:space="preserve">     Inventory Adjustment                              </v>
      </c>
      <c r="C159" s="15"/>
      <c r="D159" s="1">
        <f>SUM(OSRRefD21_13x_0)</f>
        <v>2100</v>
      </c>
      <c r="E159" s="1">
        <f>SUM(OSRRefD21_13x_1)</f>
        <v>2100</v>
      </c>
      <c r="F159" s="1">
        <f>SUM(OSRRefD21_13x_2)</f>
        <v>2100</v>
      </c>
      <c r="G159" s="1">
        <f>SUM(OSRRefD21_13x_3)</f>
        <v>2100</v>
      </c>
      <c r="H159" s="1">
        <f>SUM(OSRRefE21_13x_0)</f>
        <v>3100</v>
      </c>
      <c r="I159" s="1">
        <f>SUM(OSRRefE21_13x_1)</f>
        <v>8100</v>
      </c>
      <c r="J159" s="1">
        <f>SUM(OSRRefE21_13x_2)</f>
        <v>3100</v>
      </c>
      <c r="K159" s="1">
        <f>SUM(OSRRefE21_13x_3)</f>
        <v>3100</v>
      </c>
      <c r="L159" s="1">
        <f>SUM(OSRRefE21_13x_4)</f>
        <v>3100</v>
      </c>
      <c r="M159" s="1">
        <f>SUM(OSRRefE21_13x_5)</f>
        <v>3100</v>
      </c>
      <c r="N159" s="1">
        <f>SUM(OSRRefE21_13x_6)</f>
        <v>3100</v>
      </c>
      <c r="O159" s="1">
        <f>SUM(OSRRefE21_13x_7)</f>
        <v>46100</v>
      </c>
      <c r="Q159" s="2">
        <f>SUM(OSRRefD20_13x)+IFERROR(SUM(OSRRefE20_13x),0)</f>
        <v>81200</v>
      </c>
    </row>
    <row r="160" spans="1:17" s="34" customFormat="1" hidden="1" outlineLevel="1" x14ac:dyDescent="0.25">
      <c r="A160" s="35"/>
      <c r="B160" s="13" t="str">
        <f>CONCATENATE("          ","6408", " - ","INVENTORY ADJUSTMENT")</f>
        <v xml:space="preserve">          6408 - INVENTORY ADJUSTMENT</v>
      </c>
      <c r="C160" s="15"/>
      <c r="D160" s="2">
        <v>2100</v>
      </c>
      <c r="E160" s="2">
        <v>2100</v>
      </c>
      <c r="F160" s="2">
        <v>2100</v>
      </c>
      <c r="G160" s="2">
        <v>2100</v>
      </c>
      <c r="H160" s="2">
        <v>3100</v>
      </c>
      <c r="I160" s="2">
        <v>8100</v>
      </c>
      <c r="J160" s="2">
        <v>3100</v>
      </c>
      <c r="K160" s="2">
        <v>3100</v>
      </c>
      <c r="L160" s="2">
        <v>3100</v>
      </c>
      <c r="M160" s="2">
        <v>3100</v>
      </c>
      <c r="N160" s="2">
        <v>3100</v>
      </c>
      <c r="O160" s="2">
        <v>46100</v>
      </c>
      <c r="P160" s="9"/>
      <c r="Q160" s="2">
        <f>SUM(OSRRefD21_13_0x)+IFERROR(SUM(OSRRefE21_13_0x),0)</f>
        <v>81200</v>
      </c>
    </row>
    <row r="161" spans="1:17" s="34" customFormat="1" collapsed="1" x14ac:dyDescent="0.25">
      <c r="A161" s="35"/>
      <c r="B161" s="15" t="str">
        <f>CONCATENATE("     ","Professional Services                             ")</f>
        <v xml:space="preserve">     Professional Services                             </v>
      </c>
      <c r="C161" s="15"/>
      <c r="D161" s="1">
        <f>SUM(OSRRefD21_14x_0)</f>
        <v>0</v>
      </c>
      <c r="E161" s="1">
        <f>SUM(OSRRefD21_14x_1)</f>
        <v>0</v>
      </c>
      <c r="F161" s="1">
        <f>SUM(OSRRefD21_14x_2)</f>
        <v>0</v>
      </c>
      <c r="G161" s="1">
        <f>SUM(OSRRefD21_14x_3)</f>
        <v>0</v>
      </c>
      <c r="H161" s="1">
        <f>SUM(OSRRefE21_14x_0)</f>
        <v>0</v>
      </c>
      <c r="I161" s="1">
        <f>SUM(OSRRefE21_14x_1)</f>
        <v>0</v>
      </c>
      <c r="J161" s="1">
        <f>SUM(OSRRefE21_14x_2)</f>
        <v>0</v>
      </c>
      <c r="K161" s="1">
        <f>SUM(OSRRefE21_14x_3)</f>
        <v>0</v>
      </c>
      <c r="L161" s="1">
        <f>SUM(OSRRefE21_14x_4)</f>
        <v>0</v>
      </c>
      <c r="M161" s="1">
        <f>SUM(OSRRefE21_14x_5)</f>
        <v>0</v>
      </c>
      <c r="N161" s="1">
        <f>SUM(OSRRefE21_14x_6)</f>
        <v>0</v>
      </c>
      <c r="O161" s="1">
        <f>SUM(OSRRefE21_14x_7)</f>
        <v>0</v>
      </c>
      <c r="Q161" s="2">
        <f>SUM(OSRRefD20_14x)+IFERROR(SUM(OSRRefE20_14x),0)</f>
        <v>0</v>
      </c>
    </row>
    <row r="162" spans="1:17" s="34" customFormat="1" hidden="1" outlineLevel="1" x14ac:dyDescent="0.25">
      <c r="A162" s="35"/>
      <c r="B162" s="13" t="str">
        <f>CONCATENATE("          ","6336", " - ","PROFESSIONAL SERVICES")</f>
        <v xml:space="preserve">          6336 - PROFESSIONAL SERVICES</v>
      </c>
      <c r="C162" s="15"/>
      <c r="D162" s="2"/>
      <c r="E162" s="2"/>
      <c r="F162" s="2"/>
      <c r="G162" s="2"/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9"/>
      <c r="Q162" s="2">
        <f>SUM(OSRRefD21_14_0x)+IFERROR(SUM(OSRRefE21_14_0x),0)</f>
        <v>0</v>
      </c>
    </row>
    <row r="163" spans="1:17" s="34" customFormat="1" collapsed="1" x14ac:dyDescent="0.25">
      <c r="A163" s="35"/>
      <c r="B163" s="15" t="str">
        <f>CONCATENATE("     ","Rent                                              ")</f>
        <v xml:space="preserve">     Rent                                              </v>
      </c>
      <c r="C163" s="15"/>
      <c r="D163" s="1">
        <f>SUM(OSRRefD21_15x_0)</f>
        <v>6100</v>
      </c>
      <c r="E163" s="1">
        <f>SUM(OSRRefD21_15x_1)</f>
        <v>6100</v>
      </c>
      <c r="F163" s="1">
        <f>SUM(OSRRefD21_15x_2)</f>
        <v>6100</v>
      </c>
      <c r="G163" s="1">
        <f>SUM(OSRRefD21_15x_3)</f>
        <v>6100</v>
      </c>
      <c r="H163" s="1">
        <f>SUM(OSRRefE21_15x_0)</f>
        <v>6100</v>
      </c>
      <c r="I163" s="1">
        <f>SUM(OSRRefE21_15x_1)</f>
        <v>6100</v>
      </c>
      <c r="J163" s="1">
        <f>SUM(OSRRefE21_15x_2)</f>
        <v>6100</v>
      </c>
      <c r="K163" s="1">
        <f>SUM(OSRRefE21_15x_3)</f>
        <v>6100</v>
      </c>
      <c r="L163" s="1">
        <f>SUM(OSRRefE21_15x_4)</f>
        <v>6100</v>
      </c>
      <c r="M163" s="1">
        <f>SUM(OSRRefE21_15x_5)</f>
        <v>6100</v>
      </c>
      <c r="N163" s="1">
        <f>SUM(OSRRefE21_15x_6)</f>
        <v>6100</v>
      </c>
      <c r="O163" s="1">
        <f>SUM(OSRRefE21_15x_7)</f>
        <v>6100</v>
      </c>
      <c r="Q163" s="2">
        <f>SUM(OSRRefD20_15x)+IFERROR(SUM(OSRRefE20_15x),0)</f>
        <v>73200</v>
      </c>
    </row>
    <row r="164" spans="1:17" s="34" customFormat="1" hidden="1" outlineLevel="1" x14ac:dyDescent="0.25">
      <c r="A164" s="35"/>
      <c r="B164" s="13" t="str">
        <f>CONCATENATE("          ","6273", " - ","RENT")</f>
        <v xml:space="preserve">          6273 - RENT</v>
      </c>
      <c r="C164" s="15"/>
      <c r="D164" s="2">
        <v>6100</v>
      </c>
      <c r="E164" s="2">
        <v>6100</v>
      </c>
      <c r="F164" s="2">
        <v>6100</v>
      </c>
      <c r="G164" s="2">
        <v>6100</v>
      </c>
      <c r="H164" s="2">
        <v>6100</v>
      </c>
      <c r="I164" s="2">
        <v>6100</v>
      </c>
      <c r="J164" s="2">
        <v>6100</v>
      </c>
      <c r="K164" s="2">
        <v>6100</v>
      </c>
      <c r="L164" s="2">
        <v>6100</v>
      </c>
      <c r="M164" s="2">
        <v>6100</v>
      </c>
      <c r="N164" s="2">
        <v>6100</v>
      </c>
      <c r="O164" s="2">
        <v>6100</v>
      </c>
      <c r="P164" s="9"/>
      <c r="Q164" s="2">
        <f>SUM(OSRRefD21_15_0x)+IFERROR(SUM(OSRRefE21_15_0x),0)</f>
        <v>73200</v>
      </c>
    </row>
    <row r="165" spans="1:17" s="34" customFormat="1" collapsed="1" x14ac:dyDescent="0.25">
      <c r="A165" s="35"/>
      <c r="B165" s="15" t="str">
        <f>CONCATENATE("     ","Repair and Maintenance                            ")</f>
        <v xml:space="preserve">     Repair and Maintenance                            </v>
      </c>
      <c r="C165" s="15"/>
      <c r="D165" s="1">
        <f>SUM(OSRRefD21_16x_0)</f>
        <v>66347.77</v>
      </c>
      <c r="E165" s="1">
        <f>SUM(OSRRefD21_16x_1)</f>
        <v>6705.0199999999995</v>
      </c>
      <c r="F165" s="1">
        <f>SUM(OSRRefD21_16x_2)</f>
        <v>13339.48</v>
      </c>
      <c r="G165" s="1">
        <f>SUM(OSRRefD21_16x_3)</f>
        <v>11552.1</v>
      </c>
      <c r="H165" s="1">
        <f>SUM(OSRRefE21_16x_0)</f>
        <v>14790</v>
      </c>
      <c r="I165" s="1">
        <f>SUM(OSRRefE21_16x_1)</f>
        <v>14690</v>
      </c>
      <c r="J165" s="1">
        <f>SUM(OSRRefE21_16x_2)</f>
        <v>17290</v>
      </c>
      <c r="K165" s="1">
        <f>SUM(OSRRefE21_16x_3)</f>
        <v>16390</v>
      </c>
      <c r="L165" s="1">
        <f>SUM(OSRRefE21_16x_4)</f>
        <v>14290</v>
      </c>
      <c r="M165" s="1">
        <f>SUM(OSRRefE21_16x_5)</f>
        <v>14190</v>
      </c>
      <c r="N165" s="1">
        <f>SUM(OSRRefE21_16x_6)</f>
        <v>26290</v>
      </c>
      <c r="O165" s="1">
        <f>SUM(OSRRefE21_16x_7)</f>
        <v>16190</v>
      </c>
      <c r="Q165" s="2">
        <f>SUM(OSRRefD20_16x)+IFERROR(SUM(OSRRefE20_16x),0)</f>
        <v>232064.37</v>
      </c>
    </row>
    <row r="166" spans="1:17" s="34" customFormat="1" hidden="1" outlineLevel="1" x14ac:dyDescent="0.25">
      <c r="A166" s="35"/>
      <c r="B166" s="13" t="str">
        <f>CONCATENATE("          ","6371", " - ","COMPUTER SOFTWARE MAINTENANCE")</f>
        <v xml:space="preserve">          6371 - COMPUTER SOFTWARE MAINTENANCE</v>
      </c>
      <c r="C166" s="15"/>
      <c r="D166" s="2">
        <v>58428.780000000006</v>
      </c>
      <c r="E166" s="2"/>
      <c r="F166" s="2"/>
      <c r="G166" s="2">
        <v>7.69</v>
      </c>
      <c r="H166" s="2"/>
      <c r="I166" s="2"/>
      <c r="J166" s="2"/>
      <c r="K166" s="2"/>
      <c r="L166" s="2"/>
      <c r="M166" s="2"/>
      <c r="N166" s="2">
        <v>12000</v>
      </c>
      <c r="O166" s="2"/>
      <c r="P166" s="9"/>
      <c r="Q166" s="2">
        <f>SUM(OSRRefD21_16_0x)+IFERROR(SUM(OSRRefE21_16_0x),0)</f>
        <v>70436.47</v>
      </c>
    </row>
    <row r="167" spans="1:17" s="34" customFormat="1" hidden="1" outlineLevel="1" x14ac:dyDescent="0.25">
      <c r="A167" s="35"/>
      <c r="B167" s="13" t="str">
        <f>CONCATENATE("          ","6372", " - ","COMPUTER HARDWARE MAINTENANCE")</f>
        <v xml:space="preserve">          6372 - COMPUTER HARDWARE MAINTENANCE</v>
      </c>
      <c r="C167" s="15"/>
      <c r="D167" s="2"/>
      <c r="E167" s="2">
        <v>0.98</v>
      </c>
      <c r="F167" s="2">
        <v>-9.09</v>
      </c>
      <c r="G167" s="2">
        <v>8.11</v>
      </c>
      <c r="H167" s="2"/>
      <c r="I167" s="2"/>
      <c r="J167" s="2"/>
      <c r="K167" s="2"/>
      <c r="L167" s="2"/>
      <c r="M167" s="2"/>
      <c r="N167" s="2"/>
      <c r="O167" s="2"/>
      <c r="P167" s="9"/>
      <c r="Q167" s="2">
        <f>SUM(OSRRefD21_16_1x)+IFERROR(SUM(OSRRefE21_16_1x),0)</f>
        <v>0</v>
      </c>
    </row>
    <row r="168" spans="1:17" s="34" customFormat="1" hidden="1" outlineLevel="1" x14ac:dyDescent="0.25">
      <c r="A168" s="35"/>
      <c r="B168" s="13" t="str">
        <f>CONCATENATE("          ","6373", " - ","MAINTENANCE CONTRACTS")</f>
        <v xml:space="preserve">          6373 - MAINTENANCE CONTRACTS</v>
      </c>
      <c r="C168" s="15"/>
      <c r="D168" s="2">
        <v>6416.01</v>
      </c>
      <c r="E168" s="2">
        <v>6370.22</v>
      </c>
      <c r="F168" s="2">
        <v>12402.82</v>
      </c>
      <c r="G168" s="2">
        <v>5396.67</v>
      </c>
      <c r="H168" s="2">
        <v>6540</v>
      </c>
      <c r="I168" s="2">
        <v>6540</v>
      </c>
      <c r="J168" s="2">
        <v>9040</v>
      </c>
      <c r="K168" s="2">
        <v>8240</v>
      </c>
      <c r="L168" s="2">
        <v>6040</v>
      </c>
      <c r="M168" s="2">
        <v>6040</v>
      </c>
      <c r="N168" s="2">
        <v>6040</v>
      </c>
      <c r="O168" s="2">
        <v>8040</v>
      </c>
      <c r="P168" s="9"/>
      <c r="Q168" s="2">
        <f>SUM(OSRRefD21_16_2x)+IFERROR(SUM(OSRRefE21_16_2x),0)</f>
        <v>87105.72</v>
      </c>
    </row>
    <row r="169" spans="1:17" s="34" customFormat="1" hidden="1" outlineLevel="1" x14ac:dyDescent="0.25">
      <c r="A169" s="35"/>
      <c r="B169" s="13" t="str">
        <f>CONCATENATE("          ","6375", " - ","OUTSIDE REPAIRS &amp; MAINTENANCE")</f>
        <v xml:space="preserve">          6375 - OUTSIDE REPAIRS &amp; MAINTENANCE</v>
      </c>
      <c r="C169" s="15"/>
      <c r="D169" s="2">
        <v>1502.98</v>
      </c>
      <c r="E169" s="2">
        <v>333.82</v>
      </c>
      <c r="F169" s="2">
        <v>945.75</v>
      </c>
      <c r="G169" s="2">
        <v>6139.63</v>
      </c>
      <c r="H169" s="2">
        <v>8250</v>
      </c>
      <c r="I169" s="2">
        <v>8150</v>
      </c>
      <c r="J169" s="2">
        <v>8250</v>
      </c>
      <c r="K169" s="2">
        <v>8150</v>
      </c>
      <c r="L169" s="2">
        <v>8250</v>
      </c>
      <c r="M169" s="2">
        <v>8150</v>
      </c>
      <c r="N169" s="2">
        <v>8250</v>
      </c>
      <c r="O169" s="2">
        <v>8150</v>
      </c>
      <c r="P169" s="9"/>
      <c r="Q169" s="2">
        <f>SUM(OSRRefD21_16_3x)+IFERROR(SUM(OSRRefE21_16_3x),0)</f>
        <v>74522.179999999993</v>
      </c>
    </row>
    <row r="170" spans="1:17" s="34" customFormat="1" collapsed="1" x14ac:dyDescent="0.25">
      <c r="A170" s="35"/>
      <c r="B170" s="15" t="str">
        <f>CONCATENATE("     ","Royalty &amp; Commissions                             ")</f>
        <v xml:space="preserve">     Royalty &amp; Commissions                             </v>
      </c>
      <c r="C170" s="15"/>
      <c r="D170" s="1">
        <f>SUM(OSRRefD21_17x_0)</f>
        <v>10989.75</v>
      </c>
      <c r="E170" s="1">
        <f>SUM(OSRRefD21_17x_1)</f>
        <v>2254.65</v>
      </c>
      <c r="F170" s="1">
        <f>SUM(OSRRefD21_17x_2)</f>
        <v>62.6</v>
      </c>
      <c r="G170" s="1">
        <f>SUM(OSRRefD21_17x_3)</f>
        <v>10810</v>
      </c>
      <c r="H170" s="1">
        <f>SUM(OSRRefE21_17x_0)</f>
        <v>6321</v>
      </c>
      <c r="I170" s="1">
        <f>SUM(OSRRefE21_17x_1)</f>
        <v>6321</v>
      </c>
      <c r="J170" s="1">
        <f>SUM(OSRRefE21_17x_2)</f>
        <v>6321</v>
      </c>
      <c r="K170" s="1">
        <f>SUM(OSRRefE21_17x_3)</f>
        <v>6321</v>
      </c>
      <c r="L170" s="1">
        <f>SUM(OSRRefE21_17x_4)</f>
        <v>11271</v>
      </c>
      <c r="M170" s="1">
        <f>SUM(OSRRefE21_17x_5)</f>
        <v>6371</v>
      </c>
      <c r="N170" s="1">
        <f>SUM(OSRRefE21_17x_6)</f>
        <v>6371</v>
      </c>
      <c r="O170" s="1">
        <f>SUM(OSRRefE21_17x_7)</f>
        <v>6371</v>
      </c>
      <c r="Q170" s="2">
        <f>SUM(OSRRefD20_17x)+IFERROR(SUM(OSRRefE20_17x),0)</f>
        <v>79785</v>
      </c>
    </row>
    <row r="171" spans="1:17" s="34" customFormat="1" hidden="1" outlineLevel="1" x14ac:dyDescent="0.25">
      <c r="A171" s="35"/>
      <c r="B171" s="13" t="str">
        <f>CONCATENATE("          ","6252", " - ","ROYALTY DUE CSTV")</f>
        <v xml:space="preserve">          6252 - ROYALTY DUE CSTV</v>
      </c>
      <c r="C171" s="15"/>
      <c r="D171" s="2"/>
      <c r="E171" s="2"/>
      <c r="F171" s="2"/>
      <c r="G171" s="2"/>
      <c r="H171" s="2">
        <v>1085</v>
      </c>
      <c r="I171" s="2">
        <v>1085</v>
      </c>
      <c r="J171" s="2">
        <v>1085</v>
      </c>
      <c r="K171" s="2">
        <v>1085</v>
      </c>
      <c r="L171" s="2">
        <v>1085</v>
      </c>
      <c r="M171" s="2">
        <v>1085</v>
      </c>
      <c r="N171" s="2">
        <v>1085</v>
      </c>
      <c r="O171" s="2">
        <v>1085</v>
      </c>
      <c r="P171" s="9"/>
      <c r="Q171" s="2">
        <f>SUM(OSRRefD21_17_0x)+IFERROR(SUM(OSRRefE21_17_0x),0)</f>
        <v>8680</v>
      </c>
    </row>
    <row r="172" spans="1:17" s="34" customFormat="1" hidden="1" outlineLevel="1" x14ac:dyDescent="0.25">
      <c r="A172" s="35"/>
      <c r="B172" s="13" t="str">
        <f>CONCATENATE("          ","6253", " - ","ROYALTY DUE ATHLETICS-LRG")</f>
        <v xml:space="preserve">          6253 - ROYALTY DUE ATHLETICS-LRG</v>
      </c>
      <c r="C172" s="15"/>
      <c r="D172" s="2">
        <v>5672.2</v>
      </c>
      <c r="E172" s="2">
        <v>2250</v>
      </c>
      <c r="F172" s="2"/>
      <c r="G172" s="2">
        <v>10489.6</v>
      </c>
      <c r="H172" s="2">
        <v>4037</v>
      </c>
      <c r="I172" s="2">
        <v>4037</v>
      </c>
      <c r="J172" s="2">
        <v>4037</v>
      </c>
      <c r="K172" s="2">
        <v>4037</v>
      </c>
      <c r="L172" s="2">
        <v>4037</v>
      </c>
      <c r="M172" s="2">
        <v>4037</v>
      </c>
      <c r="N172" s="2">
        <v>4037</v>
      </c>
      <c r="O172" s="2">
        <v>4037</v>
      </c>
      <c r="P172" s="9"/>
      <c r="Q172" s="2">
        <f>SUM(OSRRefD21_17_1x)+IFERROR(SUM(OSRRefE21_17_1x),0)</f>
        <v>50707.8</v>
      </c>
    </row>
    <row r="173" spans="1:17" s="34" customFormat="1" hidden="1" outlineLevel="1" x14ac:dyDescent="0.25">
      <c r="A173" s="35"/>
      <c r="B173" s="13" t="str">
        <f>CONCATENATE("          ","6254", " - ","ROYALTY &amp; COMMISSIONS")</f>
        <v xml:space="preserve">          6254 - ROYALTY &amp; COMMISSIONS</v>
      </c>
      <c r="C173" s="15"/>
      <c r="D173" s="2"/>
      <c r="E173" s="2"/>
      <c r="F173" s="2"/>
      <c r="G173" s="2"/>
      <c r="H173" s="2">
        <v>1149</v>
      </c>
      <c r="I173" s="2">
        <v>1149</v>
      </c>
      <c r="J173" s="2">
        <v>1149</v>
      </c>
      <c r="K173" s="2">
        <v>1149</v>
      </c>
      <c r="L173" s="2">
        <v>1149</v>
      </c>
      <c r="M173" s="2">
        <v>1149</v>
      </c>
      <c r="N173" s="2">
        <v>1149</v>
      </c>
      <c r="O173" s="2">
        <v>1149</v>
      </c>
      <c r="P173" s="9"/>
      <c r="Q173" s="2">
        <f>SUM(OSRRefD21_17_2x)+IFERROR(SUM(OSRRefE21_17_2x),0)</f>
        <v>9192</v>
      </c>
    </row>
    <row r="174" spans="1:17" s="34" customFormat="1" hidden="1" outlineLevel="1" x14ac:dyDescent="0.25">
      <c r="A174" s="35"/>
      <c r="B174" s="13" t="str">
        <f>CONCATENATE("          ","6259", " - ","ROYALTY &amp; COMMISSIONS")</f>
        <v xml:space="preserve">          6259 - ROYALTY &amp; COMMISSIONS</v>
      </c>
      <c r="C174" s="15"/>
      <c r="D174" s="2">
        <v>5317.55</v>
      </c>
      <c r="E174" s="2">
        <v>4.6500000000000004</v>
      </c>
      <c r="F174" s="2">
        <v>62.6</v>
      </c>
      <c r="G174" s="2">
        <v>320.39999999999998</v>
      </c>
      <c r="H174" s="2">
        <v>50</v>
      </c>
      <c r="I174" s="2">
        <v>50</v>
      </c>
      <c r="J174" s="2">
        <v>50</v>
      </c>
      <c r="K174" s="2">
        <v>50</v>
      </c>
      <c r="L174" s="2">
        <v>5000</v>
      </c>
      <c r="M174" s="2">
        <v>100</v>
      </c>
      <c r="N174" s="2">
        <v>100</v>
      </c>
      <c r="O174" s="2">
        <v>100</v>
      </c>
      <c r="P174" s="9"/>
      <c r="Q174" s="2">
        <f>SUM(OSRRefD21_17_3x)+IFERROR(SUM(OSRRefE21_17_3x),0)</f>
        <v>11205.2</v>
      </c>
    </row>
    <row r="175" spans="1:17" s="34" customFormat="1" collapsed="1" x14ac:dyDescent="0.25">
      <c r="A175" s="35"/>
      <c r="B175" s="15" t="str">
        <f>CONCATENATE("     ","Services                                          ")</f>
        <v xml:space="preserve">     Services                                          </v>
      </c>
      <c r="C175" s="15"/>
      <c r="D175" s="1">
        <f>SUM(OSRRefD21_18x_0)</f>
        <v>3883.7400000000002</v>
      </c>
      <c r="E175" s="1">
        <f>SUM(OSRRefD21_18x_1)</f>
        <v>421.78</v>
      </c>
      <c r="F175" s="1">
        <f>SUM(OSRRefD21_18x_2)</f>
        <v>4517.25</v>
      </c>
      <c r="G175" s="1">
        <f>SUM(OSRRefD21_18x_3)</f>
        <v>3968.4200000000005</v>
      </c>
      <c r="H175" s="1">
        <f>SUM(OSRRefE21_18x_0)</f>
        <v>4455</v>
      </c>
      <c r="I175" s="1">
        <f>SUM(OSRRefE21_18x_1)</f>
        <v>4510</v>
      </c>
      <c r="J175" s="1">
        <f>SUM(OSRRefE21_18x_2)</f>
        <v>4780</v>
      </c>
      <c r="K175" s="1">
        <f>SUM(OSRRefE21_18x_3)</f>
        <v>4455</v>
      </c>
      <c r="L175" s="1">
        <f>SUM(OSRRefE21_18x_4)</f>
        <v>4510</v>
      </c>
      <c r="M175" s="1">
        <f>SUM(OSRRefE21_18x_5)</f>
        <v>4555</v>
      </c>
      <c r="N175" s="1">
        <f>SUM(OSRRefE21_18x_6)</f>
        <v>4455</v>
      </c>
      <c r="O175" s="1">
        <f>SUM(OSRRefE21_18x_7)</f>
        <v>4510</v>
      </c>
      <c r="Q175" s="2">
        <f>SUM(OSRRefD20_18x)+IFERROR(SUM(OSRRefE20_18x),0)</f>
        <v>49021.19</v>
      </c>
    </row>
    <row r="176" spans="1:17" s="34" customFormat="1" hidden="1" outlineLevel="1" x14ac:dyDescent="0.25">
      <c r="A176" s="35"/>
      <c r="B176" s="13" t="str">
        <f>CONCATENATE("          ","6282", " - ","JANITORIAL/EXTERMINATOR EXPENS")</f>
        <v xml:space="preserve">          6282 - JANITORIAL/EXTERMINATOR EXPENS</v>
      </c>
      <c r="C176" s="15"/>
      <c r="D176" s="2">
        <v>136.5</v>
      </c>
      <c r="E176" s="2">
        <v>339.94</v>
      </c>
      <c r="F176" s="2">
        <v>266.5</v>
      </c>
      <c r="G176" s="2">
        <v>4330.68</v>
      </c>
      <c r="H176" s="2">
        <v>4000</v>
      </c>
      <c r="I176" s="2">
        <v>4000</v>
      </c>
      <c r="J176" s="2">
        <v>4000</v>
      </c>
      <c r="K176" s="2">
        <v>4000</v>
      </c>
      <c r="L176" s="2">
        <v>4000</v>
      </c>
      <c r="M176" s="2">
        <v>4000</v>
      </c>
      <c r="N176" s="2">
        <v>4000</v>
      </c>
      <c r="O176" s="2">
        <v>4000</v>
      </c>
      <c r="P176" s="9"/>
      <c r="Q176" s="2">
        <f>SUM(OSRRefD21_18_0x)+IFERROR(SUM(OSRRefE21_18_0x),0)</f>
        <v>37073.620000000003</v>
      </c>
    </row>
    <row r="177" spans="1:17" s="34" customFormat="1" hidden="1" outlineLevel="1" x14ac:dyDescent="0.25">
      <c r="A177" s="35"/>
      <c r="B177" s="13" t="str">
        <f>CONCATENATE("          ","6283", " - ","PLANT SERVICE")</f>
        <v xml:space="preserve">          6283 - PLANT SERVICE</v>
      </c>
      <c r="C177" s="15"/>
      <c r="D177" s="2">
        <v>130</v>
      </c>
      <c r="E177" s="2"/>
      <c r="F177" s="2"/>
      <c r="G177" s="2"/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9"/>
      <c r="Q177" s="2">
        <f>SUM(OSRRefD21_18_1x)+IFERROR(SUM(OSRRefE21_18_1x),0)</f>
        <v>130</v>
      </c>
    </row>
    <row r="178" spans="1:17" s="34" customFormat="1" hidden="1" outlineLevel="1" x14ac:dyDescent="0.25">
      <c r="A178" s="35"/>
      <c r="B178" s="13" t="str">
        <f>CONCATENATE("          ","6284", " - ","TRASH REMOVAL EXPENSE")</f>
        <v xml:space="preserve">          6284 - TRASH REMOVAL EXPENSE</v>
      </c>
      <c r="C178" s="15"/>
      <c r="D178" s="2">
        <v>142.57</v>
      </c>
      <c r="E178" s="2">
        <v>142.57</v>
      </c>
      <c r="F178" s="2">
        <v>142.57</v>
      </c>
      <c r="G178" s="2">
        <v>157.59</v>
      </c>
      <c r="H178" s="2">
        <v>55</v>
      </c>
      <c r="I178" s="2">
        <v>110</v>
      </c>
      <c r="J178" s="2">
        <v>55</v>
      </c>
      <c r="K178" s="2">
        <v>55</v>
      </c>
      <c r="L178" s="2">
        <v>110</v>
      </c>
      <c r="M178" s="2">
        <v>55</v>
      </c>
      <c r="N178" s="2">
        <v>55</v>
      </c>
      <c r="O178" s="2">
        <v>110</v>
      </c>
      <c r="P178" s="9"/>
      <c r="Q178" s="2">
        <f>SUM(OSRRefD21_18_2x)+IFERROR(SUM(OSRRefE21_18_2x),0)</f>
        <v>1190.3</v>
      </c>
    </row>
    <row r="179" spans="1:17" s="34" customFormat="1" hidden="1" outlineLevel="1" x14ac:dyDescent="0.25">
      <c r="A179" s="35"/>
      <c r="B179" s="13" t="str">
        <f>CONCATENATE("          ","6285", " - ","JANITORIAL SERVICES")</f>
        <v xml:space="preserve">          6285 - JANITORIAL SERVICES</v>
      </c>
      <c r="C179" s="15"/>
      <c r="D179" s="2">
        <v>3474.67</v>
      </c>
      <c r="E179" s="2">
        <v>-60.73</v>
      </c>
      <c r="F179" s="2">
        <v>4108.18</v>
      </c>
      <c r="G179" s="2">
        <v>-519.85</v>
      </c>
      <c r="H179" s="2">
        <v>400</v>
      </c>
      <c r="I179" s="2">
        <v>400</v>
      </c>
      <c r="J179" s="2">
        <v>725</v>
      </c>
      <c r="K179" s="2">
        <v>400</v>
      </c>
      <c r="L179" s="2">
        <v>400</v>
      </c>
      <c r="M179" s="2">
        <v>500</v>
      </c>
      <c r="N179" s="2">
        <v>400</v>
      </c>
      <c r="O179" s="2">
        <v>400</v>
      </c>
      <c r="P179" s="9"/>
      <c r="Q179" s="2">
        <f>SUM(OSRRefD21_18_3x)+IFERROR(SUM(OSRRefE21_18_3x),0)</f>
        <v>10627.27</v>
      </c>
    </row>
    <row r="180" spans="1:17" s="34" customFormat="1" collapsed="1" x14ac:dyDescent="0.25">
      <c r="A180" s="35"/>
      <c r="B180" s="15" t="str">
        <f>CONCATENATE("     ","Subscriptions &amp; Dues                              ")</f>
        <v xml:space="preserve">     Subscriptions &amp; Dues                              </v>
      </c>
      <c r="C180" s="15"/>
      <c r="D180" s="1">
        <f>SUM(OSRRefD21_19x_0)</f>
        <v>365</v>
      </c>
      <c r="E180" s="1">
        <f>SUM(OSRRefD21_19x_1)</f>
        <v>270</v>
      </c>
      <c r="F180" s="1">
        <f>SUM(OSRRefD21_19x_2)</f>
        <v>148.77000000000001</v>
      </c>
      <c r="G180" s="1">
        <f>SUM(OSRRefD21_19x_3)</f>
        <v>865.32</v>
      </c>
      <c r="H180" s="1">
        <f>SUM(OSRRefE21_19x_0)</f>
        <v>1100</v>
      </c>
      <c r="I180" s="1">
        <f>SUM(OSRRefE21_19x_1)</f>
        <v>1100</v>
      </c>
      <c r="J180" s="1">
        <f>SUM(OSRRefE21_19x_2)</f>
        <v>1100</v>
      </c>
      <c r="K180" s="1">
        <f>SUM(OSRRefE21_19x_3)</f>
        <v>1100</v>
      </c>
      <c r="L180" s="1">
        <f>SUM(OSRRefE21_19x_4)</f>
        <v>1100</v>
      </c>
      <c r="M180" s="1">
        <f>SUM(OSRRefE21_19x_5)</f>
        <v>2900</v>
      </c>
      <c r="N180" s="1">
        <f>SUM(OSRRefE21_19x_6)</f>
        <v>1100</v>
      </c>
      <c r="O180" s="1">
        <f>SUM(OSRRefE21_19x_7)</f>
        <v>1300</v>
      </c>
      <c r="Q180" s="2">
        <f>SUM(OSRRefD20_19x)+IFERROR(SUM(OSRRefE20_19x),0)</f>
        <v>12449.09</v>
      </c>
    </row>
    <row r="181" spans="1:17" s="34" customFormat="1" hidden="1" outlineLevel="1" x14ac:dyDescent="0.25">
      <c r="A181" s="35"/>
      <c r="B181" s="13" t="str">
        <f>CONCATENATE("          ","6258", " - ","MEMBERSHIP DUES")</f>
        <v xml:space="preserve">          6258 - MEMBERSHIP DUES</v>
      </c>
      <c r="C181" s="15"/>
      <c r="D181" s="2">
        <v>290</v>
      </c>
      <c r="E181" s="2">
        <v>270</v>
      </c>
      <c r="F181" s="2">
        <v>73.040000000000006</v>
      </c>
      <c r="G181" s="2">
        <v>790.32</v>
      </c>
      <c r="H181" s="2">
        <v>1100</v>
      </c>
      <c r="I181" s="2">
        <v>1100</v>
      </c>
      <c r="J181" s="2">
        <v>1100</v>
      </c>
      <c r="K181" s="2">
        <v>1100</v>
      </c>
      <c r="L181" s="2">
        <v>1100</v>
      </c>
      <c r="M181" s="2">
        <v>1100</v>
      </c>
      <c r="N181" s="2">
        <v>1100</v>
      </c>
      <c r="O181" s="2">
        <v>1300</v>
      </c>
      <c r="P181" s="9"/>
      <c r="Q181" s="2">
        <f>SUM(OSRRefD21_19_0x)+IFERROR(SUM(OSRRefE21_19_0x),0)</f>
        <v>10423.36</v>
      </c>
    </row>
    <row r="182" spans="1:17" s="34" customFormat="1" hidden="1" outlineLevel="1" x14ac:dyDescent="0.25">
      <c r="A182" s="35"/>
      <c r="B182" s="13" t="str">
        <f>CONCATENATE("          ","6275", " - ","SUBSCRIPTIONS")</f>
        <v xml:space="preserve">          6275 - SUBSCRIPTIONS</v>
      </c>
      <c r="C182" s="15"/>
      <c r="D182" s="2">
        <v>75</v>
      </c>
      <c r="E182" s="2"/>
      <c r="F182" s="2">
        <v>75.73</v>
      </c>
      <c r="G182" s="2">
        <v>75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1800</v>
      </c>
      <c r="N182" s="2">
        <v>0</v>
      </c>
      <c r="O182" s="2">
        <v>0</v>
      </c>
      <c r="P182" s="9"/>
      <c r="Q182" s="2">
        <f>SUM(OSRRefD21_19_1x)+IFERROR(SUM(OSRRefE21_19_1x),0)</f>
        <v>2025.73</v>
      </c>
    </row>
    <row r="183" spans="1:17" s="34" customFormat="1" collapsed="1" x14ac:dyDescent="0.25">
      <c r="A183" s="35"/>
      <c r="B183" s="15" t="str">
        <f>CONCATENATE("     ","Supplies                                          ")</f>
        <v xml:space="preserve">     Supplies                                          </v>
      </c>
      <c r="C183" s="15"/>
      <c r="D183" s="1">
        <f>SUM(OSRRefD21_20x_0)</f>
        <v>11519.92</v>
      </c>
      <c r="E183" s="1">
        <f>SUM(OSRRefD21_20x_1)</f>
        <v>8018.0199999999995</v>
      </c>
      <c r="F183" s="1">
        <f>SUM(OSRRefD21_20x_2)</f>
        <v>13852.2</v>
      </c>
      <c r="G183" s="1">
        <f>SUM(OSRRefD21_20x_3)</f>
        <v>23208.799999999996</v>
      </c>
      <c r="H183" s="1">
        <f>SUM(OSRRefE21_20x_0)</f>
        <v>3510</v>
      </c>
      <c r="I183" s="1">
        <f>SUM(OSRRefE21_20x_1)</f>
        <v>6160</v>
      </c>
      <c r="J183" s="1">
        <f>SUM(OSRRefE21_20x_2)</f>
        <v>6645</v>
      </c>
      <c r="K183" s="1">
        <f>SUM(OSRRefE21_20x_3)</f>
        <v>4660</v>
      </c>
      <c r="L183" s="1">
        <f>SUM(OSRRefE21_20x_4)</f>
        <v>4020</v>
      </c>
      <c r="M183" s="1">
        <f>SUM(OSRRefE21_20x_5)</f>
        <v>3695</v>
      </c>
      <c r="N183" s="1">
        <f>SUM(OSRRefE21_20x_6)</f>
        <v>6020</v>
      </c>
      <c r="O183" s="1">
        <f>SUM(OSRRefE21_20x_7)</f>
        <v>3570</v>
      </c>
      <c r="Q183" s="2">
        <f>SUM(OSRRefD20_20x)+IFERROR(SUM(OSRRefE20_20x),0)</f>
        <v>94878.94</v>
      </c>
    </row>
    <row r="184" spans="1:17" s="34" customFormat="1" hidden="1" outlineLevel="1" x14ac:dyDescent="0.25">
      <c r="A184" s="35"/>
      <c r="B184" s="13" t="str">
        <f>CONCATENATE("          ","6234", " - ","EXPENDABLE SUPPLIES &amp; EQUIPMEN")</f>
        <v xml:space="preserve">          6234 - EXPENDABLE SUPPLIES &amp; EQUIPMEN</v>
      </c>
      <c r="C184" s="15"/>
      <c r="D184" s="2"/>
      <c r="E184" s="2"/>
      <c r="F184" s="2"/>
      <c r="G184" s="2">
        <v>101.34</v>
      </c>
      <c r="H184" s="2">
        <v>100</v>
      </c>
      <c r="I184" s="2">
        <v>100</v>
      </c>
      <c r="J184" s="2">
        <v>100</v>
      </c>
      <c r="K184" s="2">
        <v>100</v>
      </c>
      <c r="L184" s="2">
        <v>100</v>
      </c>
      <c r="M184" s="2">
        <v>100</v>
      </c>
      <c r="N184" s="2">
        <v>100</v>
      </c>
      <c r="O184" s="2">
        <v>100</v>
      </c>
      <c r="P184" s="9"/>
      <c r="Q184" s="2">
        <f>SUM(OSRRefD21_20_0x)+IFERROR(SUM(OSRRefE21_20_0x),0)</f>
        <v>901.34</v>
      </c>
    </row>
    <row r="185" spans="1:17" s="34" customFormat="1" hidden="1" outlineLevel="1" x14ac:dyDescent="0.25">
      <c r="A185" s="35"/>
      <c r="B185" s="13" t="str">
        <f>CONCATENATE("          ","6235", " - ","COVID-19 EXPENSES")</f>
        <v xml:space="preserve">          6235 - COVID-19 EXPENSES</v>
      </c>
      <c r="C185" s="15"/>
      <c r="D185" s="2">
        <v>6012.11</v>
      </c>
      <c r="E185" s="2">
        <v>621.78</v>
      </c>
      <c r="F185" s="2">
        <v>2460.7800000000002</v>
      </c>
      <c r="G185" s="2">
        <v>16805.12</v>
      </c>
      <c r="H185" s="2">
        <v>300</v>
      </c>
      <c r="I185" s="2">
        <v>300</v>
      </c>
      <c r="J185" s="2">
        <v>300</v>
      </c>
      <c r="K185" s="2">
        <v>300</v>
      </c>
      <c r="L185" s="2">
        <v>300</v>
      </c>
      <c r="M185" s="2">
        <v>300</v>
      </c>
      <c r="N185" s="2">
        <v>300</v>
      </c>
      <c r="O185" s="2">
        <v>300</v>
      </c>
      <c r="P185" s="9"/>
      <c r="Q185" s="2">
        <f>SUM(OSRRefD21_20_1x)+IFERROR(SUM(OSRRefE21_20_1x),0)</f>
        <v>28299.79</v>
      </c>
    </row>
    <row r="186" spans="1:17" s="34" customFormat="1" hidden="1" outlineLevel="1" x14ac:dyDescent="0.25">
      <c r="A186" s="35"/>
      <c r="B186" s="13" t="str">
        <f>CONCATENATE("          ","6237", " - ","JANITORIAL SUPPLIES")</f>
        <v xml:space="preserve">          6237 - JANITORIAL SUPPLIES</v>
      </c>
      <c r="C186" s="15"/>
      <c r="D186" s="2">
        <v>139.31</v>
      </c>
      <c r="E186" s="2"/>
      <c r="F186" s="2"/>
      <c r="G186" s="2">
        <v>1109.05</v>
      </c>
      <c r="H186" s="2">
        <v>210</v>
      </c>
      <c r="I186" s="2">
        <v>210</v>
      </c>
      <c r="J186" s="2">
        <v>220</v>
      </c>
      <c r="K186" s="2">
        <v>210</v>
      </c>
      <c r="L186" s="2">
        <v>220</v>
      </c>
      <c r="M186" s="2">
        <v>220</v>
      </c>
      <c r="N186" s="2">
        <v>220</v>
      </c>
      <c r="O186" s="2">
        <v>220</v>
      </c>
      <c r="P186" s="9"/>
      <c r="Q186" s="2">
        <f>SUM(OSRRefD21_20_2x)+IFERROR(SUM(OSRRefE21_20_2x),0)</f>
        <v>2978.3599999999997</v>
      </c>
    </row>
    <row r="187" spans="1:17" s="34" customFormat="1" hidden="1" outlineLevel="1" x14ac:dyDescent="0.25">
      <c r="A187" s="35"/>
      <c r="B187" s="13" t="str">
        <f>CONCATENATE("          ","6241", " - ","OFFICE EXPENSE")</f>
        <v xml:space="preserve">          6241 - OFFICE EXPENSE</v>
      </c>
      <c r="C187" s="15"/>
      <c r="D187" s="2">
        <v>430.41</v>
      </c>
      <c r="E187" s="2">
        <v>2293.5100000000002</v>
      </c>
      <c r="F187" s="2">
        <v>4755.57</v>
      </c>
      <c r="G187" s="2">
        <v>330.19</v>
      </c>
      <c r="H187" s="2">
        <v>375</v>
      </c>
      <c r="I187" s="2">
        <v>850</v>
      </c>
      <c r="J187" s="2">
        <v>575</v>
      </c>
      <c r="K187" s="2">
        <v>550</v>
      </c>
      <c r="L187" s="2">
        <v>375</v>
      </c>
      <c r="M187" s="2">
        <v>350</v>
      </c>
      <c r="N187" s="2">
        <v>375</v>
      </c>
      <c r="O187" s="2">
        <v>250</v>
      </c>
      <c r="P187" s="9"/>
      <c r="Q187" s="2">
        <f>SUM(OSRRefD21_20_3x)+IFERROR(SUM(OSRRefE21_20_3x),0)</f>
        <v>11509.68</v>
      </c>
    </row>
    <row r="188" spans="1:17" s="34" customFormat="1" hidden="1" outlineLevel="1" x14ac:dyDescent="0.25">
      <c r="A188" s="35"/>
      <c r="B188" s="13" t="str">
        <f>CONCATENATE("          ","6243", " - ","PAPER SUPPLIES")</f>
        <v xml:space="preserve">          6243 - PAPER SUPPLIES</v>
      </c>
      <c r="C188" s="15"/>
      <c r="D188" s="2">
        <v>1080</v>
      </c>
      <c r="E188" s="2">
        <v>2044.69</v>
      </c>
      <c r="F188" s="2"/>
      <c r="G188" s="2">
        <v>449.01</v>
      </c>
      <c r="H188" s="2">
        <v>100</v>
      </c>
      <c r="I188" s="2">
        <v>2000</v>
      </c>
      <c r="J188" s="2">
        <v>2000</v>
      </c>
      <c r="K188" s="2">
        <v>100</v>
      </c>
      <c r="L188" s="2">
        <v>100</v>
      </c>
      <c r="M188" s="2">
        <v>100</v>
      </c>
      <c r="N188" s="2">
        <v>2000</v>
      </c>
      <c r="O188" s="2">
        <v>100</v>
      </c>
      <c r="P188" s="9"/>
      <c r="Q188" s="2">
        <f>SUM(OSRRefD21_20_4x)+IFERROR(SUM(OSRRefE21_20_4x),0)</f>
        <v>10073.700000000001</v>
      </c>
    </row>
    <row r="189" spans="1:17" s="34" customFormat="1" hidden="1" outlineLevel="1" x14ac:dyDescent="0.25">
      <c r="A189" s="35"/>
      <c r="B189" s="13" t="str">
        <f>CONCATENATE("          ","6244", " - ","SAFETY SUPPLY EXPENSE")</f>
        <v xml:space="preserve">          6244 - SAFETY SUPPLY EXPENSE</v>
      </c>
      <c r="C189" s="15"/>
      <c r="D189" s="2"/>
      <c r="E189" s="2"/>
      <c r="F189" s="2"/>
      <c r="G189" s="2"/>
      <c r="H189" s="2">
        <v>0</v>
      </c>
      <c r="I189" s="2">
        <v>0</v>
      </c>
      <c r="J189" s="2">
        <v>25</v>
      </c>
      <c r="K189" s="2">
        <v>0</v>
      </c>
      <c r="L189" s="2">
        <v>0</v>
      </c>
      <c r="M189" s="2">
        <v>25</v>
      </c>
      <c r="N189" s="2">
        <v>0</v>
      </c>
      <c r="O189" s="2">
        <v>0</v>
      </c>
      <c r="P189" s="9"/>
      <c r="Q189" s="2">
        <f>SUM(OSRRefD21_20_5x)+IFERROR(SUM(OSRRefE21_20_5x),0)</f>
        <v>50</v>
      </c>
    </row>
    <row r="190" spans="1:17" s="34" customFormat="1" hidden="1" outlineLevel="1" x14ac:dyDescent="0.25">
      <c r="A190" s="35"/>
      <c r="B190" s="13" t="str">
        <f>CONCATENATE("          ","6245", " - ","PRINTING")</f>
        <v xml:space="preserve">          6245 - PRINTING</v>
      </c>
      <c r="C190" s="15"/>
      <c r="D190" s="2">
        <v>-1543.5</v>
      </c>
      <c r="E190" s="2">
        <v>1248</v>
      </c>
      <c r="F190" s="2">
        <v>356.96</v>
      </c>
      <c r="G190" s="2">
        <v>353.09</v>
      </c>
      <c r="H190" s="2">
        <v>125</v>
      </c>
      <c r="I190" s="2">
        <v>425</v>
      </c>
      <c r="J190" s="2">
        <v>525</v>
      </c>
      <c r="K190" s="2">
        <v>125</v>
      </c>
      <c r="L190" s="2">
        <v>125</v>
      </c>
      <c r="M190" s="2">
        <v>125</v>
      </c>
      <c r="N190" s="2">
        <v>525</v>
      </c>
      <c r="O190" s="2">
        <v>125</v>
      </c>
      <c r="P190" s="9"/>
      <c r="Q190" s="2">
        <f>SUM(OSRRefD21_20_6x)+IFERROR(SUM(OSRRefE21_20_6x),0)</f>
        <v>2514.5500000000002</v>
      </c>
    </row>
    <row r="191" spans="1:17" s="34" customFormat="1" hidden="1" outlineLevel="1" x14ac:dyDescent="0.25">
      <c r="A191" s="35"/>
      <c r="B191" s="13" t="str">
        <f>CONCATENATE("          ","6247", " - ","STORE SUPPLIES")</f>
        <v xml:space="preserve">          6247 - STORE SUPPLIES</v>
      </c>
      <c r="C191" s="15"/>
      <c r="D191" s="2">
        <v>5401.59</v>
      </c>
      <c r="E191" s="2">
        <v>1810.04</v>
      </c>
      <c r="F191" s="2">
        <v>6278.89</v>
      </c>
      <c r="G191" s="2">
        <v>4061</v>
      </c>
      <c r="H191" s="2">
        <v>1300</v>
      </c>
      <c r="I191" s="2">
        <v>1275</v>
      </c>
      <c r="J191" s="2">
        <v>1900</v>
      </c>
      <c r="K191" s="2">
        <v>2275</v>
      </c>
      <c r="L191" s="2">
        <v>1800</v>
      </c>
      <c r="M191" s="2">
        <v>1475</v>
      </c>
      <c r="N191" s="2">
        <v>1500</v>
      </c>
      <c r="O191" s="2">
        <v>1475</v>
      </c>
      <c r="P191" s="9"/>
      <c r="Q191" s="2">
        <f>SUM(OSRRefD21_20_7x)+IFERROR(SUM(OSRRefE21_20_7x),0)</f>
        <v>30551.52</v>
      </c>
    </row>
    <row r="192" spans="1:17" s="34" customFormat="1" hidden="1" outlineLevel="1" x14ac:dyDescent="0.25">
      <c r="A192" s="35"/>
      <c r="B192" s="13" t="str">
        <f>CONCATENATE("          ","6248", " - ","UNIFORMS")</f>
        <v xml:space="preserve">          6248 - UNIFORMS</v>
      </c>
      <c r="C192" s="15"/>
      <c r="D192" s="2"/>
      <c r="E192" s="2"/>
      <c r="F192" s="2"/>
      <c r="G192" s="2"/>
      <c r="H192" s="2">
        <v>1000</v>
      </c>
      <c r="I192" s="2">
        <v>1000</v>
      </c>
      <c r="J192" s="2">
        <v>1000</v>
      </c>
      <c r="K192" s="2">
        <v>1000</v>
      </c>
      <c r="L192" s="2">
        <v>1000</v>
      </c>
      <c r="M192" s="2">
        <v>1000</v>
      </c>
      <c r="N192" s="2">
        <v>1000</v>
      </c>
      <c r="O192" s="2">
        <v>1000</v>
      </c>
      <c r="P192" s="9"/>
      <c r="Q192" s="2">
        <f>SUM(OSRRefD21_20_8x)+IFERROR(SUM(OSRRefE21_20_8x),0)</f>
        <v>8000</v>
      </c>
    </row>
    <row r="193" spans="1:17" s="34" customFormat="1" collapsed="1" x14ac:dyDescent="0.25">
      <c r="A193" s="35"/>
      <c r="B193" s="15" t="str">
        <f>CONCATENATE("     ","Telephone/Data Lines                              ")</f>
        <v xml:space="preserve">     Telephone/Data Lines                              </v>
      </c>
      <c r="C193" s="15"/>
      <c r="D193" s="1">
        <f>SUM(OSRRefD21_21x_0)</f>
        <v>2373.25</v>
      </c>
      <c r="E193" s="1">
        <f>SUM(OSRRefD21_21x_1)</f>
        <v>2097</v>
      </c>
      <c r="F193" s="1">
        <f>SUM(OSRRefD21_21x_2)</f>
        <v>5060.54</v>
      </c>
      <c r="G193" s="1">
        <f>SUM(OSRRefD21_21x_3)</f>
        <v>849.33</v>
      </c>
      <c r="H193" s="1">
        <f>SUM(OSRRefE21_21x_0)</f>
        <v>2195</v>
      </c>
      <c r="I193" s="1">
        <f>SUM(OSRRefE21_21x_1)</f>
        <v>2495</v>
      </c>
      <c r="J193" s="1">
        <f>SUM(OSRRefE21_21x_2)</f>
        <v>2695</v>
      </c>
      <c r="K193" s="1">
        <f>SUM(OSRRefE21_21x_3)</f>
        <v>2195</v>
      </c>
      <c r="L193" s="1">
        <f>SUM(OSRRefE21_21x_4)</f>
        <v>2195</v>
      </c>
      <c r="M193" s="1">
        <f>SUM(OSRRefE21_21x_5)</f>
        <v>2195</v>
      </c>
      <c r="N193" s="1">
        <f>SUM(OSRRefE21_21x_6)</f>
        <v>2195</v>
      </c>
      <c r="O193" s="1">
        <f>SUM(OSRRefE21_21x_7)</f>
        <v>2195</v>
      </c>
      <c r="Q193" s="2">
        <f>SUM(OSRRefD20_21x)+IFERROR(SUM(OSRRefE20_21x),0)</f>
        <v>28740.120000000003</v>
      </c>
    </row>
    <row r="194" spans="1:17" s="34" customFormat="1" hidden="1" outlineLevel="1" x14ac:dyDescent="0.25">
      <c r="A194" s="35"/>
      <c r="B194" s="13" t="str">
        <f>CONCATENATE("          ","6303", " - ","DATA PHONE LINES")</f>
        <v xml:space="preserve">          6303 - DATA PHONE LINES</v>
      </c>
      <c r="C194" s="15"/>
      <c r="D194" s="2">
        <v>295</v>
      </c>
      <c r="E194" s="2"/>
      <c r="F194" s="2">
        <v>885</v>
      </c>
      <c r="G194" s="2"/>
      <c r="H194" s="2">
        <v>530</v>
      </c>
      <c r="I194" s="2">
        <v>530</v>
      </c>
      <c r="J194" s="2">
        <v>530</v>
      </c>
      <c r="K194" s="2">
        <v>530</v>
      </c>
      <c r="L194" s="2">
        <v>530</v>
      </c>
      <c r="M194" s="2">
        <v>530</v>
      </c>
      <c r="N194" s="2">
        <v>530</v>
      </c>
      <c r="O194" s="2">
        <v>530</v>
      </c>
      <c r="P194" s="9"/>
      <c r="Q194" s="2">
        <f>SUM(OSRRefD21_21_0x)+IFERROR(SUM(OSRRefE21_21_0x),0)</f>
        <v>5420</v>
      </c>
    </row>
    <row r="195" spans="1:17" s="34" customFormat="1" hidden="1" outlineLevel="1" x14ac:dyDescent="0.25">
      <c r="A195" s="35"/>
      <c r="B195" s="13" t="str">
        <f>CONCATENATE("          ","6309", " - ","TELEPHONE")</f>
        <v xml:space="preserve">          6309 - TELEPHONE</v>
      </c>
      <c r="C195" s="15"/>
      <c r="D195" s="2">
        <v>2078.25</v>
      </c>
      <c r="E195" s="2">
        <v>2097</v>
      </c>
      <c r="F195" s="2">
        <v>4175.54</v>
      </c>
      <c r="G195" s="2">
        <v>849.33</v>
      </c>
      <c r="H195" s="2">
        <v>1665</v>
      </c>
      <c r="I195" s="2">
        <v>1965</v>
      </c>
      <c r="J195" s="2">
        <v>2165</v>
      </c>
      <c r="K195" s="2">
        <v>1665</v>
      </c>
      <c r="L195" s="2">
        <v>1665</v>
      </c>
      <c r="M195" s="2">
        <v>1665</v>
      </c>
      <c r="N195" s="2">
        <v>1665</v>
      </c>
      <c r="O195" s="2">
        <v>1665</v>
      </c>
      <c r="P195" s="9"/>
      <c r="Q195" s="2">
        <f>SUM(OSRRefD21_21_1x)+IFERROR(SUM(OSRRefE21_21_1x),0)</f>
        <v>23320.120000000003</v>
      </c>
    </row>
    <row r="196" spans="1:17" s="34" customFormat="1" collapsed="1" x14ac:dyDescent="0.25">
      <c r="A196" s="35"/>
      <c r="B196" s="15" t="str">
        <f>CONCATENATE("     ","Training                                          ")</f>
        <v xml:space="preserve">     Training                                          </v>
      </c>
      <c r="C196" s="15"/>
      <c r="D196" s="1">
        <f>SUM(OSRRefD21_22x_0)</f>
        <v>131.63</v>
      </c>
      <c r="E196" s="1">
        <f>SUM(OSRRefD21_22x_1)</f>
        <v>0</v>
      </c>
      <c r="F196" s="1">
        <f>SUM(OSRRefD21_22x_2)</f>
        <v>0</v>
      </c>
      <c r="G196" s="1">
        <f>SUM(OSRRefD21_22x_3)</f>
        <v>14</v>
      </c>
      <c r="H196" s="1">
        <f>SUM(OSRRefE21_22x_0)</f>
        <v>750</v>
      </c>
      <c r="I196" s="1">
        <f>SUM(OSRRefE21_22x_1)</f>
        <v>0</v>
      </c>
      <c r="J196" s="1">
        <f>SUM(OSRRefE21_22x_2)</f>
        <v>0</v>
      </c>
      <c r="K196" s="1">
        <f>SUM(OSRRefE21_22x_3)</f>
        <v>5000</v>
      </c>
      <c r="L196" s="1">
        <f>SUM(OSRRefE21_22x_4)</f>
        <v>0</v>
      </c>
      <c r="M196" s="1">
        <f>SUM(OSRRefE21_22x_5)</f>
        <v>0</v>
      </c>
      <c r="N196" s="1">
        <f>SUM(OSRRefE21_22x_6)</f>
        <v>0</v>
      </c>
      <c r="O196" s="1">
        <f>SUM(OSRRefE21_22x_7)</f>
        <v>0</v>
      </c>
      <c r="Q196" s="2">
        <f>SUM(OSRRefD20_22x)+IFERROR(SUM(OSRRefE20_22x),0)</f>
        <v>5895.63</v>
      </c>
    </row>
    <row r="197" spans="1:17" s="34" customFormat="1" hidden="1" outlineLevel="1" x14ac:dyDescent="0.25">
      <c r="A197" s="35"/>
      <c r="B197" s="13" t="str">
        <f>CONCATENATE("          ","6376", " - ","TRAINING")</f>
        <v xml:space="preserve">          6376 - TRAINING</v>
      </c>
      <c r="C197" s="15"/>
      <c r="D197" s="2">
        <v>131.63</v>
      </c>
      <c r="E197" s="2"/>
      <c r="F197" s="2"/>
      <c r="G197" s="2">
        <v>14</v>
      </c>
      <c r="H197" s="2">
        <v>750</v>
      </c>
      <c r="I197" s="2">
        <v>0</v>
      </c>
      <c r="J197" s="2">
        <v>0</v>
      </c>
      <c r="K197" s="2">
        <v>5000</v>
      </c>
      <c r="L197" s="2">
        <v>0</v>
      </c>
      <c r="M197" s="2">
        <v>0</v>
      </c>
      <c r="N197" s="2">
        <v>0</v>
      </c>
      <c r="O197" s="2">
        <v>0</v>
      </c>
      <c r="P197" s="9"/>
      <c r="Q197" s="2">
        <f>SUM(OSRRefD21_22_0x)+IFERROR(SUM(OSRRefE21_22_0x),0)</f>
        <v>5895.63</v>
      </c>
    </row>
    <row r="198" spans="1:17" s="34" customFormat="1" collapsed="1" x14ac:dyDescent="0.25">
      <c r="A198" s="35"/>
      <c r="B198" s="15" t="str">
        <f>CONCATENATE("     ","Travel                                            ")</f>
        <v xml:space="preserve">     Travel                                            </v>
      </c>
      <c r="C198" s="15"/>
      <c r="D198" s="1">
        <f>SUM(OSRRefD21_23x_0)</f>
        <v>275.20999999999998</v>
      </c>
      <c r="E198" s="1">
        <f>SUM(OSRRefD21_23x_1)</f>
        <v>25.76</v>
      </c>
      <c r="F198" s="1">
        <f>SUM(OSRRefD21_23x_2)</f>
        <v>0</v>
      </c>
      <c r="G198" s="1">
        <f>SUM(OSRRefD21_23x_3)</f>
        <v>80.959999999999994</v>
      </c>
      <c r="H198" s="1">
        <f>SUM(OSRRefE21_23x_0)</f>
        <v>25</v>
      </c>
      <c r="I198" s="1">
        <f>SUM(OSRRefE21_23x_1)</f>
        <v>25</v>
      </c>
      <c r="J198" s="1">
        <f>SUM(OSRRefE21_23x_2)</f>
        <v>25</v>
      </c>
      <c r="K198" s="1">
        <f>SUM(OSRRefE21_23x_3)</f>
        <v>25</v>
      </c>
      <c r="L198" s="1">
        <f>SUM(OSRRefE21_23x_4)</f>
        <v>25</v>
      </c>
      <c r="M198" s="1">
        <f>SUM(OSRRefE21_23x_5)</f>
        <v>25</v>
      </c>
      <c r="N198" s="1">
        <f>SUM(OSRRefE21_23x_6)</f>
        <v>25</v>
      </c>
      <c r="O198" s="1">
        <f>SUM(OSRRefE21_23x_7)</f>
        <v>25</v>
      </c>
      <c r="Q198" s="2">
        <f>SUM(OSRRefD20_23x)+IFERROR(SUM(OSRRefE20_23x),0)</f>
        <v>581.92999999999995</v>
      </c>
    </row>
    <row r="199" spans="1:17" s="34" customFormat="1" hidden="1" outlineLevel="1" x14ac:dyDescent="0.25">
      <c r="A199" s="35"/>
      <c r="B199" s="13" t="str">
        <f>CONCATENATE("          ","6292", " - ","TRAVEL/CONFERENCE")</f>
        <v xml:space="preserve">          6292 - TRAVEL/CONFERENCE</v>
      </c>
      <c r="C199" s="15"/>
      <c r="D199" s="2">
        <v>0.16</v>
      </c>
      <c r="E199" s="2"/>
      <c r="F199" s="2"/>
      <c r="G199" s="2"/>
      <c r="H199" s="2">
        <v>0</v>
      </c>
      <c r="I199" s="2"/>
      <c r="J199" s="2"/>
      <c r="K199" s="2"/>
      <c r="L199" s="2"/>
      <c r="M199" s="2"/>
      <c r="N199" s="2"/>
      <c r="O199" s="2"/>
      <c r="P199" s="9"/>
      <c r="Q199" s="2">
        <f>SUM(OSRRefD21_23_0x)+IFERROR(SUM(OSRRefE21_23_0x),0)</f>
        <v>0.16</v>
      </c>
    </row>
    <row r="200" spans="1:17" s="34" customFormat="1" hidden="1" outlineLevel="1" x14ac:dyDescent="0.25">
      <c r="A200" s="35"/>
      <c r="B200" s="13" t="str">
        <f>CONCATENATE("          ","6294", " - ","TRAVEL OPERATIONAL")</f>
        <v xml:space="preserve">          6294 - TRAVEL OPERATIONAL</v>
      </c>
      <c r="C200" s="15"/>
      <c r="D200" s="2">
        <v>215.16</v>
      </c>
      <c r="E200" s="2">
        <v>25.76</v>
      </c>
      <c r="F200" s="2"/>
      <c r="G200" s="2">
        <v>80.959999999999994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9"/>
      <c r="Q200" s="2">
        <f>SUM(OSRRefD21_23_1x)+IFERROR(SUM(OSRRefE21_23_1x),0)</f>
        <v>321.88</v>
      </c>
    </row>
    <row r="201" spans="1:17" s="34" customFormat="1" hidden="1" outlineLevel="1" x14ac:dyDescent="0.25">
      <c r="A201" s="35"/>
      <c r="B201" s="13" t="str">
        <f>CONCATENATE("          ","6298", " - ","VEHICLE MILEAGE")</f>
        <v xml:space="preserve">          6298 - VEHICLE MILEAGE</v>
      </c>
      <c r="C201" s="15"/>
      <c r="D201" s="2">
        <v>59.89</v>
      </c>
      <c r="E201" s="2"/>
      <c r="F201" s="2"/>
      <c r="G201" s="2"/>
      <c r="H201" s="2">
        <v>25</v>
      </c>
      <c r="I201" s="2">
        <v>25</v>
      </c>
      <c r="J201" s="2">
        <v>25</v>
      </c>
      <c r="K201" s="2">
        <v>25</v>
      </c>
      <c r="L201" s="2">
        <v>25</v>
      </c>
      <c r="M201" s="2">
        <v>25</v>
      </c>
      <c r="N201" s="2">
        <v>25</v>
      </c>
      <c r="O201" s="2">
        <v>25</v>
      </c>
      <c r="P201" s="9"/>
      <c r="Q201" s="2">
        <f>SUM(OSRRefD21_23_2x)+IFERROR(SUM(OSRRefE21_23_2x),0)</f>
        <v>259.89</v>
      </c>
    </row>
    <row r="202" spans="1:17" s="34" customFormat="1" collapsed="1" x14ac:dyDescent="0.25">
      <c r="A202" s="35"/>
      <c r="B202" s="15" t="str">
        <f>CONCATENATE("     ","Utilities                                         ")</f>
        <v xml:space="preserve">     Utilities                                         </v>
      </c>
      <c r="C202" s="15"/>
      <c r="D202" s="1">
        <f>SUM(OSRRefD21_24x_0)</f>
        <v>6161.46</v>
      </c>
      <c r="E202" s="1">
        <f>SUM(OSRRefD21_24x_1)</f>
        <v>6159.91</v>
      </c>
      <c r="F202" s="1">
        <f>SUM(OSRRefD21_24x_2)</f>
        <v>6161.01</v>
      </c>
      <c r="G202" s="1">
        <f>SUM(OSRRefD21_24x_3)</f>
        <v>5953.05</v>
      </c>
      <c r="H202" s="1">
        <f>SUM(OSRRefE21_24x_0)</f>
        <v>6105</v>
      </c>
      <c r="I202" s="1">
        <f>SUM(OSRRefE21_24x_1)</f>
        <v>6225</v>
      </c>
      <c r="J202" s="1">
        <f>SUM(OSRRefE21_24x_2)</f>
        <v>6225</v>
      </c>
      <c r="K202" s="1">
        <f>SUM(OSRRefE21_24x_3)</f>
        <v>8800</v>
      </c>
      <c r="L202" s="1">
        <f>SUM(OSRRefE21_24x_4)</f>
        <v>6150</v>
      </c>
      <c r="M202" s="1">
        <f>SUM(OSRRefE21_24x_5)</f>
        <v>6105</v>
      </c>
      <c r="N202" s="1">
        <f>SUM(OSRRefE21_24x_6)</f>
        <v>6105</v>
      </c>
      <c r="O202" s="1">
        <f>SUM(OSRRefE21_24x_7)</f>
        <v>6105</v>
      </c>
      <c r="Q202" s="2">
        <f>SUM(OSRRefD20_24x)+IFERROR(SUM(OSRRefE20_24x),0)</f>
        <v>76255.429999999993</v>
      </c>
    </row>
    <row r="203" spans="1:17" s="34" customFormat="1" hidden="1" outlineLevel="1" x14ac:dyDescent="0.25">
      <c r="A203" s="35"/>
      <c r="B203" s="13" t="str">
        <f>CONCATENATE("          ","6274", " - ","UTILITIES")</f>
        <v xml:space="preserve">          6274 - UTILITIES</v>
      </c>
      <c r="C203" s="15"/>
      <c r="D203" s="2">
        <v>6161.46</v>
      </c>
      <c r="E203" s="2">
        <v>6159.91</v>
      </c>
      <c r="F203" s="2">
        <v>6161.01</v>
      </c>
      <c r="G203" s="2">
        <v>5953.05</v>
      </c>
      <c r="H203" s="2">
        <v>6105</v>
      </c>
      <c r="I203" s="2">
        <v>6225</v>
      </c>
      <c r="J203" s="2">
        <v>6225</v>
      </c>
      <c r="K203" s="2">
        <v>8800</v>
      </c>
      <c r="L203" s="2">
        <v>6150</v>
      </c>
      <c r="M203" s="2">
        <v>6105</v>
      </c>
      <c r="N203" s="2">
        <v>6105</v>
      </c>
      <c r="O203" s="2">
        <v>6105</v>
      </c>
      <c r="P203" s="9"/>
      <c r="Q203" s="2">
        <f>SUM(OSRRefD21_24_0x)+IFERROR(SUM(OSRRefE21_24_0x),0)</f>
        <v>76255.429999999993</v>
      </c>
    </row>
    <row r="204" spans="1:17" s="28" customFormat="1" x14ac:dyDescent="0.25">
      <c r="A204" s="20"/>
      <c r="B204" s="20"/>
      <c r="C204" s="20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Q204" s="1"/>
    </row>
    <row r="205" spans="1:17" s="9" customFormat="1" x14ac:dyDescent="0.25">
      <c r="A205" s="22"/>
      <c r="B205" s="16" t="s">
        <v>0</v>
      </c>
      <c r="C205" s="23"/>
      <c r="D205" s="3">
        <f>--197872.55</f>
        <v>197872.55</v>
      </c>
      <c r="E205" s="3">
        <f>--56868.1</f>
        <v>56868.1</v>
      </c>
      <c r="F205" s="3">
        <f>--166664.99</f>
        <v>166664.99</v>
      </c>
      <c r="G205" s="3">
        <f>--30589.78</f>
        <v>30589.78</v>
      </c>
      <c r="H205" s="3">
        <v>32525</v>
      </c>
      <c r="I205" s="3">
        <v>208595</v>
      </c>
      <c r="J205" s="3">
        <v>38725</v>
      </c>
      <c r="K205" s="3">
        <v>124905.99999999999</v>
      </c>
      <c r="L205" s="3">
        <v>207545</v>
      </c>
      <c r="M205" s="3">
        <v>33825</v>
      </c>
      <c r="N205" s="3">
        <v>36525</v>
      </c>
      <c r="O205" s="3">
        <v>250345</v>
      </c>
      <c r="Q205" s="2">
        <f>SUM(OSRRefD23_0x)+IFERROR(SUM(OSRRefE23_0x),0)</f>
        <v>1384986.42</v>
      </c>
    </row>
    <row r="206" spans="1:17" x14ac:dyDescent="0.25">
      <c r="A206" s="5"/>
      <c r="B206" s="8"/>
      <c r="C206" s="8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Q206" s="3"/>
    </row>
    <row r="207" spans="1:17" s="14" customFormat="1" x14ac:dyDescent="0.25">
      <c r="A207" s="8"/>
      <c r="B207" s="17" t="s">
        <v>3</v>
      </c>
      <c r="C207" s="17"/>
      <c r="D207" s="6">
        <f t="shared" ref="D207:O207" si="15">IFERROR(+D106-D109+D205, 0)</f>
        <v>-34456.270000000135</v>
      </c>
      <c r="E207" s="6">
        <f t="shared" si="15"/>
        <v>348646.25000000029</v>
      </c>
      <c r="F207" s="6">
        <f t="shared" si="15"/>
        <v>44869.320000000065</v>
      </c>
      <c r="G207" s="6">
        <f t="shared" si="15"/>
        <v>-216724.67999999996</v>
      </c>
      <c r="H207" s="6">
        <f t="shared" si="15"/>
        <v>-112577.4303788846</v>
      </c>
      <c r="I207" s="6">
        <f t="shared" si="15"/>
        <v>38823.956819146173</v>
      </c>
      <c r="J207" s="6">
        <f t="shared" si="15"/>
        <v>-10568.902175404888</v>
      </c>
      <c r="K207" s="6">
        <f t="shared" si="15"/>
        <v>-39811.468711273817</v>
      </c>
      <c r="L207" s="6">
        <f t="shared" si="15"/>
        <v>48164.042996726173</v>
      </c>
      <c r="M207" s="6">
        <f t="shared" si="15"/>
        <v>-183525.02311640483</v>
      </c>
      <c r="N207" s="6">
        <f t="shared" si="15"/>
        <v>-103719.19005277386</v>
      </c>
      <c r="O207" s="6">
        <f t="shared" si="15"/>
        <v>85290.600688501145</v>
      </c>
      <c r="Q207" s="6">
        <f>IFERROR(+Q106-Q109+Q205, 0)</f>
        <v>-135588.79393037083</v>
      </c>
    </row>
    <row r="208" spans="1:17" s="8" customFormat="1" x14ac:dyDescent="0.25">
      <c r="B208" s="16"/>
      <c r="C208" s="16"/>
      <c r="D208" s="4">
        <f t="shared" ref="D208:O208" si="16">IFERROR(D207/D10, 0)</f>
        <v>-0.15134486844287065</v>
      </c>
      <c r="E208" s="4">
        <f t="shared" si="16"/>
        <v>0.21830106273782068</v>
      </c>
      <c r="F208" s="4">
        <f t="shared" si="16"/>
        <v>0.12154935269722174</v>
      </c>
      <c r="G208" s="4">
        <f t="shared" si="16"/>
        <v>-1.3536068515311093</v>
      </c>
      <c r="H208" s="4">
        <f t="shared" si="16"/>
        <v>-0.37018021584874611</v>
      </c>
      <c r="I208" s="4">
        <f t="shared" si="16"/>
        <v>0.1239530572263339</v>
      </c>
      <c r="J208" s="4">
        <f t="shared" si="16"/>
        <v>-9.2484185271495874E-3</v>
      </c>
      <c r="K208" s="4">
        <f t="shared" si="16"/>
        <v>-0.1008756900868366</v>
      </c>
      <c r="L208" s="4">
        <f t="shared" si="16"/>
        <v>0.17134600626458346</v>
      </c>
      <c r="M208" s="4">
        <f t="shared" si="16"/>
        <v>-0.67994253367027524</v>
      </c>
      <c r="N208" s="4">
        <f t="shared" si="16"/>
        <v>-0.27213184920643474</v>
      </c>
      <c r="O208" s="4">
        <f t="shared" si="16"/>
        <v>0.27876580630374681</v>
      </c>
      <c r="P208" s="18"/>
      <c r="Q208" s="4">
        <f>IFERROR(Q207/Q10, 0)</f>
        <v>-2.3593473696250807E-2</v>
      </c>
    </row>
    <row r="209" spans="1:17" x14ac:dyDescent="0.25">
      <c r="A209" s="5"/>
      <c r="B209" s="8"/>
      <c r="C209" s="5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Q209" s="3"/>
    </row>
    <row r="210" spans="1:17" s="14" customFormat="1" x14ac:dyDescent="0.25">
      <c r="A210" s="25"/>
      <c r="B210" s="8" t="s">
        <v>8</v>
      </c>
      <c r="C210" s="8"/>
      <c r="D210" s="3">
        <v>114653.25</v>
      </c>
      <c r="E210" s="3">
        <v>193432.62</v>
      </c>
      <c r="F210" s="3">
        <v>98345.279999999999</v>
      </c>
      <c r="G210" s="3">
        <v>103498.17</v>
      </c>
      <c r="H210" s="3">
        <v>120765</v>
      </c>
      <c r="I210" s="3">
        <v>123751</v>
      </c>
      <c r="J210" s="3">
        <v>259462</v>
      </c>
      <c r="K210" s="3">
        <v>102657</v>
      </c>
      <c r="L210" s="3">
        <v>108213</v>
      </c>
      <c r="M210" s="3">
        <v>116583</v>
      </c>
      <c r="N210" s="3">
        <v>134693</v>
      </c>
      <c r="O210" s="3">
        <v>-75447</v>
      </c>
      <c r="Q210" s="2">
        <f>SUM(OSRRefD28_0x)+IFERROR(SUM(OSRRefE28_0x),0)</f>
        <v>1400606.32</v>
      </c>
    </row>
    <row r="211" spans="1:17" x14ac:dyDescent="0.25">
      <c r="A211" s="5"/>
      <c r="B211" s="8"/>
      <c r="C211" s="8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Q211" s="3"/>
    </row>
    <row r="212" spans="1:17" s="14" customFormat="1" ht="15.75" thickBot="1" x14ac:dyDescent="0.3">
      <c r="A212" s="8"/>
      <c r="B212" s="17" t="s">
        <v>4</v>
      </c>
      <c r="C212" s="17"/>
      <c r="D212" s="7">
        <f t="shared" ref="D212:O212" si="17">IFERROR(+D207-D210, 0)</f>
        <v>-149109.52000000014</v>
      </c>
      <c r="E212" s="7">
        <f t="shared" si="17"/>
        <v>155213.6300000003</v>
      </c>
      <c r="F212" s="7">
        <f t="shared" si="17"/>
        <v>-53475.959999999934</v>
      </c>
      <c r="G212" s="7">
        <f t="shared" si="17"/>
        <v>-320222.84999999998</v>
      </c>
      <c r="H212" s="7">
        <f t="shared" si="17"/>
        <v>-233342.4303788846</v>
      </c>
      <c r="I212" s="7">
        <f t="shared" si="17"/>
        <v>-84927.043180853827</v>
      </c>
      <c r="J212" s="7">
        <f t="shared" si="17"/>
        <v>-270030.90217540489</v>
      </c>
      <c r="K212" s="7">
        <f t="shared" si="17"/>
        <v>-142468.4687112738</v>
      </c>
      <c r="L212" s="7">
        <f t="shared" si="17"/>
        <v>-60048.957003273827</v>
      </c>
      <c r="M212" s="7">
        <f t="shared" si="17"/>
        <v>-300108.02311640483</v>
      </c>
      <c r="N212" s="7">
        <f t="shared" si="17"/>
        <v>-238412.19005277386</v>
      </c>
      <c r="O212" s="7">
        <f t="shared" si="17"/>
        <v>160737.60068850114</v>
      </c>
      <c r="Q212" s="7">
        <f>IFERROR(+Q207-Q210, 0)</f>
        <v>-1536195.1139303709</v>
      </c>
    </row>
    <row r="213" spans="1:17" ht="15.75" thickTop="1" x14ac:dyDescent="0.25">
      <c r="A213" s="5"/>
      <c r="B213" s="5"/>
      <c r="C213" s="5"/>
      <c r="D213" s="4">
        <f t="shared" ref="D213:O213" si="18">IFERROR(D212/D10, 0)</f>
        <v>-0.6549449690282646</v>
      </c>
      <c r="E213" s="4">
        <f t="shared" si="18"/>
        <v>9.7185328625777348E-2</v>
      </c>
      <c r="F213" s="4">
        <f t="shared" si="18"/>
        <v>-0.14486442680349298</v>
      </c>
      <c r="G213" s="4">
        <f t="shared" si="18"/>
        <v>-2.0000299171133564</v>
      </c>
      <c r="H213" s="4">
        <f t="shared" si="18"/>
        <v>-0.76728302425819095</v>
      </c>
      <c r="I213" s="4">
        <f t="shared" si="18"/>
        <v>-0.27114615577432061</v>
      </c>
      <c r="J213" s="4">
        <f t="shared" si="18"/>
        <v>-0.23629311324250762</v>
      </c>
      <c r="K213" s="4">
        <f t="shared" si="18"/>
        <v>-0.36099158262892417</v>
      </c>
      <c r="L213" s="4">
        <f t="shared" si="18"/>
        <v>-0.21362718581502882</v>
      </c>
      <c r="M213" s="4">
        <f t="shared" si="18"/>
        <v>-1.1118713194936836</v>
      </c>
      <c r="N213" s="4">
        <f t="shared" si="18"/>
        <v>-0.62553082143628036</v>
      </c>
      <c r="O213" s="4">
        <f t="shared" si="18"/>
        <v>0.52535855648277474</v>
      </c>
      <c r="P213" s="18"/>
      <c r="Q213" s="4">
        <f>IFERROR(Q212/Q10, 0)</f>
        <v>-0.26730954647651606</v>
      </c>
    </row>
    <row r="214" spans="1:17" x14ac:dyDescent="0.25">
      <c r="A214" s="5"/>
      <c r="B214" s="5"/>
      <c r="C214" s="5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Q214" s="3"/>
    </row>
    <row r="215" spans="1:17" x14ac:dyDescent="0.25">
      <c r="A215" s="5"/>
      <c r="B215" s="5"/>
      <c r="C215" s="5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Q215" s="3"/>
    </row>
    <row r="216" spans="1:17" s="14" customFormat="1" ht="15.75" thickBot="1" x14ac:dyDescent="0.3">
      <c r="A216" s="8"/>
      <c r="B216" s="17" t="s">
        <v>5</v>
      </c>
      <c r="C216" s="17"/>
      <c r="D216" s="7">
        <f t="shared" ref="D216:O216" si="19">IFERROR(SUM(D212:D215), 0)</f>
        <v>-149110.17494496916</v>
      </c>
      <c r="E216" s="7">
        <f t="shared" si="19"/>
        <v>155213.72718532893</v>
      </c>
      <c r="F216" s="7">
        <f t="shared" si="19"/>
        <v>-53476.104864426736</v>
      </c>
      <c r="G216" s="7">
        <f t="shared" si="19"/>
        <v>-320224.85002991708</v>
      </c>
      <c r="H216" s="7">
        <f t="shared" si="19"/>
        <v>-233343.19766190887</v>
      </c>
      <c r="I216" s="7">
        <f t="shared" si="19"/>
        <v>-84927.314327009604</v>
      </c>
      <c r="J216" s="7">
        <f t="shared" si="19"/>
        <v>-270031.13846851815</v>
      </c>
      <c r="K216" s="7">
        <f t="shared" si="19"/>
        <v>-142468.82970285643</v>
      </c>
      <c r="L216" s="7">
        <f t="shared" si="19"/>
        <v>-60049.170630459645</v>
      </c>
      <c r="M216" s="7">
        <f t="shared" si="19"/>
        <v>-300109.1349877243</v>
      </c>
      <c r="N216" s="7">
        <f t="shared" si="19"/>
        <v>-238412.81558359531</v>
      </c>
      <c r="O216" s="7">
        <f t="shared" si="19"/>
        <v>160738.12604705762</v>
      </c>
      <c r="Q216" s="7">
        <f>IFERROR(SUM(Q212:Q215), 0)</f>
        <v>-1536195.3812399174</v>
      </c>
    </row>
    <row r="217" spans="1:17" ht="15.75" thickTop="1" x14ac:dyDescent="0.25">
      <c r="A217" s="5"/>
      <c r="C217" s="5"/>
      <c r="D217" s="4">
        <f t="shared" ref="D217:O217" si="20">IFERROR(D216/D10, 0)</f>
        <v>-0.65494784579235354</v>
      </c>
      <c r="E217" s="4">
        <f t="shared" si="20"/>
        <v>9.7185389477315323E-2</v>
      </c>
      <c r="F217" s="4">
        <f t="shared" si="20"/>
        <v>-0.14486481923594588</v>
      </c>
      <c r="G217" s="4">
        <f t="shared" si="20"/>
        <v>-2.0000424087880431</v>
      </c>
      <c r="H217" s="4">
        <f t="shared" si="20"/>
        <v>-0.76728554725942288</v>
      </c>
      <c r="I217" s="4">
        <f t="shared" si="20"/>
        <v>-0.27114702146132724</v>
      </c>
      <c r="J217" s="4">
        <f t="shared" si="20"/>
        <v>-0.23629332001304729</v>
      </c>
      <c r="K217" s="4">
        <f t="shared" si="20"/>
        <v>-0.36099249732200611</v>
      </c>
      <c r="L217" s="4">
        <f t="shared" si="20"/>
        <v>-0.21362794580449071</v>
      </c>
      <c r="M217" s="4">
        <f t="shared" si="20"/>
        <v>-1.1118754388698278</v>
      </c>
      <c r="N217" s="4">
        <f t="shared" si="20"/>
        <v>-0.62553246266447637</v>
      </c>
      <c r="O217" s="4">
        <f t="shared" si="20"/>
        <v>0.52536027357704318</v>
      </c>
      <c r="P217" s="18"/>
      <c r="Q217" s="4">
        <f>IFERROR(Q216/Q10, 0)</f>
        <v>-0.26730959299039503</v>
      </c>
    </row>
    <row r="218" spans="1:17" x14ac:dyDescent="0.25">
      <c r="A218" s="5"/>
      <c r="B218" s="26">
        <v>44151.564564085646</v>
      </c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Q218" s="12"/>
    </row>
    <row r="219" spans="1:17" x14ac:dyDescent="0.25">
      <c r="A219" s="5"/>
      <c r="B219" s="30" t="s">
        <v>311</v>
      </c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Q219" s="12"/>
    </row>
    <row r="220" spans="1:17" x14ac:dyDescent="0.25">
      <c r="A220" s="5"/>
      <c r="B220" s="31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Q220" s="12"/>
    </row>
    <row r="221" spans="1:17" x14ac:dyDescent="0.25"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Q22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287</v>
      </c>
    </row>
    <row r="4" spans="1:8" x14ac:dyDescent="0.25">
      <c r="B4" s="29" t="s">
        <v>309</v>
      </c>
    </row>
    <row r="5" spans="1:8" ht="15" customHeight="1" x14ac:dyDescent="0.25">
      <c r="A5" s="14"/>
      <c r="B5" s="14" t="s">
        <v>292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F12" s="24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1" t="e">
        <f ca="1">_xll.OneStop.ReportPlayer.OSRFunctions.OSRGet("GL_F_Trans","Value1")</f>
        <v>#NAME?</v>
      </c>
      <c r="E21" s="21" t="e">
        <f ca="1">_xll.OneStop.ReportPlayer.OSRFunctions.OSRGet("GL_F_Trans","Value1")</f>
        <v>#NAME?</v>
      </c>
      <c r="F21" s="36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F23" s="24"/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F28" s="24"/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s="8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F33" s="24"/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F34" s="24"/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R243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">
        <v>296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435634.32000000007</v>
      </c>
      <c r="E10" s="3">
        <f>SUM(OSRRefD11x_1)</f>
        <v>2088760.2300000009</v>
      </c>
      <c r="F10" s="3">
        <f>SUM(OSRRefD11x_2)</f>
        <v>632791.41000000027</v>
      </c>
      <c r="G10" s="3">
        <f>SUM(OSRRefD11x_3)</f>
        <v>332945.8299999999</v>
      </c>
      <c r="H10" s="3">
        <f>SUM(OSRRefE11x_0)</f>
        <v>434104.2</v>
      </c>
      <c r="I10" s="3">
        <f>SUM(OSRRefE11x_1)</f>
        <v>381658</v>
      </c>
      <c r="J10" s="3">
        <f>SUM(OSRRefE11x_2)</f>
        <v>1317031.4000000001</v>
      </c>
      <c r="K10" s="3">
        <f>SUM(OSRRefE11x_3)</f>
        <v>496334.69999999995</v>
      </c>
      <c r="L10" s="3">
        <f>SUM(OSRRefE11x_4)</f>
        <v>373676.3</v>
      </c>
      <c r="M10" s="3">
        <f>SUM(OSRRefE11x_5)</f>
        <v>514029.55</v>
      </c>
      <c r="N10" s="3">
        <f>SUM(OSRRefE11x_6)</f>
        <v>475041.8</v>
      </c>
      <c r="O10" s="3">
        <f>SUM(OSRRefE11x_7)</f>
        <v>580356.9</v>
      </c>
      <c r="P10" s="24"/>
      <c r="Q10" s="3">
        <f>SUM(OSRRefG11x)</f>
        <v>8062364.6399999959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-11094.37</f>
        <v>-11094.37</v>
      </c>
      <c r="E11" s="2">
        <f>-18033.67</f>
        <v>-18033.669999999998</v>
      </c>
      <c r="F11" s="2">
        <f>-8672.74</f>
        <v>-8672.74</v>
      </c>
      <c r="G11" s="2">
        <f>-11561.63</f>
        <v>-11561.63</v>
      </c>
      <c r="H11" s="2">
        <v>419605.2</v>
      </c>
      <c r="I11" s="2">
        <v>373929</v>
      </c>
      <c r="J11" s="2">
        <v>1297663.4000000001</v>
      </c>
      <c r="K11" s="2">
        <v>484950.69999999995</v>
      </c>
      <c r="L11" s="2">
        <v>363292.3</v>
      </c>
      <c r="M11" s="2">
        <v>486976.55</v>
      </c>
      <c r="N11" s="2">
        <v>464511.8</v>
      </c>
      <c r="O11" s="2">
        <v>549972.9</v>
      </c>
      <c r="Q11" s="2">
        <f>SUM(OSRRefD11_0x)+IFERROR(SUM(OSRRefE11_0x),0)</f>
        <v>4391539.4399999995</v>
      </c>
    </row>
    <row r="12" spans="1:18" s="9" customFormat="1" hidden="1" outlineLevel="1" x14ac:dyDescent="0.2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712327.57</v>
      </c>
    </row>
    <row r="13" spans="1:18" s="9" customFormat="1" hidden="1" outlineLevel="1" x14ac:dyDescent="0.2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319139.52</v>
      </c>
    </row>
    <row r="14" spans="1:18" s="9" customFormat="1" hidden="1" outlineLevel="1" x14ac:dyDescent="0.2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10665.630000000001</v>
      </c>
    </row>
    <row r="15" spans="1:18" s="9" customFormat="1" hidden="1" outlineLevel="1" x14ac:dyDescent="0.2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2459.56</v>
      </c>
    </row>
    <row r="16" spans="1:18" s="9" customFormat="1" hidden="1" outlineLevel="1" x14ac:dyDescent="0.2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197.37</v>
      </c>
    </row>
    <row r="17" spans="1:17" s="9" customFormat="1" hidden="1" outlineLevel="1" x14ac:dyDescent="0.2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/>
      <c r="I17" s="2"/>
      <c r="J17" s="2"/>
      <c r="K17" s="2"/>
      <c r="L17" s="2"/>
      <c r="M17" s="2"/>
      <c r="N17" s="2"/>
      <c r="O17" s="2"/>
      <c r="Q17" s="2">
        <f>SUM(OSRRefD11_6x)+IFERROR(SUM(OSRRefE11_6x),0)</f>
        <v>340.24</v>
      </c>
    </row>
    <row r="18" spans="1:17" s="9" customFormat="1" hidden="1" outlineLevel="1" x14ac:dyDescent="0.2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/>
      <c r="I18" s="2"/>
      <c r="J18" s="2"/>
      <c r="K18" s="2"/>
      <c r="L18" s="2"/>
      <c r="M18" s="2"/>
      <c r="N18" s="2"/>
      <c r="O18" s="2"/>
      <c r="Q18" s="2">
        <f>SUM(OSRRefD11_7x)+IFERROR(SUM(OSRRefE11_7x),0)</f>
        <v>183.89000000000001</v>
      </c>
    </row>
    <row r="19" spans="1:17" s="9" customFormat="1" hidden="1" outlineLevel="1" x14ac:dyDescent="0.25">
      <c r="A19" s="22"/>
      <c r="B19" s="13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/>
      <c r="I19" s="2"/>
      <c r="J19" s="2"/>
      <c r="K19" s="2"/>
      <c r="L19" s="2"/>
      <c r="M19" s="2"/>
      <c r="N19" s="2"/>
      <c r="O19" s="2"/>
      <c r="Q19" s="2">
        <f>SUM(OSRRefD11_8x)+IFERROR(SUM(OSRRefE11_8x),0)</f>
        <v>278.83</v>
      </c>
    </row>
    <row r="20" spans="1:17" s="9" customFormat="1" hidden="1" outlineLevel="1" x14ac:dyDescent="0.25">
      <c r="A20" s="22"/>
      <c r="B20" s="13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/>
      <c r="I20" s="2"/>
      <c r="J20" s="2"/>
      <c r="K20" s="2"/>
      <c r="L20" s="2"/>
      <c r="M20" s="2"/>
      <c r="N20" s="2"/>
      <c r="O20" s="2"/>
      <c r="Q20" s="2">
        <f>SUM(OSRRefD11_9x)+IFERROR(SUM(OSRRefE11_9x),0)</f>
        <v>35003.5</v>
      </c>
    </row>
    <row r="21" spans="1:17" s="9" customFormat="1" hidden="1" outlineLevel="1" x14ac:dyDescent="0.25">
      <c r="A21" s="22"/>
      <c r="B21" s="13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/>
      <c r="I21" s="2"/>
      <c r="J21" s="2"/>
      <c r="K21" s="2"/>
      <c r="L21" s="2"/>
      <c r="M21" s="2"/>
      <c r="N21" s="2"/>
      <c r="O21" s="2"/>
      <c r="Q21" s="2">
        <f>SUM(OSRRefD11_10x)+IFERROR(SUM(OSRRefE11_10x),0)</f>
        <v>14268.850000000002</v>
      </c>
    </row>
    <row r="22" spans="1:17" s="9" customFormat="1" hidden="1" outlineLevel="1" x14ac:dyDescent="0.25">
      <c r="A22" s="22"/>
      <c r="B22" s="13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/>
      <c r="I22" s="2"/>
      <c r="J22" s="2"/>
      <c r="K22" s="2"/>
      <c r="L22" s="2"/>
      <c r="M22" s="2"/>
      <c r="N22" s="2"/>
      <c r="O22" s="2"/>
      <c r="Q22" s="2">
        <f>SUM(OSRRefD11_11x)+IFERROR(SUM(OSRRefE11_11x),0)</f>
        <v>1667.9599999999998</v>
      </c>
    </row>
    <row r="23" spans="1:17" s="9" customFormat="1" hidden="1" outlineLevel="1" x14ac:dyDescent="0.25">
      <c r="A23" s="22"/>
      <c r="B23" s="13" t="str">
        <f>CONCATENATE("          ","4034", " - ","TAXABLE SALES-SODA")</f>
        <v xml:space="preserve">          4034 - TAXABLE SALES-SODA</v>
      </c>
      <c r="C23" s="23"/>
      <c r="D23" s="2">
        <f>--6.78</f>
        <v>6.78</v>
      </c>
      <c r="E23" s="2">
        <f t="shared" ref="E23:G23" si="1">0</f>
        <v>0</v>
      </c>
      <c r="F23" s="2">
        <f t="shared" si="1"/>
        <v>0</v>
      </c>
      <c r="G23" s="2">
        <f t="shared" si="1"/>
        <v>0</v>
      </c>
      <c r="H23" s="2"/>
      <c r="I23" s="2"/>
      <c r="J23" s="2"/>
      <c r="K23" s="2"/>
      <c r="L23" s="2"/>
      <c r="M23" s="2"/>
      <c r="N23" s="2"/>
      <c r="O23" s="2"/>
      <c r="Q23" s="2">
        <f>SUM(OSRRefD11_12x)+IFERROR(SUM(OSRRefE11_12x),0)</f>
        <v>6.78</v>
      </c>
    </row>
    <row r="24" spans="1:17" s="9" customFormat="1" hidden="1" outlineLevel="1" x14ac:dyDescent="0.25">
      <c r="A24" s="22"/>
      <c r="B24" s="13" t="str">
        <f>CONCATENATE("          ","4040", " - ","TAXABLE SALES-LOGO CLOTHING")</f>
        <v xml:space="preserve">          4040 - TAXABLE SALES-LOGO CLOTHING</v>
      </c>
      <c r="C24" s="23"/>
      <c r="D24" s="2">
        <f>--72292.26</f>
        <v>72292.259999999995</v>
      </c>
      <c r="E24" s="2">
        <f>--177286.09</f>
        <v>177286.09</v>
      </c>
      <c r="F24" s="2">
        <f>--78841.84</f>
        <v>78841.84</v>
      </c>
      <c r="G24" s="2">
        <f>--54384.72</f>
        <v>54384.72</v>
      </c>
      <c r="H24" s="2"/>
      <c r="I24" s="2"/>
      <c r="J24" s="2"/>
      <c r="K24" s="2"/>
      <c r="L24" s="2"/>
      <c r="M24" s="2"/>
      <c r="N24" s="2"/>
      <c r="O24" s="2"/>
      <c r="Q24" s="2">
        <f>SUM(OSRRefD11_13x)+IFERROR(SUM(OSRRefE11_13x),0)</f>
        <v>382804.90999999992</v>
      </c>
    </row>
    <row r="25" spans="1:17" s="9" customFormat="1" hidden="1" outlineLevel="1" x14ac:dyDescent="0.25">
      <c r="A25" s="22"/>
      <c r="B25" s="13" t="str">
        <f>CONCATENATE("          ","4041", " - ","TAXABLE SALES-LOGO GIFTS")</f>
        <v xml:space="preserve">          4041 - TAXABLE SALES-LOGO GIFTS</v>
      </c>
      <c r="C25" s="23"/>
      <c r="D25" s="2">
        <f>--21188.91</f>
        <v>21188.91</v>
      </c>
      <c r="E25" s="2">
        <f>--82120.65</f>
        <v>82120.649999999994</v>
      </c>
      <c r="F25" s="2">
        <f>--27724.06</f>
        <v>27724.06</v>
      </c>
      <c r="G25" s="2">
        <f>--22053.6</f>
        <v>22053.599999999999</v>
      </c>
      <c r="H25" s="2"/>
      <c r="I25" s="2"/>
      <c r="J25" s="2"/>
      <c r="K25" s="2"/>
      <c r="L25" s="2"/>
      <c r="M25" s="2"/>
      <c r="N25" s="2"/>
      <c r="O25" s="2"/>
      <c r="Q25" s="2">
        <f>SUM(OSRRefD11_14x)+IFERROR(SUM(OSRRefE11_14x),0)</f>
        <v>153087.22</v>
      </c>
    </row>
    <row r="26" spans="1:17" s="9" customFormat="1" hidden="1" outlineLevel="1" x14ac:dyDescent="0.25">
      <c r="A26" s="22"/>
      <c r="B26" s="13" t="str">
        <f>CONCATENATE("          ","4042", " - ","TAXABLE SALES-EVERYDAY GIFTS")</f>
        <v xml:space="preserve">          4042 - TAXABLE SALES-EVERYDAY GIFTS</v>
      </c>
      <c r="C26" s="23"/>
      <c r="D26" s="2">
        <f>--9503.9</f>
        <v>9503.9</v>
      </c>
      <c r="E26" s="2">
        <f>--30421.14</f>
        <v>30421.14</v>
      </c>
      <c r="F26" s="2">
        <f>--8004.46</f>
        <v>8004.46</v>
      </c>
      <c r="G26" s="2">
        <f>--6854.18</f>
        <v>6854.18</v>
      </c>
      <c r="H26" s="2"/>
      <c r="I26" s="2"/>
      <c r="J26" s="2"/>
      <c r="K26" s="2"/>
      <c r="L26" s="2"/>
      <c r="M26" s="2"/>
      <c r="N26" s="2"/>
      <c r="O26" s="2"/>
      <c r="Q26" s="2">
        <f>SUM(OSRRefD11_15x)+IFERROR(SUM(OSRRefE11_15x),0)</f>
        <v>54783.68</v>
      </c>
    </row>
    <row r="27" spans="1:17" s="9" customFormat="1" hidden="1" outlineLevel="1" x14ac:dyDescent="0.25">
      <c r="A27" s="22"/>
      <c r="B27" s="13" t="str">
        <f>CONCATENATE("          ","4043", " - ","TAXABLE SALES-CARDS")</f>
        <v xml:space="preserve">          4043 - TAXABLE SALES-CARDS</v>
      </c>
      <c r="C27" s="23"/>
      <c r="D27" s="2">
        <f>--217.36</f>
        <v>217.36</v>
      </c>
      <c r="E27" s="2">
        <f>--6768.27</f>
        <v>6768.27</v>
      </c>
      <c r="F27" s="2">
        <f>--2805.53</f>
        <v>2805.53</v>
      </c>
      <c r="G27" s="2">
        <f>--30454.88</f>
        <v>30454.880000000001</v>
      </c>
      <c r="H27" s="2"/>
      <c r="I27" s="2"/>
      <c r="J27" s="2"/>
      <c r="K27" s="2"/>
      <c r="L27" s="2"/>
      <c r="M27" s="2"/>
      <c r="N27" s="2"/>
      <c r="O27" s="2"/>
      <c r="Q27" s="2">
        <f>SUM(OSRRefD11_16x)+IFERROR(SUM(OSRRefE11_16x),0)</f>
        <v>40246.04</v>
      </c>
    </row>
    <row r="28" spans="1:17" s="9" customFormat="1" hidden="1" outlineLevel="1" x14ac:dyDescent="0.25">
      <c r="A28" s="22"/>
      <c r="B28" s="13" t="str">
        <f>CONCATENATE("          ","4044", " - ","TAXABLE SALES-ACCESSORIES")</f>
        <v xml:space="preserve">          4044 - TAXABLE SALES-ACCESSORIES</v>
      </c>
      <c r="C28" s="23"/>
      <c r="D28" s="2">
        <f>--1800.68</f>
        <v>1800.68</v>
      </c>
      <c r="E28" s="2">
        <f>--6568.52</f>
        <v>6568.52</v>
      </c>
      <c r="F28" s="2">
        <f>--2962.32</f>
        <v>2962.32</v>
      </c>
      <c r="G28" s="2">
        <f>--1157.64</f>
        <v>1157.6400000000001</v>
      </c>
      <c r="H28" s="2"/>
      <c r="I28" s="2"/>
      <c r="J28" s="2"/>
      <c r="K28" s="2"/>
      <c r="L28" s="2"/>
      <c r="M28" s="2"/>
      <c r="N28" s="2"/>
      <c r="O28" s="2"/>
      <c r="Q28" s="2">
        <f>SUM(OSRRefD11_17x)+IFERROR(SUM(OSRRefE11_17x),0)</f>
        <v>12489.16</v>
      </c>
    </row>
    <row r="29" spans="1:17" s="9" customFormat="1" hidden="1" outlineLevel="1" x14ac:dyDescent="0.25">
      <c r="A29" s="22"/>
      <c r="B29" s="13" t="str">
        <f>CONCATENATE("          ","4045", " - ","TAXABLE SALES-SPECIAL ORDERS")</f>
        <v xml:space="preserve">          4045 - TAXABLE SALES-SPECIAL ORDERS</v>
      </c>
      <c r="C29" s="23"/>
      <c r="D29" s="2">
        <f>--43426.73</f>
        <v>43426.73</v>
      </c>
      <c r="E29" s="2">
        <f>--46004.35</f>
        <v>46004.35</v>
      </c>
      <c r="F29" s="2">
        <f>--2575.36</f>
        <v>2575.36</v>
      </c>
      <c r="G29" s="2">
        <f>--4950.17</f>
        <v>4950.17</v>
      </c>
      <c r="H29" s="2"/>
      <c r="I29" s="2"/>
      <c r="J29" s="2"/>
      <c r="K29" s="2"/>
      <c r="L29" s="2"/>
      <c r="M29" s="2"/>
      <c r="N29" s="2"/>
      <c r="O29" s="2"/>
      <c r="Q29" s="2">
        <f>SUM(OSRRefD11_18x)+IFERROR(SUM(OSRRefE11_18x),0)</f>
        <v>96956.61</v>
      </c>
    </row>
    <row r="30" spans="1:17" s="9" customFormat="1" hidden="1" outlineLevel="1" x14ac:dyDescent="0.25">
      <c r="A30" s="22"/>
      <c r="B30" s="13" t="str">
        <f>CONCATENATE("          ","4081", " - ","TAXABLE SALES-ELECTRONICS")</f>
        <v xml:space="preserve">          4081 - TAXABLE SALES-ELECTRONICS</v>
      </c>
      <c r="C30" s="23"/>
      <c r="D30" s="2">
        <f>--21557.16</f>
        <v>21557.16</v>
      </c>
      <c r="E30" s="2">
        <f>--16305.86</f>
        <v>16305.86</v>
      </c>
      <c r="F30" s="2">
        <f>--12239.6</f>
        <v>12239.6</v>
      </c>
      <c r="G30" s="2">
        <f>--5014.67</f>
        <v>5014.67</v>
      </c>
      <c r="H30" s="2"/>
      <c r="I30" s="2"/>
      <c r="J30" s="2"/>
      <c r="K30" s="2"/>
      <c r="L30" s="2"/>
      <c r="M30" s="2"/>
      <c r="N30" s="2"/>
      <c r="O30" s="2"/>
      <c r="Q30" s="2">
        <f>SUM(OSRRefD11_19x)+IFERROR(SUM(OSRRefE11_19x),0)</f>
        <v>55117.29</v>
      </c>
    </row>
    <row r="31" spans="1:17" s="9" customFormat="1" hidden="1" outlineLevel="1" x14ac:dyDescent="0.25">
      <c r="A31" s="22"/>
      <c r="B31" s="13" t="str">
        <f>CONCATENATE("          ","4082", " - ","TAXABLE SALES-COMPUTER HARDWAR")</f>
        <v xml:space="preserve">          4082 - TAXABLE SALES-COMPUTER HARDWAR</v>
      </c>
      <c r="C31" s="23"/>
      <c r="D31" s="2">
        <f>--137228.87</f>
        <v>137228.87</v>
      </c>
      <c r="E31" s="2">
        <f>--403983.14</f>
        <v>403983.14</v>
      </c>
      <c r="F31" s="2">
        <f>--198101.2</f>
        <v>198101.2</v>
      </c>
      <c r="G31" s="2">
        <f>--152786.78</f>
        <v>152786.78</v>
      </c>
      <c r="H31" s="2"/>
      <c r="I31" s="2"/>
      <c r="J31" s="2"/>
      <c r="K31" s="2"/>
      <c r="L31" s="2"/>
      <c r="M31" s="2"/>
      <c r="N31" s="2"/>
      <c r="O31" s="2"/>
      <c r="Q31" s="2">
        <f>SUM(OSRRefD11_20x)+IFERROR(SUM(OSRRefE11_20x),0)</f>
        <v>892099.99</v>
      </c>
    </row>
    <row r="32" spans="1:17" s="9" customFormat="1" hidden="1" outlineLevel="1" x14ac:dyDescent="0.25">
      <c r="A32" s="22"/>
      <c r="B32" s="13" t="str">
        <f>CONCATENATE("          ","4083", " - ","TAXABLE SALES-COMPUTER EQUIPME")</f>
        <v xml:space="preserve">          4083 - TAXABLE SALES-COMPUTER EQUIPME</v>
      </c>
      <c r="C32" s="23"/>
      <c r="D32" s="2">
        <f>--6790.15</f>
        <v>6790.15</v>
      </c>
      <c r="E32" s="2">
        <f>--42925.21</f>
        <v>42925.21</v>
      </c>
      <c r="F32" s="2">
        <f>--18947.33</f>
        <v>18947.330000000002</v>
      </c>
      <c r="G32" s="2">
        <f>--3392.4</f>
        <v>3392.4</v>
      </c>
      <c r="H32" s="2"/>
      <c r="I32" s="2"/>
      <c r="J32" s="2"/>
      <c r="K32" s="2"/>
      <c r="L32" s="2"/>
      <c r="M32" s="2"/>
      <c r="N32" s="2"/>
      <c r="O32" s="2"/>
      <c r="Q32" s="2">
        <f>SUM(OSRRefD11_21x)+IFERROR(SUM(OSRRefE11_21x),0)</f>
        <v>72055.09</v>
      </c>
    </row>
    <row r="33" spans="1:17" s="9" customFormat="1" hidden="1" outlineLevel="1" x14ac:dyDescent="0.25">
      <c r="A33" s="22"/>
      <c r="B33" s="13" t="str">
        <f>CONCATENATE("          ","4085", " - ","TAXABLE SALES-SOFTWARE")</f>
        <v xml:space="preserve">          4085 - TAXABLE SALES-SOFTWARE</v>
      </c>
      <c r="C33" s="23"/>
      <c r="D33" s="2">
        <f>0</f>
        <v>0</v>
      </c>
      <c r="E33" s="2">
        <f>--129</f>
        <v>129</v>
      </c>
      <c r="F33" s="2">
        <f>--852.96</f>
        <v>852.96</v>
      </c>
      <c r="G33" s="2">
        <f>--139</f>
        <v>139</v>
      </c>
      <c r="H33" s="2"/>
      <c r="I33" s="2"/>
      <c r="J33" s="2"/>
      <c r="K33" s="2"/>
      <c r="L33" s="2"/>
      <c r="M33" s="2"/>
      <c r="N33" s="2"/>
      <c r="O33" s="2"/>
      <c r="Q33" s="2">
        <f>SUM(OSRRefD11_22x)+IFERROR(SUM(OSRRefE11_22x),0)</f>
        <v>1120.96</v>
      </c>
    </row>
    <row r="34" spans="1:17" s="9" customFormat="1" hidden="1" outlineLevel="1" x14ac:dyDescent="0.25">
      <c r="A34" s="22"/>
      <c r="B34" s="13" t="str">
        <f>CONCATENATE("          ","4086", " - ","TAXABLE SALES-COMPUTER SUPPLIE")</f>
        <v xml:space="preserve">          4086 - TAXABLE SALES-COMPUTER SUPPLIE</v>
      </c>
      <c r="C34" s="23"/>
      <c r="D34" s="2">
        <f>--25959.21</f>
        <v>25959.21</v>
      </c>
      <c r="E34" s="2">
        <f>--1308.27</f>
        <v>1308.27</v>
      </c>
      <c r="F34" s="2">
        <f>--713.93</f>
        <v>713.93</v>
      </c>
      <c r="G34" s="2">
        <f>--1385.25</f>
        <v>1385.25</v>
      </c>
      <c r="H34" s="2"/>
      <c r="I34" s="2"/>
      <c r="J34" s="2"/>
      <c r="K34" s="2"/>
      <c r="L34" s="2"/>
      <c r="M34" s="2"/>
      <c r="N34" s="2"/>
      <c r="O34" s="2"/>
      <c r="Q34" s="2">
        <f>SUM(OSRRefD11_23x)+IFERROR(SUM(OSRRefE11_23x),0)</f>
        <v>29366.66</v>
      </c>
    </row>
    <row r="35" spans="1:17" s="9" customFormat="1" hidden="1" outlineLevel="1" x14ac:dyDescent="0.25">
      <c r="A35" s="22"/>
      <c r="B35" s="13" t="str">
        <f>CONCATENATE("          ","4100", " - ","NON-TAXABLE SALES")</f>
        <v xml:space="preserve">          4100 - NON-TAXABLE SALES</v>
      </c>
      <c r="C35" s="23"/>
      <c r="D35" s="2">
        <f>--3038.3</f>
        <v>3038.3</v>
      </c>
      <c r="E35" s="2">
        <f>--150360.03</f>
        <v>150360.03</v>
      </c>
      <c r="F35" s="2">
        <f>--10945.69</f>
        <v>10945.69</v>
      </c>
      <c r="G35" s="2">
        <f>--135.79</f>
        <v>135.79</v>
      </c>
      <c r="H35" s="2">
        <v>14499</v>
      </c>
      <c r="I35" s="2">
        <v>7729</v>
      </c>
      <c r="J35" s="2">
        <v>19368</v>
      </c>
      <c r="K35" s="2">
        <v>11384</v>
      </c>
      <c r="L35" s="2">
        <v>10384</v>
      </c>
      <c r="M35" s="2">
        <v>27053</v>
      </c>
      <c r="N35" s="2">
        <v>10530</v>
      </c>
      <c r="O35" s="2">
        <v>30384</v>
      </c>
      <c r="Q35" s="2">
        <f>SUM(OSRRefD11_24x)+IFERROR(SUM(OSRRefE11_24x),0)</f>
        <v>295810.81</v>
      </c>
    </row>
    <row r="36" spans="1:17" s="9" customFormat="1" hidden="1" outlineLevel="1" x14ac:dyDescent="0.25">
      <c r="A36" s="22"/>
      <c r="B36" s="13" t="str">
        <f>CONCATENATE("          ","4101", " - ","NON-TAXABLE SALES-NEW TEXT")</f>
        <v xml:space="preserve">          4101 - NON-TAXABLE SALES-NEW TEXT</v>
      </c>
      <c r="C36" s="23"/>
      <c r="D36" s="2">
        <f>--10341.86</f>
        <v>10341.86</v>
      </c>
      <c r="E36" s="2">
        <f>--41238.82</f>
        <v>41238.82</v>
      </c>
      <c r="F36" s="2">
        <f>--18824.16</f>
        <v>18824.16</v>
      </c>
      <c r="G36" s="2">
        <f>--7260.05</f>
        <v>7260.05</v>
      </c>
      <c r="H36" s="2"/>
      <c r="I36" s="2"/>
      <c r="J36" s="2"/>
      <c r="K36" s="2"/>
      <c r="L36" s="2"/>
      <c r="M36" s="2"/>
      <c r="N36" s="2"/>
      <c r="O36" s="2"/>
      <c r="Q36" s="2">
        <f>SUM(OSRRefD11_25x)+IFERROR(SUM(OSRRefE11_25x),0)</f>
        <v>77664.89</v>
      </c>
    </row>
    <row r="37" spans="1:17" s="9" customFormat="1" hidden="1" outlineLevel="1" x14ac:dyDescent="0.25">
      <c r="A37" s="22"/>
      <c r="B37" s="13" t="str">
        <f>CONCATENATE("          ","4102", " - ","NON-TAXABLE SALES-USED TEXT")</f>
        <v xml:space="preserve">          4102 - NON-TAXABLE SALES-USED TEXT</v>
      </c>
      <c r="C37" s="23"/>
      <c r="D37" s="2">
        <f>--4190.44</f>
        <v>4190.4399999999996</v>
      </c>
      <c r="E37" s="2">
        <f>--17373.3</f>
        <v>17373.3</v>
      </c>
      <c r="F37" s="2">
        <f>--8807.08</f>
        <v>8807.08</v>
      </c>
      <c r="G37" s="2">
        <f>--2341.65</f>
        <v>2341.65</v>
      </c>
      <c r="H37" s="2"/>
      <c r="I37" s="2"/>
      <c r="J37" s="2"/>
      <c r="K37" s="2"/>
      <c r="L37" s="2"/>
      <c r="M37" s="2"/>
      <c r="N37" s="2"/>
      <c r="O37" s="2"/>
      <c r="Q37" s="2">
        <f>SUM(OSRRefD11_26x)+IFERROR(SUM(OSRRefE11_26x),0)</f>
        <v>32712.47</v>
      </c>
    </row>
    <row r="38" spans="1:17" s="9" customFormat="1" hidden="1" outlineLevel="1" x14ac:dyDescent="0.25">
      <c r="A38" s="22"/>
      <c r="B38" s="13" t="str">
        <f>CONCATENATE("          ","4103", " - ","NON-TAXABLE SALES-RENTAL TEXT")</f>
        <v xml:space="preserve">          4103 - NON-TAXABLE SALES-RENTAL TEXT</v>
      </c>
      <c r="C38" s="23"/>
      <c r="D38" s="2">
        <f t="shared" ref="D38:E38" si="2">0</f>
        <v>0</v>
      </c>
      <c r="E38" s="2">
        <f t="shared" si="2"/>
        <v>0</v>
      </c>
      <c r="F38" s="2">
        <f>--284.97</f>
        <v>284.97000000000003</v>
      </c>
      <c r="G38" s="2">
        <f>0</f>
        <v>0</v>
      </c>
      <c r="H38" s="2"/>
      <c r="I38" s="2"/>
      <c r="J38" s="2"/>
      <c r="K38" s="2"/>
      <c r="L38" s="2"/>
      <c r="M38" s="2"/>
      <c r="N38" s="2"/>
      <c r="O38" s="2"/>
      <c r="Q38" s="2">
        <f>SUM(OSRRefD11_27x)+IFERROR(SUM(OSRRefE11_27x),0)</f>
        <v>284.97000000000003</v>
      </c>
    </row>
    <row r="39" spans="1:17" s="9" customFormat="1" hidden="1" outlineLevel="1" x14ac:dyDescent="0.25">
      <c r="A39" s="22"/>
      <c r="B39" s="13" t="str">
        <f>CONCATENATE("          ","4104", " - ","NON-TAXABLE SALES-DIGITAL TEXT")</f>
        <v xml:space="preserve">          4104 - NON-TAXABLE SALES-DIGITAL TEXT</v>
      </c>
      <c r="C39" s="23"/>
      <c r="D39" s="2">
        <f>--7485.52</f>
        <v>7485.52</v>
      </c>
      <c r="E39" s="2">
        <f>--205404.66</f>
        <v>205404.66</v>
      </c>
      <c r="F39" s="2">
        <f>--73817.67</f>
        <v>73817.67</v>
      </c>
      <c r="G39" s="2">
        <f>--6767.67</f>
        <v>6767.67</v>
      </c>
      <c r="H39" s="2"/>
      <c r="I39" s="2"/>
      <c r="J39" s="2"/>
      <c r="K39" s="2"/>
      <c r="L39" s="2"/>
      <c r="M39" s="2"/>
      <c r="N39" s="2"/>
      <c r="O39" s="2"/>
      <c r="Q39" s="2">
        <f>SUM(OSRRefD11_28x)+IFERROR(SUM(OSRRefE11_28x),0)</f>
        <v>293475.51999999996</v>
      </c>
    </row>
    <row r="40" spans="1:17" s="9" customFormat="1" hidden="1" outlineLevel="1" x14ac:dyDescent="0.25">
      <c r="A40" s="22"/>
      <c r="B40" s="13" t="str">
        <f>CONCATENATE("          ","4113", " - ","NON-TAXABLE SALES-TRADE BOOKS")</f>
        <v xml:space="preserve">          4113 - NON-TAXABLE SALES-TRADE BOOKS</v>
      </c>
      <c r="C40" s="23"/>
      <c r="D40" s="2">
        <f t="shared" ref="D40:F40" si="3">0</f>
        <v>0</v>
      </c>
      <c r="E40" s="2">
        <f t="shared" si="3"/>
        <v>0</v>
      </c>
      <c r="F40" s="2">
        <f t="shared" si="3"/>
        <v>0</v>
      </c>
      <c r="G40" s="2">
        <f>--1655.95</f>
        <v>1655.95</v>
      </c>
      <c r="H40" s="2"/>
      <c r="I40" s="2"/>
      <c r="J40" s="2"/>
      <c r="K40" s="2"/>
      <c r="L40" s="2"/>
      <c r="M40" s="2"/>
      <c r="N40" s="2"/>
      <c r="O40" s="2"/>
      <c r="Q40" s="2">
        <f>SUM(OSRRefD11_29x)+IFERROR(SUM(OSRRefE11_29x),0)</f>
        <v>1655.95</v>
      </c>
    </row>
    <row r="41" spans="1:17" s="9" customFormat="1" hidden="1" outlineLevel="1" x14ac:dyDescent="0.25">
      <c r="A41" s="22"/>
      <c r="B41" s="13" t="str">
        <f>CONCATENATE("          ","4118", " - ","NON-TAXABLE SALES-STUDY GUIDES")</f>
        <v xml:space="preserve">          4118 - NON-TAXABLE SALES-STUDY GUIDES</v>
      </c>
      <c r="C41" s="23"/>
      <c r="D41" s="2">
        <f>--53.96</f>
        <v>53.96</v>
      </c>
      <c r="E41" s="2">
        <f>--47.87</f>
        <v>47.87</v>
      </c>
      <c r="F41" s="2">
        <f>--6.5</f>
        <v>6.5</v>
      </c>
      <c r="G41" s="2">
        <f>--97.3</f>
        <v>97.3</v>
      </c>
      <c r="H41" s="2"/>
      <c r="I41" s="2"/>
      <c r="J41" s="2"/>
      <c r="K41" s="2"/>
      <c r="L41" s="2"/>
      <c r="M41" s="2"/>
      <c r="N41" s="2"/>
      <c r="O41" s="2"/>
      <c r="Q41" s="2">
        <f>SUM(OSRRefD11_30x)+IFERROR(SUM(OSRRefE11_30x),0)</f>
        <v>205.63</v>
      </c>
    </row>
    <row r="42" spans="1:17" s="9" customFormat="1" hidden="1" outlineLevel="1" x14ac:dyDescent="0.25">
      <c r="A42" s="22"/>
      <c r="B42" s="13" t="str">
        <f>CONCATENATE("          ","4126", " - ","NON-TAXABLE SALES-WRITING INST")</f>
        <v xml:space="preserve">          4126 - NON-TAXABLE SALES-WRITING INST</v>
      </c>
      <c r="C42" s="23"/>
      <c r="D42" s="2">
        <f>--52.68</f>
        <v>52.68</v>
      </c>
      <c r="E42" s="2">
        <f t="shared" ref="E42:G42" si="4">0</f>
        <v>0</v>
      </c>
      <c r="F42" s="2">
        <f t="shared" si="4"/>
        <v>0</v>
      </c>
      <c r="G42" s="2">
        <f t="shared" si="4"/>
        <v>0</v>
      </c>
      <c r="H42" s="2"/>
      <c r="I42" s="2"/>
      <c r="J42" s="2"/>
      <c r="K42" s="2"/>
      <c r="L42" s="2"/>
      <c r="M42" s="2"/>
      <c r="N42" s="2"/>
      <c r="O42" s="2"/>
      <c r="Q42" s="2">
        <f>SUM(OSRRefD11_31x)+IFERROR(SUM(OSRRefE11_31x),0)</f>
        <v>52.68</v>
      </c>
    </row>
    <row r="43" spans="1:17" s="9" customFormat="1" hidden="1" outlineLevel="1" x14ac:dyDescent="0.25">
      <c r="A43" s="22"/>
      <c r="B43" s="13" t="str">
        <f>CONCATENATE("          ","4127", " - ","NON-TAXABLE SALES-SCHOOL SUPPL")</f>
        <v xml:space="preserve">          4127 - NON-TAXABLE SALES-SCHOOL SUPPL</v>
      </c>
      <c r="C43" s="23"/>
      <c r="D43" s="2">
        <f>--72.25</f>
        <v>72.25</v>
      </c>
      <c r="E43" s="2">
        <f>--1788.16</f>
        <v>1788.16</v>
      </c>
      <c r="F43" s="2">
        <f>--810.33</f>
        <v>810.33</v>
      </c>
      <c r="G43" s="2">
        <f>--160.95</f>
        <v>160.94999999999999</v>
      </c>
      <c r="H43" s="2"/>
      <c r="I43" s="2"/>
      <c r="J43" s="2"/>
      <c r="K43" s="2"/>
      <c r="L43" s="2"/>
      <c r="M43" s="2"/>
      <c r="N43" s="2"/>
      <c r="O43" s="2"/>
      <c r="Q43" s="2">
        <f>SUM(OSRRefD11_32x)+IFERROR(SUM(OSRRefE11_32x),0)</f>
        <v>2831.69</v>
      </c>
    </row>
    <row r="44" spans="1:17" s="9" customFormat="1" hidden="1" outlineLevel="1" x14ac:dyDescent="0.25">
      <c r="A44" s="22"/>
      <c r="B44" s="13" t="str">
        <f>CONCATENATE("          ","4131", " - ","NON-TAXABLE SALES-FOOD")</f>
        <v xml:space="preserve">          4131 - NON-TAXABLE SALES-FOOD</v>
      </c>
      <c r="C44" s="23"/>
      <c r="D44" s="2">
        <f>--259.43</f>
        <v>259.43</v>
      </c>
      <c r="E44" s="2">
        <f>--1575.79</f>
        <v>1575.79</v>
      </c>
      <c r="F44" s="2">
        <f>--2168.74</f>
        <v>2168.7399999999998</v>
      </c>
      <c r="G44" s="2">
        <f>--1521.48</f>
        <v>1521.48</v>
      </c>
      <c r="H44" s="2"/>
      <c r="I44" s="2"/>
      <c r="J44" s="2"/>
      <c r="K44" s="2"/>
      <c r="L44" s="2"/>
      <c r="M44" s="2"/>
      <c r="N44" s="2"/>
      <c r="O44" s="2"/>
      <c r="Q44" s="2">
        <f>SUM(OSRRefD11_33x)+IFERROR(SUM(OSRRefE11_33x),0)</f>
        <v>5525.4400000000005</v>
      </c>
    </row>
    <row r="45" spans="1:17" s="9" customFormat="1" hidden="1" outlineLevel="1" x14ac:dyDescent="0.25">
      <c r="A45" s="22"/>
      <c r="B45" s="13" t="str">
        <f>CONCATENATE("          ","4132", " - ","NON-TAXABLE SALES-JUICE")</f>
        <v xml:space="preserve">          4132 - NON-TAXABLE SALES-JUICE</v>
      </c>
      <c r="C45" s="23"/>
      <c r="D45" s="2">
        <f>--22.49</f>
        <v>22.49</v>
      </c>
      <c r="E45" s="2">
        <f t="shared" ref="E45:G45" si="5">0</f>
        <v>0</v>
      </c>
      <c r="F45" s="2">
        <f t="shared" si="5"/>
        <v>0</v>
      </c>
      <c r="G45" s="2">
        <f t="shared" si="5"/>
        <v>0</v>
      </c>
      <c r="H45" s="2"/>
      <c r="I45" s="2"/>
      <c r="J45" s="2"/>
      <c r="K45" s="2"/>
      <c r="L45" s="2"/>
      <c r="M45" s="2"/>
      <c r="N45" s="2"/>
      <c r="O45" s="2"/>
      <c r="Q45" s="2">
        <f>SUM(OSRRefD11_34x)+IFERROR(SUM(OSRRefE11_34x),0)</f>
        <v>22.49</v>
      </c>
    </row>
    <row r="46" spans="1:17" s="9" customFormat="1" hidden="1" outlineLevel="1" x14ac:dyDescent="0.25">
      <c r="A46" s="22"/>
      <c r="B46" s="13" t="str">
        <f>CONCATENATE("          ","4133", " - ","NON-TAXABLE SALES-CANDY")</f>
        <v xml:space="preserve">          4133 - NON-TAXABLE SALES-CANDY</v>
      </c>
      <c r="C46" s="23"/>
      <c r="D46" s="2">
        <f>--68.28</f>
        <v>68.28</v>
      </c>
      <c r="E46" s="2">
        <f>--12.43</f>
        <v>12.43</v>
      </c>
      <c r="F46" s="2">
        <f t="shared" ref="F46:G48" si="6">0</f>
        <v>0</v>
      </c>
      <c r="G46" s="2">
        <f t="shared" si="6"/>
        <v>0</v>
      </c>
      <c r="H46" s="2"/>
      <c r="I46" s="2"/>
      <c r="J46" s="2"/>
      <c r="K46" s="2"/>
      <c r="L46" s="2"/>
      <c r="M46" s="2"/>
      <c r="N46" s="2"/>
      <c r="O46" s="2"/>
      <c r="Q46" s="2">
        <f>SUM(OSRRefD11_35x)+IFERROR(SUM(OSRRefE11_35x),0)</f>
        <v>80.710000000000008</v>
      </c>
    </row>
    <row r="47" spans="1:17" s="9" customFormat="1" hidden="1" outlineLevel="1" x14ac:dyDescent="0.25">
      <c r="A47" s="22"/>
      <c r="B47" s="13" t="str">
        <f>CONCATENATE("          ","4134", " - ","NON-TAXABLE SALES-SODA")</f>
        <v xml:space="preserve">          4134 - NON-TAXABLE SALES-SODA</v>
      </c>
      <c r="C47" s="23"/>
      <c r="D47" s="2">
        <f>--45.53</f>
        <v>45.53</v>
      </c>
      <c r="E47" s="2">
        <f t="shared" ref="E47:E48" si="7">0</f>
        <v>0</v>
      </c>
      <c r="F47" s="2">
        <f t="shared" si="6"/>
        <v>0</v>
      </c>
      <c r="G47" s="2">
        <f t="shared" si="6"/>
        <v>0</v>
      </c>
      <c r="H47" s="2"/>
      <c r="I47" s="2"/>
      <c r="J47" s="2"/>
      <c r="K47" s="2"/>
      <c r="L47" s="2"/>
      <c r="M47" s="2"/>
      <c r="N47" s="2"/>
      <c r="O47" s="2"/>
      <c r="Q47" s="2">
        <f>SUM(OSRRefD11_36x)+IFERROR(SUM(OSRRefE11_36x),0)</f>
        <v>45.53</v>
      </c>
    </row>
    <row r="48" spans="1:17" s="9" customFormat="1" hidden="1" outlineLevel="1" x14ac:dyDescent="0.25">
      <c r="A48" s="22"/>
      <c r="B48" s="13" t="str">
        <f>CONCATENATE("          ","4137", " - ","NON-TAXABLE SALES-WATER")</f>
        <v xml:space="preserve">          4137 - NON-TAXABLE SALES-WATER</v>
      </c>
      <c r="C48" s="23"/>
      <c r="D48" s="2">
        <f>--68.25</f>
        <v>68.25</v>
      </c>
      <c r="E48" s="2">
        <f t="shared" si="7"/>
        <v>0</v>
      </c>
      <c r="F48" s="2">
        <f t="shared" si="6"/>
        <v>0</v>
      </c>
      <c r="G48" s="2">
        <f t="shared" si="6"/>
        <v>0</v>
      </c>
      <c r="H48" s="2"/>
      <c r="I48" s="2"/>
      <c r="J48" s="2"/>
      <c r="K48" s="2"/>
      <c r="L48" s="2"/>
      <c r="M48" s="2"/>
      <c r="N48" s="2"/>
      <c r="O48" s="2"/>
      <c r="Q48" s="2">
        <f>SUM(OSRRefD11_37x)+IFERROR(SUM(OSRRefE11_37x),0)</f>
        <v>68.25</v>
      </c>
    </row>
    <row r="49" spans="1:17" s="9" customFormat="1" hidden="1" outlineLevel="1" x14ac:dyDescent="0.25">
      <c r="A49" s="22"/>
      <c r="B49" s="13" t="str">
        <f>CONCATENATE("          ","4140", " - ","NON-TAXABLE SALES-LOGO CLOTHIN")</f>
        <v xml:space="preserve">          4140 - NON-TAXABLE SALES-LOGO CLOTHIN</v>
      </c>
      <c r="C49" s="23"/>
      <c r="D49" s="2">
        <f>--6846.24</f>
        <v>6846.24</v>
      </c>
      <c r="E49" s="2">
        <f>--7266.5</f>
        <v>7266.5</v>
      </c>
      <c r="F49" s="2">
        <f>--3339.7</f>
        <v>3339.7</v>
      </c>
      <c r="G49" s="2">
        <f>--13163.04</f>
        <v>13163.04</v>
      </c>
      <c r="H49" s="2"/>
      <c r="I49" s="2"/>
      <c r="J49" s="2"/>
      <c r="K49" s="2"/>
      <c r="L49" s="2"/>
      <c r="M49" s="2"/>
      <c r="N49" s="2"/>
      <c r="O49" s="2"/>
      <c r="Q49" s="2">
        <f>SUM(OSRRefD11_38x)+IFERROR(SUM(OSRRefE11_38x),0)</f>
        <v>30615.48</v>
      </c>
    </row>
    <row r="50" spans="1:17" s="9" customFormat="1" hidden="1" outlineLevel="1" x14ac:dyDescent="0.25">
      <c r="A50" s="22"/>
      <c r="B50" s="13" t="str">
        <f>CONCATENATE("          ","4141", " - ","NON-TAXABLE SALES-LOGO GIFTS")</f>
        <v xml:space="preserve">          4141 - NON-TAXABLE SALES-LOGO GIFTS</v>
      </c>
      <c r="C50" s="23"/>
      <c r="D50" s="2">
        <f>--1200.19</f>
        <v>1200.19</v>
      </c>
      <c r="E50" s="2">
        <f>--1189.06</f>
        <v>1189.06</v>
      </c>
      <c r="F50" s="2">
        <f>--555.74</f>
        <v>555.74</v>
      </c>
      <c r="G50" s="2">
        <f>--437.71</f>
        <v>437.71</v>
      </c>
      <c r="H50" s="2"/>
      <c r="I50" s="2"/>
      <c r="J50" s="2"/>
      <c r="K50" s="2"/>
      <c r="L50" s="2"/>
      <c r="M50" s="2"/>
      <c r="N50" s="2"/>
      <c r="O50" s="2"/>
      <c r="Q50" s="2">
        <f>SUM(OSRRefD11_39x)+IFERROR(SUM(OSRRefE11_39x),0)</f>
        <v>3382.7</v>
      </c>
    </row>
    <row r="51" spans="1:17" s="9" customFormat="1" hidden="1" outlineLevel="1" x14ac:dyDescent="0.25">
      <c r="A51" s="22"/>
      <c r="B51" s="13" t="str">
        <f>CONCATENATE("          ","4142", " - ","NON-TAXABLE SALES-EVERYDAY GIF")</f>
        <v xml:space="preserve">          4142 - NON-TAXABLE SALES-EVERYDAY GIF</v>
      </c>
      <c r="C51" s="23"/>
      <c r="D51" s="2">
        <f>--640.17</f>
        <v>640.16999999999996</v>
      </c>
      <c r="E51" s="2">
        <f>--339.4</f>
        <v>339.4</v>
      </c>
      <c r="F51" s="2">
        <f>--30.16</f>
        <v>30.16</v>
      </c>
      <c r="G51" s="2">
        <f>--310.68</f>
        <v>310.68</v>
      </c>
      <c r="H51" s="2"/>
      <c r="I51" s="2"/>
      <c r="J51" s="2"/>
      <c r="K51" s="2"/>
      <c r="L51" s="2"/>
      <c r="M51" s="2"/>
      <c r="N51" s="2"/>
      <c r="O51" s="2"/>
      <c r="Q51" s="2">
        <f>SUM(OSRRefD11_40x)+IFERROR(SUM(OSRRefE11_40x),0)</f>
        <v>1320.4099999999999</v>
      </c>
    </row>
    <row r="52" spans="1:17" s="9" customFormat="1" hidden="1" outlineLevel="1" x14ac:dyDescent="0.25">
      <c r="A52" s="22"/>
      <c r="B52" s="13" t="str">
        <f>CONCATENATE("          ","4143", " - ","NON-TAXABLE SALES-CARDS")</f>
        <v xml:space="preserve">          4143 - NON-TAXABLE SALES-CARDS</v>
      </c>
      <c r="C52" s="23"/>
      <c r="D52" s="2">
        <f>0</f>
        <v>0</v>
      </c>
      <c r="E52" s="2">
        <f>--19.98</f>
        <v>19.98</v>
      </c>
      <c r="F52" s="2">
        <f>0</f>
        <v>0</v>
      </c>
      <c r="G52" s="2">
        <f>--9.99</f>
        <v>9.99</v>
      </c>
      <c r="H52" s="2"/>
      <c r="I52" s="2"/>
      <c r="J52" s="2"/>
      <c r="K52" s="2"/>
      <c r="L52" s="2"/>
      <c r="M52" s="2"/>
      <c r="N52" s="2"/>
      <c r="O52" s="2"/>
      <c r="Q52" s="2">
        <f>SUM(OSRRefD11_41x)+IFERROR(SUM(OSRRefE11_41x),0)</f>
        <v>29.97</v>
      </c>
    </row>
    <row r="53" spans="1:17" s="9" customFormat="1" hidden="1" outlineLevel="1" x14ac:dyDescent="0.25">
      <c r="A53" s="22"/>
      <c r="B53" s="13" t="str">
        <f>CONCATENATE("          ","4144", " - ","NON-TAXABLE SALES-ACCESSORIES")</f>
        <v xml:space="preserve">          4144 - NON-TAXABLE SALES-ACCESSORIES</v>
      </c>
      <c r="C53" s="23"/>
      <c r="D53" s="2">
        <f>--47.85</f>
        <v>47.85</v>
      </c>
      <c r="E53" s="2">
        <f>--107.95</f>
        <v>107.95</v>
      </c>
      <c r="F53" s="2">
        <f>--59.95</f>
        <v>59.95</v>
      </c>
      <c r="G53" s="2">
        <f>--154</f>
        <v>154</v>
      </c>
      <c r="H53" s="2"/>
      <c r="I53" s="2"/>
      <c r="J53" s="2"/>
      <c r="K53" s="2"/>
      <c r="L53" s="2"/>
      <c r="M53" s="2"/>
      <c r="N53" s="2"/>
      <c r="O53" s="2"/>
      <c r="Q53" s="2">
        <f>SUM(OSRRefD11_42x)+IFERROR(SUM(OSRRefE11_42x),0)</f>
        <v>369.75</v>
      </c>
    </row>
    <row r="54" spans="1:17" s="9" customFormat="1" hidden="1" outlineLevel="1" x14ac:dyDescent="0.25">
      <c r="A54" s="22"/>
      <c r="B54" s="13" t="str">
        <f>CONCATENATE("          ","4145", " - ","NON-TAXABLE SALES-SPECIAL ORDE")</f>
        <v xml:space="preserve">          4145 - NON-TAXABLE SALES-SPECIAL ORDE</v>
      </c>
      <c r="C54" s="23"/>
      <c r="D54" s="2">
        <f>--35496</f>
        <v>35496</v>
      </c>
      <c r="E54" s="2">
        <f>--350</f>
        <v>350</v>
      </c>
      <c r="F54" s="2">
        <f t="shared" ref="F54:G54" si="8">0</f>
        <v>0</v>
      </c>
      <c r="G54" s="2">
        <f t="shared" si="8"/>
        <v>0</v>
      </c>
      <c r="H54" s="2"/>
      <c r="I54" s="2"/>
      <c r="J54" s="2"/>
      <c r="K54" s="2"/>
      <c r="L54" s="2"/>
      <c r="M54" s="2"/>
      <c r="N54" s="2"/>
      <c r="O54" s="2"/>
      <c r="Q54" s="2">
        <f>SUM(OSRRefD11_43x)+IFERROR(SUM(OSRRefE11_43x),0)</f>
        <v>35846</v>
      </c>
    </row>
    <row r="55" spans="1:17" s="9" customFormat="1" hidden="1" outlineLevel="1" x14ac:dyDescent="0.25">
      <c r="A55" s="22"/>
      <c r="B55" s="13" t="str">
        <f>CONCATENATE("          ","4146", " - ","NON-TAXABLE SALES-COIN OP MACH")</f>
        <v xml:space="preserve">          4146 - NON-TAXABLE SALES-COIN OP MACH</v>
      </c>
      <c r="C55" s="23"/>
      <c r="D55" s="2">
        <f>0</f>
        <v>0</v>
      </c>
      <c r="E55" s="2">
        <f>--15.5</f>
        <v>15.5</v>
      </c>
      <c r="F55" s="2">
        <f>--49.7</f>
        <v>49.7</v>
      </c>
      <c r="G55" s="2">
        <f>--21.3</f>
        <v>21.3</v>
      </c>
      <c r="H55" s="2"/>
      <c r="I55" s="2"/>
      <c r="J55" s="2"/>
      <c r="K55" s="2"/>
      <c r="L55" s="2"/>
      <c r="M55" s="2"/>
      <c r="N55" s="2"/>
      <c r="O55" s="2"/>
      <c r="Q55" s="2">
        <f>SUM(OSRRefD11_44x)+IFERROR(SUM(OSRRefE11_44x),0)</f>
        <v>86.5</v>
      </c>
    </row>
    <row r="56" spans="1:17" s="9" customFormat="1" hidden="1" outlineLevel="1" x14ac:dyDescent="0.25">
      <c r="A56" s="22"/>
      <c r="B56" s="13" t="str">
        <f>CONCATENATE("          ","4147", " - ","NON-TAXABLE SALES-MISC")</f>
        <v xml:space="preserve">          4147 - NON-TAXABLE SALES-MISC</v>
      </c>
      <c r="C56" s="23"/>
      <c r="D56" s="2">
        <f>--1</f>
        <v>1</v>
      </c>
      <c r="E56" s="2">
        <f>--23</f>
        <v>23</v>
      </c>
      <c r="F56" s="2">
        <f>--24</f>
        <v>24</v>
      </c>
      <c r="G56" s="2">
        <f>--38.5</f>
        <v>38.5</v>
      </c>
      <c r="H56" s="2"/>
      <c r="I56" s="2"/>
      <c r="J56" s="2"/>
      <c r="K56" s="2"/>
      <c r="L56" s="2"/>
      <c r="M56" s="2"/>
      <c r="N56" s="2"/>
      <c r="O56" s="2"/>
      <c r="Q56" s="2">
        <f>SUM(OSRRefD11_45x)+IFERROR(SUM(OSRRefE11_45x),0)</f>
        <v>86.5</v>
      </c>
    </row>
    <row r="57" spans="1:17" s="9" customFormat="1" hidden="1" outlineLevel="1" x14ac:dyDescent="0.25">
      <c r="A57" s="22"/>
      <c r="B57" s="13" t="str">
        <f>CONCATENATE("          ","4181", " - ","NON-TAXABLE SALES-ELECTRONICS")</f>
        <v xml:space="preserve">          4181 - NON-TAXABLE SALES-ELECTRONICS</v>
      </c>
      <c r="C57" s="23"/>
      <c r="D57" s="2">
        <f>--289.98</f>
        <v>289.98</v>
      </c>
      <c r="E57" s="2">
        <f>--2349.29</f>
        <v>2349.29</v>
      </c>
      <c r="F57" s="2">
        <f>--669.89</f>
        <v>669.89</v>
      </c>
      <c r="G57" s="2">
        <f>--194.97</f>
        <v>194.97</v>
      </c>
      <c r="H57" s="2"/>
      <c r="I57" s="2"/>
      <c r="J57" s="2"/>
      <c r="K57" s="2"/>
      <c r="L57" s="2"/>
      <c r="M57" s="2"/>
      <c r="N57" s="2"/>
      <c r="O57" s="2"/>
      <c r="Q57" s="2">
        <f>SUM(OSRRefD11_46x)+IFERROR(SUM(OSRRefE11_46x),0)</f>
        <v>3504.1299999999997</v>
      </c>
    </row>
    <row r="58" spans="1:17" s="9" customFormat="1" hidden="1" outlineLevel="1" x14ac:dyDescent="0.25">
      <c r="A58" s="22"/>
      <c r="B58" s="13" t="str">
        <f>CONCATENATE("          ","4182", " - ","NON-TAXABLE SALES-COMPUTER HAR")</f>
        <v xml:space="preserve">          4182 - NON-TAXABLE SALES-COMPUTER HAR</v>
      </c>
      <c r="C58" s="23"/>
      <c r="D58" s="2">
        <f>--35876.99</f>
        <v>35876.99</v>
      </c>
      <c r="E58" s="2">
        <f>--46190.39</f>
        <v>46190.39</v>
      </c>
      <c r="F58" s="2">
        <f>--38657</f>
        <v>38657</v>
      </c>
      <c r="G58" s="2">
        <f>--24570</f>
        <v>24570</v>
      </c>
      <c r="H58" s="2"/>
      <c r="I58" s="2"/>
      <c r="J58" s="2"/>
      <c r="K58" s="2"/>
      <c r="L58" s="2"/>
      <c r="M58" s="2"/>
      <c r="N58" s="2"/>
      <c r="O58" s="2"/>
      <c r="Q58" s="2">
        <f>SUM(OSRRefD11_47x)+IFERROR(SUM(OSRRefE11_47x),0)</f>
        <v>145294.38</v>
      </c>
    </row>
    <row r="59" spans="1:17" s="9" customFormat="1" hidden="1" outlineLevel="1" x14ac:dyDescent="0.25">
      <c r="A59" s="22"/>
      <c r="B59" s="13" t="str">
        <f>CONCATENATE("          ","4183", " - ","NON-TAXABLE SALES-COMPUTER EQU")</f>
        <v xml:space="preserve">          4183 - NON-TAXABLE SALES-COMPUTER EQU</v>
      </c>
      <c r="C59" s="23"/>
      <c r="D59" s="2">
        <f>--1359.85</f>
        <v>1359.85</v>
      </c>
      <c r="E59" s="2">
        <f>--1759.83</f>
        <v>1759.83</v>
      </c>
      <c r="F59" s="2">
        <f>--1946.8</f>
        <v>1946.8</v>
      </c>
      <c r="G59" s="2">
        <f>--1269.91</f>
        <v>1269.9100000000001</v>
      </c>
      <c r="H59" s="2"/>
      <c r="I59" s="2"/>
      <c r="J59" s="2"/>
      <c r="K59" s="2"/>
      <c r="L59" s="2"/>
      <c r="M59" s="2"/>
      <c r="N59" s="2"/>
      <c r="O59" s="2"/>
      <c r="Q59" s="2">
        <f>SUM(OSRRefD11_48x)+IFERROR(SUM(OSRRefE11_48x),0)</f>
        <v>6336.3899999999994</v>
      </c>
    </row>
    <row r="60" spans="1:17" s="9" customFormat="1" hidden="1" outlineLevel="1" x14ac:dyDescent="0.25">
      <c r="A60" s="22"/>
      <c r="B60" s="13" t="str">
        <f>CONCATENATE("          ","4185", " - ","NON-TAXABLE SALES-SOFTWARE")</f>
        <v xml:space="preserve">          4185 - NON-TAXABLE SALES-SOFTWARE</v>
      </c>
      <c r="C60" s="23"/>
      <c r="D60" s="2">
        <f>--6187.74</f>
        <v>6187.74</v>
      </c>
      <c r="E60" s="2">
        <f>--4610.75</f>
        <v>4610.75</v>
      </c>
      <c r="F60" s="2">
        <f>--8427.6</f>
        <v>8427.6</v>
      </c>
      <c r="G60" s="2">
        <f>--4590.76</f>
        <v>4590.76</v>
      </c>
      <c r="H60" s="2"/>
      <c r="I60" s="2"/>
      <c r="J60" s="2"/>
      <c r="K60" s="2"/>
      <c r="L60" s="2"/>
      <c r="M60" s="2"/>
      <c r="N60" s="2"/>
      <c r="O60" s="2"/>
      <c r="Q60" s="2">
        <f>SUM(OSRRefD11_49x)+IFERROR(SUM(OSRRefE11_49x),0)</f>
        <v>23816.85</v>
      </c>
    </row>
    <row r="61" spans="1:17" s="9" customFormat="1" hidden="1" outlineLevel="1" x14ac:dyDescent="0.25">
      <c r="A61" s="22"/>
      <c r="B61" s="13" t="str">
        <f>CONCATENATE("          ","4186", " - ","NON-TAXABLE SALES-COMPUTER SUP")</f>
        <v xml:space="preserve">          4186 - NON-TAXABLE SALES-COMPUTER SUP</v>
      </c>
      <c r="C61" s="23"/>
      <c r="D61" s="2">
        <f>--154.95</f>
        <v>154.94999999999999</v>
      </c>
      <c r="E61" s="2">
        <f>--257.95</f>
        <v>257.95</v>
      </c>
      <c r="F61" s="2">
        <f>--460.89</f>
        <v>460.89</v>
      </c>
      <c r="G61" s="2">
        <f>--855.98</f>
        <v>855.98</v>
      </c>
      <c r="H61" s="2"/>
      <c r="I61" s="2"/>
      <c r="J61" s="2"/>
      <c r="K61" s="2"/>
      <c r="L61" s="2"/>
      <c r="M61" s="2"/>
      <c r="N61" s="2"/>
      <c r="O61" s="2"/>
      <c r="Q61" s="2">
        <f>SUM(OSRRefD11_50x)+IFERROR(SUM(OSRRefE11_50x),0)</f>
        <v>1729.77</v>
      </c>
    </row>
    <row r="62" spans="1:17" s="9" customFormat="1" hidden="1" outlineLevel="1" x14ac:dyDescent="0.25">
      <c r="A62" s="22"/>
      <c r="B62" s="13" t="str">
        <f>CONCATENATE("          ","4201", " - ","SALES RETURN TAXABLE-NEW TEXT")</f>
        <v xml:space="preserve">          4201 - SALES RETURN TAXABLE-NEW TEXT</v>
      </c>
      <c r="C62" s="23"/>
      <c r="D62" s="2">
        <f>-633.4</f>
        <v>-633.4</v>
      </c>
      <c r="E62" s="2">
        <f>-18222.39</f>
        <v>-18222.39</v>
      </c>
      <c r="F62" s="2">
        <f>-13393.2</f>
        <v>-13393.2</v>
      </c>
      <c r="G62" s="2">
        <f>-1512.25</f>
        <v>-1512.25</v>
      </c>
      <c r="H62" s="2"/>
      <c r="I62" s="2"/>
      <c r="J62" s="2"/>
      <c r="K62" s="2"/>
      <c r="L62" s="2"/>
      <c r="M62" s="2"/>
      <c r="N62" s="2"/>
      <c r="O62" s="2"/>
      <c r="Q62" s="2">
        <f>SUM(OSRRefD11_51x)+IFERROR(SUM(OSRRefE11_51x),0)</f>
        <v>-33761.240000000005</v>
      </c>
    </row>
    <row r="63" spans="1:17" s="9" customFormat="1" hidden="1" outlineLevel="1" x14ac:dyDescent="0.25">
      <c r="A63" s="22"/>
      <c r="B63" s="13" t="str">
        <f>CONCATENATE("          ","4202", " - ","SALES RETURN TAXABLE-USED TEXT")</f>
        <v xml:space="preserve">          4202 - SALES RETURN TAXABLE-USED TEXT</v>
      </c>
      <c r="C63" s="23"/>
      <c r="D63" s="2">
        <f>-178.35</f>
        <v>-178.35</v>
      </c>
      <c r="E63" s="2">
        <f>-8869.4</f>
        <v>-8869.4</v>
      </c>
      <c r="F63" s="2">
        <f>-1345.2</f>
        <v>-1345.2</v>
      </c>
      <c r="G63" s="2">
        <f>-136.05</f>
        <v>-136.05000000000001</v>
      </c>
      <c r="H63" s="2"/>
      <c r="I63" s="2"/>
      <c r="J63" s="2"/>
      <c r="K63" s="2"/>
      <c r="L63" s="2"/>
      <c r="M63" s="2"/>
      <c r="N63" s="2"/>
      <c r="O63" s="2"/>
      <c r="Q63" s="2">
        <f>SUM(OSRRefD11_52x)+IFERROR(SUM(OSRRefE11_52x),0)</f>
        <v>-10529</v>
      </c>
    </row>
    <row r="64" spans="1:17" s="9" customFormat="1" hidden="1" outlineLevel="1" x14ac:dyDescent="0.25">
      <c r="A64" s="22"/>
      <c r="B64" s="13" t="str">
        <f>CONCATENATE("          ","4204", " - ","SALES RETURN TAXABLE-DIGITAL T")</f>
        <v xml:space="preserve">          4204 - SALES RETURN TAXABLE-DIGITAL T</v>
      </c>
      <c r="C64" s="23"/>
      <c r="D64" s="2">
        <f>0</f>
        <v>0</v>
      </c>
      <c r="E64" s="2">
        <f>-1141.08</f>
        <v>-1141.08</v>
      </c>
      <c r="F64" s="2">
        <f>-105.87</f>
        <v>-105.87</v>
      </c>
      <c r="G64" s="2">
        <f>-383.9</f>
        <v>-383.9</v>
      </c>
      <c r="H64" s="2"/>
      <c r="I64" s="2"/>
      <c r="J64" s="2"/>
      <c r="K64" s="2"/>
      <c r="L64" s="2"/>
      <c r="M64" s="2"/>
      <c r="N64" s="2"/>
      <c r="O64" s="2"/>
      <c r="Q64" s="2">
        <f>SUM(OSRRefD11_53x)+IFERROR(SUM(OSRRefE11_53x),0)</f>
        <v>-1630.85</v>
      </c>
    </row>
    <row r="65" spans="1:17" s="9" customFormat="1" hidden="1" outlineLevel="1" x14ac:dyDescent="0.25">
      <c r="A65" s="22"/>
      <c r="B65" s="13" t="str">
        <f>CONCATENATE("          ","4226", " - ","SALES RETURN TAXABLE-WRITING I")</f>
        <v xml:space="preserve">          4226 - SALES RETURN TAXABLE-WRITING I</v>
      </c>
      <c r="C65" s="23"/>
      <c r="D65" s="2">
        <f>-6.38</f>
        <v>-6.38</v>
      </c>
      <c r="E65" s="2">
        <f>0</f>
        <v>0</v>
      </c>
      <c r="F65" s="2">
        <f>-22.49</f>
        <v>-22.49</v>
      </c>
      <c r="G65" s="2">
        <f>-5.36</f>
        <v>-5.36</v>
      </c>
      <c r="H65" s="2"/>
      <c r="I65" s="2"/>
      <c r="J65" s="2"/>
      <c r="K65" s="2"/>
      <c r="L65" s="2"/>
      <c r="M65" s="2"/>
      <c r="N65" s="2"/>
      <c r="O65" s="2"/>
      <c r="Q65" s="2">
        <f>SUM(OSRRefD11_54x)+IFERROR(SUM(OSRRefE11_54x),0)</f>
        <v>-34.229999999999997</v>
      </c>
    </row>
    <row r="66" spans="1:17" s="9" customFormat="1" hidden="1" outlineLevel="1" x14ac:dyDescent="0.25">
      <c r="A66" s="22"/>
      <c r="B66" s="13" t="str">
        <f>CONCATENATE("          ","4227", " - ","SALES RETURN TAXABLE-SCHOOL SU")</f>
        <v xml:space="preserve">          4227 - SALES RETURN TAXABLE-SCHOOL SU</v>
      </c>
      <c r="C66" s="23"/>
      <c r="D66" s="2">
        <f>-56.77</f>
        <v>-56.77</v>
      </c>
      <c r="E66" s="2">
        <f>-359.61</f>
        <v>-359.61</v>
      </c>
      <c r="F66" s="2">
        <f>-152.29</f>
        <v>-152.29</v>
      </c>
      <c r="G66" s="2">
        <f>-9.99</f>
        <v>-9.99</v>
      </c>
      <c r="H66" s="2"/>
      <c r="I66" s="2"/>
      <c r="J66" s="2"/>
      <c r="K66" s="2"/>
      <c r="L66" s="2"/>
      <c r="M66" s="2"/>
      <c r="N66" s="2"/>
      <c r="O66" s="2"/>
      <c r="Q66" s="2">
        <f>SUM(OSRRefD11_55x)+IFERROR(SUM(OSRRefE11_55x),0)</f>
        <v>-578.66</v>
      </c>
    </row>
    <row r="67" spans="1:17" s="9" customFormat="1" hidden="1" outlineLevel="1" x14ac:dyDescent="0.25">
      <c r="A67" s="22"/>
      <c r="B67" s="13" t="str">
        <f>CONCATENATE("          ","4228", " - ","SALES RETURN TAXABLE-ART/TECH")</f>
        <v xml:space="preserve">          4228 - SALES RETURN TAXABLE-ART/TECH</v>
      </c>
      <c r="C67" s="23"/>
      <c r="D67" s="2">
        <f>0</f>
        <v>0</v>
      </c>
      <c r="E67" s="2">
        <f>-164.44</f>
        <v>-164.44</v>
      </c>
      <c r="F67" s="2">
        <f>-57.76</f>
        <v>-57.76</v>
      </c>
      <c r="G67" s="2">
        <f>0</f>
        <v>0</v>
      </c>
      <c r="H67" s="2"/>
      <c r="I67" s="2"/>
      <c r="J67" s="2"/>
      <c r="K67" s="2"/>
      <c r="L67" s="2"/>
      <c r="M67" s="2"/>
      <c r="N67" s="2"/>
      <c r="O67" s="2"/>
      <c r="Q67" s="2">
        <f>SUM(OSRRefD11_56x)+IFERROR(SUM(OSRRefE11_56x),0)</f>
        <v>-222.2</v>
      </c>
    </row>
    <row r="68" spans="1:17" s="9" customFormat="1" hidden="1" outlineLevel="1" x14ac:dyDescent="0.25">
      <c r="A68" s="22"/>
      <c r="B68" s="13" t="str">
        <f>CONCATENATE("          ","4240", " - ","SALES RETURN TAXABLE-LOGO CLOT")</f>
        <v xml:space="preserve">          4240 - SALES RETURN TAXABLE-LOGO CLOT</v>
      </c>
      <c r="C68" s="23"/>
      <c r="D68" s="2">
        <f>-3368.1</f>
        <v>-3368.1</v>
      </c>
      <c r="E68" s="2">
        <f>-4788.72</f>
        <v>-4788.72</v>
      </c>
      <c r="F68" s="2">
        <f>-3453.14</f>
        <v>-3453.14</v>
      </c>
      <c r="G68" s="2">
        <f>-2239.56</f>
        <v>-2239.56</v>
      </c>
      <c r="H68" s="2"/>
      <c r="I68" s="2"/>
      <c r="J68" s="2"/>
      <c r="K68" s="2"/>
      <c r="L68" s="2"/>
      <c r="M68" s="2"/>
      <c r="N68" s="2"/>
      <c r="O68" s="2"/>
      <c r="Q68" s="2">
        <f>SUM(OSRRefD11_57x)+IFERROR(SUM(OSRRefE11_57x),0)</f>
        <v>-13849.519999999999</v>
      </c>
    </row>
    <row r="69" spans="1:17" s="9" customFormat="1" hidden="1" outlineLevel="1" x14ac:dyDescent="0.25">
      <c r="A69" s="22"/>
      <c r="B69" s="13" t="str">
        <f>CONCATENATE("          ","4241", " - ","SALES RETURN TAXABLE-LOGO GIFT")</f>
        <v xml:space="preserve">          4241 - SALES RETURN TAXABLE-LOGO GIFT</v>
      </c>
      <c r="C69" s="23"/>
      <c r="D69" s="2">
        <f>-341.98</f>
        <v>-341.98</v>
      </c>
      <c r="E69" s="2">
        <f>-986.21</f>
        <v>-986.21</v>
      </c>
      <c r="F69" s="2">
        <f>-988.92</f>
        <v>-988.92</v>
      </c>
      <c r="G69" s="2">
        <f>-379.45</f>
        <v>-379.45</v>
      </c>
      <c r="H69" s="2"/>
      <c r="I69" s="2"/>
      <c r="J69" s="2"/>
      <c r="K69" s="2"/>
      <c r="L69" s="2"/>
      <c r="M69" s="2"/>
      <c r="N69" s="2"/>
      <c r="O69" s="2"/>
      <c r="Q69" s="2">
        <f>SUM(OSRRefD11_58x)+IFERROR(SUM(OSRRefE11_58x),0)</f>
        <v>-2696.56</v>
      </c>
    </row>
    <row r="70" spans="1:17" s="9" customFormat="1" hidden="1" outlineLevel="1" x14ac:dyDescent="0.25">
      <c r="A70" s="22"/>
      <c r="B70" s="13" t="str">
        <f>CONCATENATE("          ","4242", " - ","SALES RETURN TAXABLE-EVERYDAY")</f>
        <v xml:space="preserve">          4242 - SALES RETURN TAXABLE-EVERYDAY</v>
      </c>
      <c r="C70" s="23"/>
      <c r="D70" s="2">
        <f>-178.96</f>
        <v>-178.96</v>
      </c>
      <c r="E70" s="2">
        <f>-470.53</f>
        <v>-470.53</v>
      </c>
      <c r="F70" s="2">
        <f>-405.07</f>
        <v>-405.07</v>
      </c>
      <c r="G70" s="2">
        <f>-266.95</f>
        <v>-266.95</v>
      </c>
      <c r="H70" s="2"/>
      <c r="I70" s="2"/>
      <c r="J70" s="2"/>
      <c r="K70" s="2"/>
      <c r="L70" s="2"/>
      <c r="M70" s="2"/>
      <c r="N70" s="2"/>
      <c r="O70" s="2"/>
      <c r="Q70" s="2">
        <f>SUM(OSRRefD11_59x)+IFERROR(SUM(OSRRefE11_59x),0)</f>
        <v>-1321.51</v>
      </c>
    </row>
    <row r="71" spans="1:17" s="9" customFormat="1" hidden="1" outlineLevel="1" x14ac:dyDescent="0.25">
      <c r="A71" s="22"/>
      <c r="B71" s="13" t="str">
        <f>CONCATENATE("          ","4243", " - ","SALES RETURN TAXABLE-CARDS")</f>
        <v xml:space="preserve">          4243 - SALES RETURN TAXABLE-CARDS</v>
      </c>
      <c r="C71" s="23"/>
      <c r="D71" s="2">
        <f t="shared" ref="D71:D72" si="9">0</f>
        <v>0</v>
      </c>
      <c r="E71" s="2">
        <f>-93.43</f>
        <v>-93.43</v>
      </c>
      <c r="F71" s="2">
        <f>-59.94</f>
        <v>-59.94</v>
      </c>
      <c r="G71" s="2">
        <f>-829.55</f>
        <v>-829.55</v>
      </c>
      <c r="H71" s="2"/>
      <c r="I71" s="2"/>
      <c r="J71" s="2"/>
      <c r="K71" s="2"/>
      <c r="L71" s="2"/>
      <c r="M71" s="2"/>
      <c r="N71" s="2"/>
      <c r="O71" s="2"/>
      <c r="Q71" s="2">
        <f>SUM(OSRRefD11_60x)+IFERROR(SUM(OSRRefE11_60x),0)</f>
        <v>-982.92</v>
      </c>
    </row>
    <row r="72" spans="1:17" s="9" customFormat="1" hidden="1" outlineLevel="1" x14ac:dyDescent="0.25">
      <c r="A72" s="22"/>
      <c r="B72" s="13" t="str">
        <f>CONCATENATE("          ","4244", " - ","SALES RETURN TAXABLE-ACCESSORI")</f>
        <v xml:space="preserve">          4244 - SALES RETURN TAXABLE-ACCESSORI</v>
      </c>
      <c r="C72" s="23"/>
      <c r="D72" s="2">
        <f t="shared" si="9"/>
        <v>0</v>
      </c>
      <c r="E72" s="2">
        <f>-350.99</f>
        <v>-350.99</v>
      </c>
      <c r="F72" s="2">
        <f>-60</f>
        <v>-60</v>
      </c>
      <c r="G72" s="2">
        <f>0</f>
        <v>0</v>
      </c>
      <c r="H72" s="2"/>
      <c r="I72" s="2"/>
      <c r="J72" s="2"/>
      <c r="K72" s="2"/>
      <c r="L72" s="2"/>
      <c r="M72" s="2"/>
      <c r="N72" s="2"/>
      <c r="O72" s="2"/>
      <c r="Q72" s="2">
        <f>SUM(OSRRefD11_61x)+IFERROR(SUM(OSRRefE11_61x),0)</f>
        <v>-410.99</v>
      </c>
    </row>
    <row r="73" spans="1:17" s="9" customFormat="1" hidden="1" outlineLevel="1" x14ac:dyDescent="0.25">
      <c r="A73" s="22"/>
      <c r="B73" s="13" t="str">
        <f>CONCATENATE("          ","4245", " - ","SALES RETURN TAXABLE-SPECIAL O")</f>
        <v xml:space="preserve">          4245 - SALES RETURN TAXABLE-SPECIAL O</v>
      </c>
      <c r="C73" s="23"/>
      <c r="D73" s="2">
        <f>-1121</f>
        <v>-1121</v>
      </c>
      <c r="E73" s="2">
        <f>-57.96</f>
        <v>-57.96</v>
      </c>
      <c r="F73" s="2">
        <f>-3.99</f>
        <v>-3.99</v>
      </c>
      <c r="G73" s="2">
        <f>-363.98</f>
        <v>-363.98</v>
      </c>
      <c r="H73" s="2"/>
      <c r="I73" s="2"/>
      <c r="J73" s="2"/>
      <c r="K73" s="2"/>
      <c r="L73" s="2"/>
      <c r="M73" s="2"/>
      <c r="N73" s="2"/>
      <c r="O73" s="2"/>
      <c r="Q73" s="2">
        <f>SUM(OSRRefD11_62x)+IFERROR(SUM(OSRRefE11_62x),0)</f>
        <v>-1546.93</v>
      </c>
    </row>
    <row r="74" spans="1:17" s="9" customFormat="1" hidden="1" outlineLevel="1" x14ac:dyDescent="0.25">
      <c r="A74" s="22"/>
      <c r="B74" s="13" t="str">
        <f>CONCATENATE("          ","4281", " - ","SALES RETURN TAXABLE-ELECTRONI")</f>
        <v xml:space="preserve">          4281 - SALES RETURN TAXABLE-ELECTRONI</v>
      </c>
      <c r="C74" s="23"/>
      <c r="D74" s="2">
        <f>-6291.99</f>
        <v>-6291.99</v>
      </c>
      <c r="E74" s="2">
        <f>-7424.23</f>
        <v>-7424.23</v>
      </c>
      <c r="F74" s="2">
        <f>-557.94</f>
        <v>-557.94000000000005</v>
      </c>
      <c r="G74" s="2">
        <f>-357.99</f>
        <v>-357.99</v>
      </c>
      <c r="H74" s="2"/>
      <c r="I74" s="2"/>
      <c r="J74" s="2"/>
      <c r="K74" s="2"/>
      <c r="L74" s="2"/>
      <c r="M74" s="2"/>
      <c r="N74" s="2"/>
      <c r="O74" s="2"/>
      <c r="Q74" s="2">
        <f>SUM(OSRRefD11_63x)+IFERROR(SUM(OSRRefE11_63x),0)</f>
        <v>-14632.15</v>
      </c>
    </row>
    <row r="75" spans="1:17" s="9" customFormat="1" hidden="1" outlineLevel="1" x14ac:dyDescent="0.25">
      <c r="A75" s="22"/>
      <c r="B75" s="13" t="str">
        <f>CONCATENATE("          ","4282", " - ","SALES RETURN TAXABLE-COMPUTER")</f>
        <v xml:space="preserve">          4282 - SALES RETURN TAXABLE-COMPUTER</v>
      </c>
      <c r="C75" s="23"/>
      <c r="D75" s="2">
        <f>-18207</f>
        <v>-18207</v>
      </c>
      <c r="E75" s="2">
        <f>-15442</f>
        <v>-15442</v>
      </c>
      <c r="F75" s="2">
        <f>-14636</f>
        <v>-14636</v>
      </c>
      <c r="G75" s="2">
        <f>-20038</f>
        <v>-20038</v>
      </c>
      <c r="H75" s="2"/>
      <c r="I75" s="2"/>
      <c r="J75" s="2"/>
      <c r="K75" s="2"/>
      <c r="L75" s="2"/>
      <c r="M75" s="2"/>
      <c r="N75" s="2"/>
      <c r="O75" s="2"/>
      <c r="Q75" s="2">
        <f>SUM(OSRRefD11_64x)+IFERROR(SUM(OSRRefE11_64x),0)</f>
        <v>-68323</v>
      </c>
    </row>
    <row r="76" spans="1:17" s="9" customFormat="1" hidden="1" outlineLevel="1" x14ac:dyDescent="0.25">
      <c r="A76" s="22"/>
      <c r="B76" s="13" t="str">
        <f>CONCATENATE("          ","4283", " - ","SALES RETURN TAXABLE-COMPUTER")</f>
        <v xml:space="preserve">          4283 - SALES RETURN TAXABLE-COMPUTER</v>
      </c>
      <c r="C76" s="23"/>
      <c r="D76" s="2">
        <f>-818.93</f>
        <v>-818.93</v>
      </c>
      <c r="E76" s="2">
        <f>-699.9</f>
        <v>-699.9</v>
      </c>
      <c r="F76" s="2">
        <f>-483.9</f>
        <v>-483.9</v>
      </c>
      <c r="G76" s="2">
        <f>-629.58</f>
        <v>-629.58000000000004</v>
      </c>
      <c r="H76" s="2"/>
      <c r="I76" s="2"/>
      <c r="J76" s="2"/>
      <c r="K76" s="2"/>
      <c r="L76" s="2"/>
      <c r="M76" s="2"/>
      <c r="N76" s="2"/>
      <c r="O76" s="2"/>
      <c r="Q76" s="2">
        <f>SUM(OSRRefD11_65x)+IFERROR(SUM(OSRRefE11_65x),0)</f>
        <v>-2632.31</v>
      </c>
    </row>
    <row r="77" spans="1:17" s="9" customFormat="1" hidden="1" outlineLevel="1" x14ac:dyDescent="0.25">
      <c r="A77" s="22"/>
      <c r="B77" s="13" t="str">
        <f>CONCATENATE("          ","4285", " - ","SALES RETURN TAXABLE-SOFTWARE")</f>
        <v xml:space="preserve">          4285 - SALES RETURN TAXABLE-SOFTWARE</v>
      </c>
      <c r="C77" s="23"/>
      <c r="D77" s="2">
        <f t="shared" ref="D77:D79" si="10">0</f>
        <v>0</v>
      </c>
      <c r="E77" s="2">
        <f>0</f>
        <v>0</v>
      </c>
      <c r="F77" s="2">
        <f>-552.98</f>
        <v>-552.98</v>
      </c>
      <c r="G77" s="2">
        <f>0</f>
        <v>0</v>
      </c>
      <c r="H77" s="2"/>
      <c r="I77" s="2"/>
      <c r="J77" s="2"/>
      <c r="K77" s="2"/>
      <c r="L77" s="2"/>
      <c r="M77" s="2"/>
      <c r="N77" s="2"/>
      <c r="O77" s="2"/>
      <c r="Q77" s="2">
        <f>SUM(OSRRefD11_66x)+IFERROR(SUM(OSRRefE11_66x),0)</f>
        <v>-552.98</v>
      </c>
    </row>
    <row r="78" spans="1:17" s="9" customFormat="1" hidden="1" outlineLevel="1" x14ac:dyDescent="0.25">
      <c r="A78" s="22"/>
      <c r="B78" s="13" t="str">
        <f>CONCATENATE("          ","4286", " - ","SALES RETURN TAXABLE-COMPUTER")</f>
        <v xml:space="preserve">          4286 - SALES RETURN TAXABLE-COMPUTER</v>
      </c>
      <c r="C78" s="23"/>
      <c r="D78" s="2">
        <f t="shared" si="10"/>
        <v>0</v>
      </c>
      <c r="E78" s="2">
        <f>-153.96</f>
        <v>-153.96</v>
      </c>
      <c r="F78" s="2">
        <f>-258.44</f>
        <v>-258.44</v>
      </c>
      <c r="G78" s="2">
        <f>-158.96</f>
        <v>-158.96</v>
      </c>
      <c r="H78" s="2"/>
      <c r="I78" s="2"/>
      <c r="J78" s="2"/>
      <c r="K78" s="2"/>
      <c r="L78" s="2"/>
      <c r="M78" s="2"/>
      <c r="N78" s="2"/>
      <c r="O78" s="2"/>
      <c r="Q78" s="2">
        <f>SUM(OSRRefD11_67x)+IFERROR(SUM(OSRRefE11_67x),0)</f>
        <v>-571.36</v>
      </c>
    </row>
    <row r="79" spans="1:17" s="9" customFormat="1" hidden="1" outlineLevel="1" x14ac:dyDescent="0.25">
      <c r="A79" s="22"/>
      <c r="B79" s="13" t="str">
        <f>CONCATENATE("          ","4301", " - ","SALES RETURN NON TAXABLE-NEW T")</f>
        <v xml:space="preserve">          4301 - SALES RETURN NON TAXABLE-NEW T</v>
      </c>
      <c r="C79" s="23"/>
      <c r="D79" s="2">
        <f t="shared" si="10"/>
        <v>0</v>
      </c>
      <c r="E79" s="2">
        <f>-20.25</f>
        <v>-20.25</v>
      </c>
      <c r="F79" s="2">
        <f>-1820.43</f>
        <v>-1820.43</v>
      </c>
      <c r="G79" s="2">
        <f>-535.49</f>
        <v>-535.49</v>
      </c>
      <c r="H79" s="2"/>
      <c r="I79" s="2"/>
      <c r="J79" s="2"/>
      <c r="K79" s="2"/>
      <c r="L79" s="2"/>
      <c r="M79" s="2"/>
      <c r="N79" s="2"/>
      <c r="O79" s="2"/>
      <c r="Q79" s="2">
        <f>SUM(OSRRefD11_68x)+IFERROR(SUM(OSRRefE11_68x),0)</f>
        <v>-2376.17</v>
      </c>
    </row>
    <row r="80" spans="1:17" s="9" customFormat="1" hidden="1" outlineLevel="1" x14ac:dyDescent="0.25">
      <c r="A80" s="22"/>
      <c r="B80" s="13" t="str">
        <f>CONCATENATE("          ","4302", " - ","SALES RETURN NON TAXABLE-TEXT")</f>
        <v xml:space="preserve">          4302 - SALES RETURN NON TAXABLE-TEXT</v>
      </c>
      <c r="C80" s="23"/>
      <c r="D80" s="2">
        <f>-63.67</f>
        <v>-63.67</v>
      </c>
      <c r="E80" s="2">
        <f>-346.17</f>
        <v>-346.17</v>
      </c>
      <c r="F80" s="2">
        <f>-737.24</f>
        <v>-737.24</v>
      </c>
      <c r="G80" s="2">
        <f>-169.72</f>
        <v>-169.72</v>
      </c>
      <c r="H80" s="2"/>
      <c r="I80" s="2"/>
      <c r="J80" s="2"/>
      <c r="K80" s="2"/>
      <c r="L80" s="2"/>
      <c r="M80" s="2"/>
      <c r="N80" s="2"/>
      <c r="O80" s="2"/>
      <c r="Q80" s="2">
        <f>SUM(OSRRefD11_69x)+IFERROR(SUM(OSRRefE11_69x),0)</f>
        <v>-1316.8</v>
      </c>
    </row>
    <row r="81" spans="1:17" s="9" customFormat="1" hidden="1" outlineLevel="1" x14ac:dyDescent="0.25">
      <c r="A81" s="22"/>
      <c r="B81" s="13" t="str">
        <f>CONCATENATE("          ","4304", " - ","SALES RETURN NON TAXABLE-DIGIT")</f>
        <v xml:space="preserve">          4304 - SALES RETURN NON TAXABLE-DIGIT</v>
      </c>
      <c r="C81" s="23"/>
      <c r="D81" s="2">
        <f>-452.05</f>
        <v>-452.05</v>
      </c>
      <c r="E81" s="2">
        <f>-5500.68</f>
        <v>-5500.68</v>
      </c>
      <c r="F81" s="2">
        <f>-7456.63</f>
        <v>-7456.63</v>
      </c>
      <c r="G81" s="2">
        <f>-692.75</f>
        <v>-692.75</v>
      </c>
      <c r="H81" s="2"/>
      <c r="I81" s="2"/>
      <c r="J81" s="2"/>
      <c r="K81" s="2"/>
      <c r="L81" s="2"/>
      <c r="M81" s="2"/>
      <c r="N81" s="2"/>
      <c r="O81" s="2"/>
      <c r="Q81" s="2">
        <f>SUM(OSRRefD11_70x)+IFERROR(SUM(OSRRefE11_70x),0)</f>
        <v>-14102.11</v>
      </c>
    </row>
    <row r="82" spans="1:17" s="9" customFormat="1" hidden="1" outlineLevel="1" x14ac:dyDescent="0.25">
      <c r="A82" s="22"/>
      <c r="B82" s="13" t="str">
        <f>CONCATENATE("          ","4340", " - ","SALES RETURN NON TAXABLE-LOGO")</f>
        <v xml:space="preserve">          4340 - SALES RETURN NON TAXABLE-LOGO</v>
      </c>
      <c r="C82" s="23"/>
      <c r="D82" s="2">
        <f>-434.24</f>
        <v>-434.24</v>
      </c>
      <c r="E82" s="2">
        <f>-69.9</f>
        <v>-69.900000000000006</v>
      </c>
      <c r="F82" s="2">
        <f>-36.9</f>
        <v>-36.9</v>
      </c>
      <c r="G82" s="2">
        <f>-195.69</f>
        <v>-195.69</v>
      </c>
      <c r="H82" s="2"/>
      <c r="I82" s="2"/>
      <c r="J82" s="2"/>
      <c r="K82" s="2"/>
      <c r="L82" s="2"/>
      <c r="M82" s="2"/>
      <c r="N82" s="2"/>
      <c r="O82" s="2"/>
      <c r="Q82" s="2">
        <f>SUM(OSRRefD11_71x)+IFERROR(SUM(OSRRefE11_71x),0)</f>
        <v>-736.73</v>
      </c>
    </row>
    <row r="83" spans="1:17" s="9" customFormat="1" hidden="1" outlineLevel="1" x14ac:dyDescent="0.25">
      <c r="A83" s="22"/>
      <c r="B83" s="13" t="str">
        <f>CONCATENATE("          ","4341", " - ","SALES RETURN NON TAXABLE-LOGO")</f>
        <v xml:space="preserve">          4341 - SALES RETURN NON TAXABLE-LOGO</v>
      </c>
      <c r="C83" s="23"/>
      <c r="D83" s="2">
        <f>-16.95</f>
        <v>-16.95</v>
      </c>
      <c r="E83" s="2">
        <f>0</f>
        <v>0</v>
      </c>
      <c r="F83" s="2">
        <f>-129.95</f>
        <v>-129.94999999999999</v>
      </c>
      <c r="G83" s="2">
        <f t="shared" ref="G83:G85" si="11">0</f>
        <v>0</v>
      </c>
      <c r="H83" s="2"/>
      <c r="I83" s="2"/>
      <c r="J83" s="2"/>
      <c r="K83" s="2"/>
      <c r="L83" s="2"/>
      <c r="M83" s="2"/>
      <c r="N83" s="2"/>
      <c r="O83" s="2"/>
      <c r="Q83" s="2">
        <f>SUM(OSRRefD11_72x)+IFERROR(SUM(OSRRefE11_72x),0)</f>
        <v>-146.89999999999998</v>
      </c>
    </row>
    <row r="84" spans="1:17" s="9" customFormat="1" hidden="1" outlineLevel="1" x14ac:dyDescent="0.25">
      <c r="A84" s="22"/>
      <c r="B84" s="13" t="str">
        <f>CONCATENATE("          ","4342", " - ","SALES RETURN NON TAXABLE-EVERY")</f>
        <v xml:space="preserve">          4342 - SALES RETURN NON TAXABLE-EVERY</v>
      </c>
      <c r="C84" s="23"/>
      <c r="D84" s="2">
        <f>-79.85</f>
        <v>-79.849999999999994</v>
      </c>
      <c r="E84" s="2">
        <f>-13.9</f>
        <v>-13.9</v>
      </c>
      <c r="F84" s="2">
        <f>-24.95</f>
        <v>-24.95</v>
      </c>
      <c r="G84" s="2">
        <f t="shared" si="11"/>
        <v>0</v>
      </c>
      <c r="H84" s="2"/>
      <c r="I84" s="2"/>
      <c r="J84" s="2"/>
      <c r="K84" s="2"/>
      <c r="L84" s="2"/>
      <c r="M84" s="2"/>
      <c r="N84" s="2"/>
      <c r="O84" s="2"/>
      <c r="Q84" s="2">
        <f>SUM(OSRRefD11_73x)+IFERROR(SUM(OSRRefE11_73x),0)</f>
        <v>-118.7</v>
      </c>
    </row>
    <row r="85" spans="1:17" s="9" customFormat="1" hidden="1" outlineLevel="1" x14ac:dyDescent="0.25">
      <c r="A85" s="22"/>
      <c r="B85" s="13" t="str">
        <f>CONCATENATE("          ","4381", " - ","SALES RETURN NON TAXABLE-ELECT")</f>
        <v xml:space="preserve">          4381 - SALES RETURN NON TAXABLE-ELECT</v>
      </c>
      <c r="C85" s="23"/>
      <c r="D85" s="2">
        <f>-1749</f>
        <v>-1749</v>
      </c>
      <c r="E85" s="2">
        <f>-3625.2</f>
        <v>-3625.2</v>
      </c>
      <c r="F85" s="2">
        <f>-249.95</f>
        <v>-249.95</v>
      </c>
      <c r="G85" s="2">
        <f t="shared" si="11"/>
        <v>0</v>
      </c>
      <c r="H85" s="2"/>
      <c r="I85" s="2"/>
      <c r="J85" s="2"/>
      <c r="K85" s="2"/>
      <c r="L85" s="2"/>
      <c r="M85" s="2"/>
      <c r="N85" s="2"/>
      <c r="O85" s="2"/>
      <c r="Q85" s="2">
        <f>SUM(OSRRefD11_74x)+IFERROR(SUM(OSRRefE11_74x),0)</f>
        <v>-5624.15</v>
      </c>
    </row>
    <row r="86" spans="1:17" x14ac:dyDescent="0.25">
      <c r="A86" s="5"/>
      <c r="B86" s="8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9" customFormat="1" collapsed="1" x14ac:dyDescent="0.25">
      <c r="A87" s="22"/>
      <c r="B87" s="16" t="s">
        <v>290</v>
      </c>
      <c r="C87" s="23"/>
      <c r="D87" s="3">
        <f>SUM(OSRRefD14x_0)</f>
        <v>325351.27000000014</v>
      </c>
      <c r="E87" s="3">
        <f>SUM(OSRRefD14x_1)</f>
        <v>1559887.0600000003</v>
      </c>
      <c r="F87" s="3">
        <f>SUM(OSRRefD14x_2)</f>
        <v>493273.1</v>
      </c>
      <c r="G87" s="3">
        <f>SUM(OSRRefD14x_3)</f>
        <v>243193.50000000003</v>
      </c>
      <c r="H87" s="3">
        <f>SUM(OSRRefE14x_0)</f>
        <v>286237</v>
      </c>
      <c r="I87" s="3">
        <f>SUM(OSRRefE14x_1)</f>
        <v>235045</v>
      </c>
      <c r="J87" s="3">
        <f>SUM(OSRRefE14x_2)</f>
        <v>936949</v>
      </c>
      <c r="K87" s="3">
        <f>SUM(OSRRefE14x_3)</f>
        <v>333632</v>
      </c>
      <c r="L87" s="3">
        <f>SUM(OSRRefE14x_4)</f>
        <v>242490</v>
      </c>
      <c r="M87" s="3">
        <f>SUM(OSRRefE14x_5)</f>
        <v>381656</v>
      </c>
      <c r="N87" s="3">
        <f>SUM(OSRRefE14x_6)</f>
        <v>304206</v>
      </c>
      <c r="O87" s="3">
        <f>SUM(OSRRefE14x_7)</f>
        <v>425227</v>
      </c>
      <c r="Q87" s="3">
        <f>SUM(OSRRefG14x)</f>
        <v>5767146.9299999978</v>
      </c>
    </row>
    <row r="88" spans="1:17" s="9" customFormat="1" hidden="1" outlineLevel="1" x14ac:dyDescent="0.25">
      <c r="A88" s="22"/>
      <c r="B88" s="13" t="str">
        <f>CONCATENATE("          ","5000", " - ","PURCHASES @ COST")</f>
        <v xml:space="preserve">          5000 - PURCHASES @ COST</v>
      </c>
      <c r="C88" s="23"/>
      <c r="D88" s="2"/>
      <c r="E88" s="2"/>
      <c r="F88" s="2"/>
      <c r="G88" s="2"/>
      <c r="H88" s="2">
        <v>286237</v>
      </c>
      <c r="I88" s="2">
        <v>235045</v>
      </c>
      <c r="J88" s="2">
        <v>936949</v>
      </c>
      <c r="K88" s="2">
        <v>333632</v>
      </c>
      <c r="L88" s="2">
        <v>242490</v>
      </c>
      <c r="M88" s="2">
        <v>381656</v>
      </c>
      <c r="N88" s="2">
        <v>304206</v>
      </c>
      <c r="O88" s="2">
        <v>425227</v>
      </c>
      <c r="Q88" s="2">
        <f>SUM(OSRRefD14_0x)+IFERROR(SUM(OSRRefE14_0x),0)</f>
        <v>3145442</v>
      </c>
    </row>
    <row r="89" spans="1:17" s="9" customFormat="1" hidden="1" outlineLevel="1" x14ac:dyDescent="0.25">
      <c r="A89" s="22"/>
      <c r="B89" s="13" t="str">
        <f>CONCATENATE("          ","5001", " - ","PURCHASES @ COST-NEW TEXT")</f>
        <v xml:space="preserve">          5001 - PURCHASES @ COST-NEW TEXT</v>
      </c>
      <c r="C89" s="23"/>
      <c r="D89" s="2">
        <v>153110.63</v>
      </c>
      <c r="E89" s="2">
        <v>538222.14</v>
      </c>
      <c r="F89" s="2">
        <v>602088.99</v>
      </c>
      <c r="G89" s="2">
        <v>55775.07</v>
      </c>
      <c r="H89" s="2"/>
      <c r="I89" s="2"/>
      <c r="J89" s="2"/>
      <c r="K89" s="2"/>
      <c r="L89" s="2"/>
      <c r="M89" s="2"/>
      <c r="N89" s="2"/>
      <c r="O89" s="2"/>
      <c r="Q89" s="2">
        <f>SUM(OSRRefD14_1x)+IFERROR(SUM(OSRRefE14_1x),0)</f>
        <v>1349196.83</v>
      </c>
    </row>
    <row r="90" spans="1:17" s="9" customFormat="1" hidden="1" outlineLevel="1" x14ac:dyDescent="0.25">
      <c r="A90" s="22"/>
      <c r="B90" s="13" t="str">
        <f>CONCATENATE("          ","5002", " - ","PURCHASES @ COST-USED TEXT")</f>
        <v xml:space="preserve">          5002 - PURCHASES @ COST-USED TEXT</v>
      </c>
      <c r="C90" s="23"/>
      <c r="D90" s="2">
        <v>60324.850000000006</v>
      </c>
      <c r="E90" s="2">
        <v>128042.67</v>
      </c>
      <c r="F90" s="2">
        <v>108363.86</v>
      </c>
      <c r="G90" s="2">
        <v>6331.95</v>
      </c>
      <c r="H90" s="2"/>
      <c r="I90" s="2"/>
      <c r="J90" s="2"/>
      <c r="K90" s="2"/>
      <c r="L90" s="2"/>
      <c r="M90" s="2"/>
      <c r="N90" s="2"/>
      <c r="O90" s="2"/>
      <c r="Q90" s="2">
        <f>SUM(OSRRefD14_2x)+IFERROR(SUM(OSRRefE14_2x),0)</f>
        <v>303063.33</v>
      </c>
    </row>
    <row r="91" spans="1:17" s="9" customFormat="1" hidden="1" outlineLevel="1" x14ac:dyDescent="0.25">
      <c r="A91" s="22"/>
      <c r="B91" s="13" t="str">
        <f>CONCATENATE("          ","5003", " - ","PURCHASES @ COST-RENTAL TEXT")</f>
        <v xml:space="preserve">          5003 - PURCHASES @ COST-RENTAL TEXT</v>
      </c>
      <c r="C91" s="23"/>
      <c r="D91" s="2">
        <v>-11926.64</v>
      </c>
      <c r="E91" s="2">
        <v>58.8</v>
      </c>
      <c r="F91" s="2">
        <v>781.74</v>
      </c>
      <c r="G91" s="2">
        <v>10600.69</v>
      </c>
      <c r="H91" s="2"/>
      <c r="I91" s="2"/>
      <c r="J91" s="2"/>
      <c r="K91" s="2"/>
      <c r="L91" s="2"/>
      <c r="M91" s="2"/>
      <c r="N91" s="2"/>
      <c r="O91" s="2"/>
      <c r="Q91" s="2">
        <f>SUM(OSRRefD14_3x)+IFERROR(SUM(OSRRefE14_3x),0)</f>
        <v>-485.40999999999985</v>
      </c>
    </row>
    <row r="92" spans="1:17" s="9" customFormat="1" hidden="1" outlineLevel="1" x14ac:dyDescent="0.25">
      <c r="A92" s="22"/>
      <c r="B92" s="13" t="str">
        <f>CONCATENATE("          ","5004", " - ","PURCHASES @ COST-DIGITAL TEXT")</f>
        <v xml:space="preserve">          5004 - PURCHASES @ COST-DIGITAL TEXT</v>
      </c>
      <c r="C92" s="23"/>
      <c r="D92" s="2">
        <v>4925.4799999999996</v>
      </c>
      <c r="E92" s="2">
        <v>117504.49</v>
      </c>
      <c r="F92" s="2">
        <v>60186.1</v>
      </c>
      <c r="G92" s="2">
        <v>12903.46</v>
      </c>
      <c r="H92" s="2"/>
      <c r="I92" s="2"/>
      <c r="J92" s="2"/>
      <c r="K92" s="2"/>
      <c r="L92" s="2"/>
      <c r="M92" s="2"/>
      <c r="N92" s="2"/>
      <c r="O92" s="2"/>
      <c r="Q92" s="2">
        <f>SUM(OSRRefD14_4x)+IFERROR(SUM(OSRRefE14_4x),0)</f>
        <v>195519.53</v>
      </c>
    </row>
    <row r="93" spans="1:17" s="9" customFormat="1" hidden="1" outlineLevel="1" x14ac:dyDescent="0.25">
      <c r="A93" s="22"/>
      <c r="B93" s="13" t="str">
        <f>CONCATENATE("          ","5011", " - ","PURCHASES @ COST-NO VALUE TEXT")</f>
        <v xml:space="preserve">          5011 - PURCHASES @ COST-NO VALUE TEXT</v>
      </c>
      <c r="C93" s="23"/>
      <c r="D93" s="2"/>
      <c r="E93" s="2"/>
      <c r="F93" s="2"/>
      <c r="G93" s="2">
        <v>67.17</v>
      </c>
      <c r="H93" s="2"/>
      <c r="I93" s="2"/>
      <c r="J93" s="2"/>
      <c r="K93" s="2"/>
      <c r="L93" s="2"/>
      <c r="M93" s="2"/>
      <c r="N93" s="2"/>
      <c r="O93" s="2"/>
      <c r="Q93" s="2">
        <f>SUM(OSRRefD14_5x)+IFERROR(SUM(OSRRefE14_5x),0)</f>
        <v>67.17</v>
      </c>
    </row>
    <row r="94" spans="1:17" s="9" customFormat="1" hidden="1" outlineLevel="1" x14ac:dyDescent="0.25">
      <c r="A94" s="22"/>
      <c r="B94" s="13" t="str">
        <f>CONCATENATE("          ","5013", " - ","PURCHASES @ COST-TRADE BOOKS")</f>
        <v xml:space="preserve">          5013 - PURCHASES @ COST-TRADE BOOKS</v>
      </c>
      <c r="C94" s="23"/>
      <c r="D94" s="2">
        <v>108.54</v>
      </c>
      <c r="E94" s="2"/>
      <c r="F94" s="2">
        <v>-9.36</v>
      </c>
      <c r="G94" s="2">
        <v>1384.46</v>
      </c>
      <c r="H94" s="2"/>
      <c r="I94" s="2"/>
      <c r="J94" s="2"/>
      <c r="K94" s="2"/>
      <c r="L94" s="2"/>
      <c r="M94" s="2"/>
      <c r="N94" s="2"/>
      <c r="O94" s="2"/>
      <c r="Q94" s="2">
        <f>SUM(OSRRefD14_6x)+IFERROR(SUM(OSRRefE14_6x),0)</f>
        <v>1483.64</v>
      </c>
    </row>
    <row r="95" spans="1:17" s="9" customFormat="1" hidden="1" outlineLevel="1" x14ac:dyDescent="0.25">
      <c r="A95" s="22"/>
      <c r="B95" s="13" t="str">
        <f>CONCATENATE("          ","5014", " - ","PURCHASES @ COST-REMAINDERS")</f>
        <v xml:space="preserve">          5014 - PURCHASES @ COST-REMAINDERS</v>
      </c>
      <c r="C95" s="23"/>
      <c r="D95" s="2">
        <v>-12.51</v>
      </c>
      <c r="E95" s="2"/>
      <c r="F95" s="2"/>
      <c r="G95" s="2">
        <v>102.92</v>
      </c>
      <c r="H95" s="2"/>
      <c r="I95" s="2"/>
      <c r="J95" s="2"/>
      <c r="K95" s="2"/>
      <c r="L95" s="2"/>
      <c r="M95" s="2"/>
      <c r="N95" s="2"/>
      <c r="O95" s="2"/>
      <c r="Q95" s="2">
        <f>SUM(OSRRefD14_7x)+IFERROR(SUM(OSRRefE14_7x),0)</f>
        <v>90.41</v>
      </c>
    </row>
    <row r="96" spans="1:17" s="9" customFormat="1" hidden="1" outlineLevel="1" x14ac:dyDescent="0.25">
      <c r="A96" s="22"/>
      <c r="B96" s="13" t="str">
        <f>CONCATENATE("          ","5025", " - ","PURCHASES @ COST-TEST FORMS")</f>
        <v xml:space="preserve">          5025 - PURCHASES @ COST-TEST FORMS</v>
      </c>
      <c r="C96" s="23"/>
      <c r="D96" s="2"/>
      <c r="E96" s="2"/>
      <c r="F96" s="2"/>
      <c r="G96" s="2">
        <v>599.29</v>
      </c>
      <c r="H96" s="2"/>
      <c r="I96" s="2"/>
      <c r="J96" s="2"/>
      <c r="K96" s="2"/>
      <c r="L96" s="2"/>
      <c r="M96" s="2"/>
      <c r="N96" s="2"/>
      <c r="O96" s="2"/>
      <c r="Q96" s="2">
        <f>SUM(OSRRefD14_8x)+IFERROR(SUM(OSRRefE14_8x),0)</f>
        <v>599.29</v>
      </c>
    </row>
    <row r="97" spans="1:17" s="9" customFormat="1" hidden="1" outlineLevel="1" x14ac:dyDescent="0.25">
      <c r="A97" s="22"/>
      <c r="B97" s="13" t="str">
        <f>CONCATENATE("          ","5026", " - ","PURCHASES @ COST-WRITING INSTR")</f>
        <v xml:space="preserve">          5026 - PURCHASES @ COST-WRITING INSTR</v>
      </c>
      <c r="C97" s="23"/>
      <c r="D97" s="2"/>
      <c r="E97" s="2"/>
      <c r="F97" s="2"/>
      <c r="G97" s="2">
        <v>380.02</v>
      </c>
      <c r="H97" s="2"/>
      <c r="I97" s="2"/>
      <c r="J97" s="2"/>
      <c r="K97" s="2"/>
      <c r="L97" s="2"/>
      <c r="M97" s="2"/>
      <c r="N97" s="2"/>
      <c r="O97" s="2"/>
      <c r="Q97" s="2">
        <f>SUM(OSRRefD14_9x)+IFERROR(SUM(OSRRefE14_9x),0)</f>
        <v>380.02</v>
      </c>
    </row>
    <row r="98" spans="1:17" s="9" customFormat="1" hidden="1" outlineLevel="1" x14ac:dyDescent="0.25">
      <c r="A98" s="22"/>
      <c r="B98" s="13" t="str">
        <f>CONCATENATE("          ","5027", " - ","PURCHASES @ COST-SCHOOL SUPPLI")</f>
        <v xml:space="preserve">          5027 - PURCHASES @ COST-SCHOOL SUPPLI</v>
      </c>
      <c r="C98" s="23"/>
      <c r="D98" s="2">
        <v>8503.4</v>
      </c>
      <c r="E98" s="2"/>
      <c r="F98" s="2"/>
      <c r="G98" s="2">
        <v>10567.95</v>
      </c>
      <c r="H98" s="2"/>
      <c r="I98" s="2"/>
      <c r="J98" s="2"/>
      <c r="K98" s="2"/>
      <c r="L98" s="2"/>
      <c r="M98" s="2"/>
      <c r="N98" s="2"/>
      <c r="O98" s="2"/>
      <c r="Q98" s="2">
        <f>SUM(OSRRefD14_10x)+IFERROR(SUM(OSRRefE14_10x),0)</f>
        <v>19071.349999999999</v>
      </c>
    </row>
    <row r="99" spans="1:17" s="9" customFormat="1" hidden="1" outlineLevel="1" x14ac:dyDescent="0.25">
      <c r="A99" s="22"/>
      <c r="B99" s="13" t="str">
        <f>CONCATENATE("          ","5028", " - ","PURCHASES @ COST-ART/TECH")</f>
        <v xml:space="preserve">          5028 - PURCHASES @ COST-ART/TECH</v>
      </c>
      <c r="C99" s="23"/>
      <c r="D99" s="2"/>
      <c r="E99" s="2"/>
      <c r="F99" s="2">
        <v>-83.4</v>
      </c>
      <c r="G99" s="2">
        <v>41425.96</v>
      </c>
      <c r="H99" s="2"/>
      <c r="I99" s="2"/>
      <c r="J99" s="2"/>
      <c r="K99" s="2"/>
      <c r="L99" s="2"/>
      <c r="M99" s="2"/>
      <c r="N99" s="2"/>
      <c r="O99" s="2"/>
      <c r="Q99" s="2">
        <f>SUM(OSRRefD14_11x)+IFERROR(SUM(OSRRefE14_11x),0)</f>
        <v>41342.559999999998</v>
      </c>
    </row>
    <row r="100" spans="1:17" s="9" customFormat="1" hidden="1" outlineLevel="1" x14ac:dyDescent="0.25">
      <c r="A100" s="22"/>
      <c r="B100" s="13" t="str">
        <f>CONCATENATE("          ","5031", " - ","PURCHASES @ COST-FOOD")</f>
        <v xml:space="preserve">          5031 - PURCHASES @ COST-FOOD</v>
      </c>
      <c r="C100" s="23"/>
      <c r="D100" s="2"/>
      <c r="E100" s="2"/>
      <c r="F100" s="2">
        <v>4065.92</v>
      </c>
      <c r="G100" s="2">
        <v>4469.18</v>
      </c>
      <c r="H100" s="2"/>
      <c r="I100" s="2"/>
      <c r="J100" s="2"/>
      <c r="K100" s="2"/>
      <c r="L100" s="2"/>
      <c r="M100" s="2"/>
      <c r="N100" s="2"/>
      <c r="O100" s="2"/>
      <c r="Q100" s="2">
        <f>SUM(OSRRefD14_12x)+IFERROR(SUM(OSRRefE14_12x),0)</f>
        <v>8535.1</v>
      </c>
    </row>
    <row r="101" spans="1:17" s="9" customFormat="1" hidden="1" outlineLevel="1" x14ac:dyDescent="0.25">
      <c r="A101" s="22"/>
      <c r="B101" s="13" t="str">
        <f>CONCATENATE("          ","5040", " - ","PURCHASES @ COST-LOGO CLOTHING")</f>
        <v xml:space="preserve">          5040 - PURCHASES @ COST-LOGO CLOTHING</v>
      </c>
      <c r="C101" s="23"/>
      <c r="D101" s="2">
        <v>1723.07</v>
      </c>
      <c r="E101" s="2">
        <v>7628.83</v>
      </c>
      <c r="F101" s="2">
        <v>4398.1499999999996</v>
      </c>
      <c r="G101" s="2">
        <v>25420.9</v>
      </c>
      <c r="H101" s="2"/>
      <c r="I101" s="2"/>
      <c r="J101" s="2"/>
      <c r="K101" s="2"/>
      <c r="L101" s="2"/>
      <c r="M101" s="2"/>
      <c r="N101" s="2"/>
      <c r="O101" s="2"/>
      <c r="Q101" s="2">
        <f>SUM(OSRRefD14_13x)+IFERROR(SUM(OSRRefE14_13x),0)</f>
        <v>39170.949999999997</v>
      </c>
    </row>
    <row r="102" spans="1:17" s="9" customFormat="1" hidden="1" outlineLevel="1" x14ac:dyDescent="0.25">
      <c r="A102" s="22"/>
      <c r="B102" s="13" t="str">
        <f>CONCATENATE("          ","5041", " - ","PURCHASES @ COST-LOGO GIFTS")</f>
        <v xml:space="preserve">          5041 - PURCHASES @ COST-LOGO GIFTS</v>
      </c>
      <c r="C102" s="23"/>
      <c r="D102" s="2">
        <v>-713.75</v>
      </c>
      <c r="E102" s="2">
        <v>1843.29</v>
      </c>
      <c r="F102" s="2">
        <v>868</v>
      </c>
      <c r="G102" s="2">
        <v>15289.8</v>
      </c>
      <c r="H102" s="2"/>
      <c r="I102" s="2"/>
      <c r="J102" s="2"/>
      <c r="K102" s="2"/>
      <c r="L102" s="2"/>
      <c r="M102" s="2"/>
      <c r="N102" s="2"/>
      <c r="O102" s="2"/>
      <c r="Q102" s="2">
        <f>SUM(OSRRefD14_14x)+IFERROR(SUM(OSRRefE14_14x),0)</f>
        <v>17287.34</v>
      </c>
    </row>
    <row r="103" spans="1:17" s="9" customFormat="1" hidden="1" outlineLevel="1" x14ac:dyDescent="0.25">
      <c r="A103" s="22"/>
      <c r="B103" s="13" t="str">
        <f>CONCATENATE("          ","5042", " - ","PURCHASES @ COST-EVERYDAY GIFT")</f>
        <v xml:space="preserve">          5042 - PURCHASES @ COST-EVERYDAY GIFT</v>
      </c>
      <c r="C103" s="23"/>
      <c r="D103" s="2">
        <v>236.16</v>
      </c>
      <c r="E103" s="2">
        <v>732.99</v>
      </c>
      <c r="F103" s="2">
        <v>522</v>
      </c>
      <c r="G103" s="2">
        <v>9421.5300000000007</v>
      </c>
      <c r="H103" s="2"/>
      <c r="I103" s="2"/>
      <c r="J103" s="2"/>
      <c r="K103" s="2"/>
      <c r="L103" s="2"/>
      <c r="M103" s="2"/>
      <c r="N103" s="2"/>
      <c r="O103" s="2"/>
      <c r="Q103" s="2">
        <f>SUM(OSRRefD14_15x)+IFERROR(SUM(OSRRefE14_15x),0)</f>
        <v>10912.68</v>
      </c>
    </row>
    <row r="104" spans="1:17" s="9" customFormat="1" hidden="1" outlineLevel="1" x14ac:dyDescent="0.25">
      <c r="A104" s="22"/>
      <c r="B104" s="13" t="str">
        <f>CONCATENATE("          ","5043", " - ","PURCHASES @ COST-CARDS")</f>
        <v xml:space="preserve">          5043 - PURCHASES @ COST-CARDS</v>
      </c>
      <c r="C104" s="23"/>
      <c r="D104" s="2">
        <v>308.7</v>
      </c>
      <c r="E104" s="2">
        <v>1406.55</v>
      </c>
      <c r="F104" s="2">
        <v>1401</v>
      </c>
      <c r="G104" s="2">
        <v>2526.75</v>
      </c>
      <c r="H104" s="2"/>
      <c r="I104" s="2"/>
      <c r="J104" s="2"/>
      <c r="K104" s="2"/>
      <c r="L104" s="2"/>
      <c r="M104" s="2"/>
      <c r="N104" s="2"/>
      <c r="O104" s="2"/>
      <c r="Q104" s="2">
        <f>SUM(OSRRefD14_16x)+IFERROR(SUM(OSRRefE14_16x),0)</f>
        <v>5643</v>
      </c>
    </row>
    <row r="105" spans="1:17" s="9" customFormat="1" hidden="1" outlineLevel="1" x14ac:dyDescent="0.25">
      <c r="A105" s="22"/>
      <c r="B105" s="13" t="str">
        <f>CONCATENATE("          ","5045", " - ","PURCHASES @ COST-SPECIAL ORDER")</f>
        <v xml:space="preserve">          5045 - PURCHASES @ COST-SPECIAL ORDER</v>
      </c>
      <c r="C105" s="23"/>
      <c r="D105" s="2">
        <v>2756.21</v>
      </c>
      <c r="E105" s="2">
        <v>5633.96</v>
      </c>
      <c r="F105" s="2">
        <v>52784.12</v>
      </c>
      <c r="G105" s="2">
        <v>10080.23</v>
      </c>
      <c r="H105" s="2"/>
      <c r="I105" s="2"/>
      <c r="J105" s="2"/>
      <c r="K105" s="2"/>
      <c r="L105" s="2"/>
      <c r="M105" s="2"/>
      <c r="N105" s="2"/>
      <c r="O105" s="2"/>
      <c r="Q105" s="2">
        <f>SUM(OSRRefD14_17x)+IFERROR(SUM(OSRRefE14_17x),0)</f>
        <v>71254.52</v>
      </c>
    </row>
    <row r="106" spans="1:17" s="9" customFormat="1" hidden="1" outlineLevel="1" x14ac:dyDescent="0.25">
      <c r="A106" s="22"/>
      <c r="B106" s="13" t="str">
        <f>CONCATENATE("          ","5081", " - ","PURCHASES @ COST-ELECTRONICS")</f>
        <v xml:space="preserve">          5081 - PURCHASES @ COST-ELECTRONICS</v>
      </c>
      <c r="C106" s="23"/>
      <c r="D106" s="2">
        <v>6676.92</v>
      </c>
      <c r="E106" s="2">
        <v>745.55</v>
      </c>
      <c r="F106" s="2">
        <v>8274.98</v>
      </c>
      <c r="G106" s="2">
        <v>6249.76</v>
      </c>
      <c r="H106" s="2"/>
      <c r="I106" s="2"/>
      <c r="J106" s="2"/>
      <c r="K106" s="2"/>
      <c r="L106" s="2"/>
      <c r="M106" s="2"/>
      <c r="N106" s="2"/>
      <c r="O106" s="2"/>
      <c r="Q106" s="2">
        <f>SUM(OSRRefD14_18x)+IFERROR(SUM(OSRRefE14_18x),0)</f>
        <v>21947.21</v>
      </c>
    </row>
    <row r="107" spans="1:17" s="9" customFormat="1" hidden="1" outlineLevel="1" x14ac:dyDescent="0.25">
      <c r="A107" s="22"/>
      <c r="B107" s="13" t="str">
        <f>CONCATENATE("          ","5082", " - ","PURCHASES @ COST-COMPUTER HARD")</f>
        <v xml:space="preserve">          5082 - PURCHASES @ COST-COMPUTER HARD</v>
      </c>
      <c r="C107" s="23"/>
      <c r="D107" s="2">
        <v>186472.57</v>
      </c>
      <c r="E107" s="2">
        <v>56751.23</v>
      </c>
      <c r="F107" s="2">
        <v>470149.41</v>
      </c>
      <c r="G107" s="2">
        <v>175404.87</v>
      </c>
      <c r="H107" s="2"/>
      <c r="I107" s="2"/>
      <c r="J107" s="2"/>
      <c r="K107" s="2"/>
      <c r="L107" s="2"/>
      <c r="M107" s="2"/>
      <c r="N107" s="2"/>
      <c r="O107" s="2"/>
      <c r="Q107" s="2">
        <f>SUM(OSRRefD14_19x)+IFERROR(SUM(OSRRefE14_19x),0)</f>
        <v>888778.08</v>
      </c>
    </row>
    <row r="108" spans="1:17" s="9" customFormat="1" hidden="1" outlineLevel="1" x14ac:dyDescent="0.25">
      <c r="A108" s="22"/>
      <c r="B108" s="13" t="str">
        <f>CONCATENATE("          ","5083", " - ","PURCHASES @ COST-COMPUTER EQUI")</f>
        <v xml:space="preserve">          5083 - PURCHASES @ COST-COMPUTER EQUI</v>
      </c>
      <c r="C108" s="23"/>
      <c r="D108" s="2">
        <v>29938.300000000003</v>
      </c>
      <c r="E108" s="2">
        <v>7340.55</v>
      </c>
      <c r="F108" s="2">
        <v>24155.15</v>
      </c>
      <c r="G108" s="2">
        <v>11838.95</v>
      </c>
      <c r="H108" s="2"/>
      <c r="I108" s="2"/>
      <c r="J108" s="2"/>
      <c r="K108" s="2"/>
      <c r="L108" s="2"/>
      <c r="M108" s="2"/>
      <c r="N108" s="2"/>
      <c r="O108" s="2"/>
      <c r="Q108" s="2">
        <f>SUM(OSRRefD14_20x)+IFERROR(SUM(OSRRefE14_20x),0)</f>
        <v>73272.950000000012</v>
      </c>
    </row>
    <row r="109" spans="1:17" s="9" customFormat="1" hidden="1" outlineLevel="1" x14ac:dyDescent="0.25">
      <c r="A109" s="22"/>
      <c r="B109" s="13" t="str">
        <f>CONCATENATE("          ","5085", " - ","PURCHASES @ COST-SOFTWARE")</f>
        <v xml:space="preserve">          5085 - PURCHASES @ COST-SOFTWARE</v>
      </c>
      <c r="C109" s="23"/>
      <c r="D109" s="2">
        <v>3864.34</v>
      </c>
      <c r="E109" s="2">
        <v>2364.2199999999998</v>
      </c>
      <c r="F109" s="2">
        <v>8609.1200000000008</v>
      </c>
      <c r="G109" s="2">
        <v>5843.52</v>
      </c>
      <c r="H109" s="2"/>
      <c r="I109" s="2"/>
      <c r="J109" s="2"/>
      <c r="K109" s="2"/>
      <c r="L109" s="2"/>
      <c r="M109" s="2"/>
      <c r="N109" s="2"/>
      <c r="O109" s="2"/>
      <c r="Q109" s="2">
        <f>SUM(OSRRefD14_21x)+IFERROR(SUM(OSRRefE14_21x),0)</f>
        <v>20681.2</v>
      </c>
    </row>
    <row r="110" spans="1:17" s="9" customFormat="1" hidden="1" outlineLevel="1" x14ac:dyDescent="0.25">
      <c r="A110" s="22"/>
      <c r="B110" s="13" t="str">
        <f>CONCATENATE("          ","5086", " - ","PURCHASES @ COST-COMPUTER SUPP")</f>
        <v xml:space="preserve">          5086 - PURCHASES @ COST-COMPUTER SUPP</v>
      </c>
      <c r="C110" s="23"/>
      <c r="D110" s="2">
        <v>87.25</v>
      </c>
      <c r="E110" s="2">
        <v>21649.96</v>
      </c>
      <c r="F110" s="2">
        <v>18.760000000000002</v>
      </c>
      <c r="G110" s="2">
        <v>773.47</v>
      </c>
      <c r="H110" s="2"/>
      <c r="I110" s="2"/>
      <c r="J110" s="2"/>
      <c r="K110" s="2"/>
      <c r="L110" s="2"/>
      <c r="M110" s="2"/>
      <c r="N110" s="2"/>
      <c r="O110" s="2"/>
      <c r="Q110" s="2">
        <f>SUM(OSRRefD14_22x)+IFERROR(SUM(OSRRefE14_22x),0)</f>
        <v>22529.439999999999</v>
      </c>
    </row>
    <row r="111" spans="1:17" s="9" customFormat="1" hidden="1" outlineLevel="1" x14ac:dyDescent="0.25">
      <c r="A111" s="22"/>
      <c r="B111" s="13" t="str">
        <f>CONCATENATE("          ","5200", " - ","PURCHASES OFFSET")</f>
        <v xml:space="preserve">          5200 - PURCHASES OFFSET</v>
      </c>
      <c r="C111" s="23"/>
      <c r="D111" s="2">
        <v>-442822.05</v>
      </c>
      <c r="E111" s="2">
        <v>-586112.93000000005</v>
      </c>
      <c r="F111" s="2">
        <v>-1333358.52</v>
      </c>
      <c r="G111" s="2">
        <v>-434415.86</v>
      </c>
      <c r="H111" s="2"/>
      <c r="I111" s="2"/>
      <c r="J111" s="2"/>
      <c r="K111" s="2"/>
      <c r="L111" s="2"/>
      <c r="M111" s="2"/>
      <c r="N111" s="2"/>
      <c r="O111" s="2"/>
      <c r="Q111" s="2">
        <f>SUM(OSRRefD14_23x)+IFERROR(SUM(OSRRefE14_23x),0)</f>
        <v>-2796709.36</v>
      </c>
    </row>
    <row r="112" spans="1:17" s="9" customFormat="1" hidden="1" outlineLevel="1" x14ac:dyDescent="0.25">
      <c r="A112" s="22"/>
      <c r="B112" s="13" t="str">
        <f>CONCATENATE("          ","5300", " - ","COG$ OFFSET")</f>
        <v xml:space="preserve">          5300 - COG$ OFFSET</v>
      </c>
      <c r="C112" s="23"/>
      <c r="D112" s="2">
        <v>319584</v>
      </c>
      <c r="E112" s="2">
        <v>1248893</v>
      </c>
      <c r="F112" s="2">
        <v>466553</v>
      </c>
      <c r="G112" s="2">
        <v>241934</v>
      </c>
      <c r="H112" s="2"/>
      <c r="I112" s="2"/>
      <c r="J112" s="2"/>
      <c r="K112" s="2"/>
      <c r="L112" s="2"/>
      <c r="M112" s="2"/>
      <c r="N112" s="2"/>
      <c r="O112" s="2"/>
      <c r="Q112" s="2">
        <f>SUM(OSRRefD14_24x)+IFERROR(SUM(OSRRefE14_24x),0)</f>
        <v>2276964</v>
      </c>
    </row>
    <row r="113" spans="1:17" s="9" customFormat="1" hidden="1" outlineLevel="1" x14ac:dyDescent="0.25">
      <c r="A113" s="22"/>
      <c r="B113" s="13" t="str">
        <f>CONCATENATE("          ","5501", " - ","FREIGHT-IN-NEW TEXT")</f>
        <v xml:space="preserve">          5501 - FREIGHT-IN-NEW TEXT</v>
      </c>
      <c r="C113" s="23"/>
      <c r="D113" s="2">
        <v>802.72</v>
      </c>
      <c r="E113" s="2">
        <v>4680.5600000000004</v>
      </c>
      <c r="F113" s="2">
        <v>5279.6</v>
      </c>
      <c r="G113" s="2">
        <v>23295.74</v>
      </c>
      <c r="H113" s="2"/>
      <c r="I113" s="2"/>
      <c r="J113" s="2"/>
      <c r="K113" s="2"/>
      <c r="L113" s="2"/>
      <c r="M113" s="2"/>
      <c r="N113" s="2"/>
      <c r="O113" s="2"/>
      <c r="Q113" s="2">
        <f>SUM(OSRRefD14_25x)+IFERROR(SUM(OSRRefE14_25x),0)</f>
        <v>34058.620000000003</v>
      </c>
    </row>
    <row r="114" spans="1:17" s="9" customFormat="1" hidden="1" outlineLevel="1" x14ac:dyDescent="0.25">
      <c r="A114" s="22"/>
      <c r="B114" s="13" t="str">
        <f>CONCATENATE("          ","5502", " - ","FREIGHT-IN-USED TEXT")</f>
        <v xml:space="preserve">          5502 - FREIGHT-IN-USED TEXT</v>
      </c>
      <c r="C114" s="23"/>
      <c r="D114" s="2">
        <v>47.89</v>
      </c>
      <c r="E114" s="2">
        <v>1186.6600000000001</v>
      </c>
      <c r="F114" s="2">
        <v>7276.27</v>
      </c>
      <c r="G114" s="2">
        <v>2233.9</v>
      </c>
      <c r="H114" s="2"/>
      <c r="I114" s="2"/>
      <c r="J114" s="2"/>
      <c r="K114" s="2"/>
      <c r="L114" s="2"/>
      <c r="M114" s="2"/>
      <c r="N114" s="2"/>
      <c r="O114" s="2"/>
      <c r="Q114" s="2">
        <f>SUM(OSRRefD14_26x)+IFERROR(SUM(OSRRefE14_26x),0)</f>
        <v>10744.72</v>
      </c>
    </row>
    <row r="115" spans="1:17" s="9" customFormat="1" hidden="1" outlineLevel="1" x14ac:dyDescent="0.25">
      <c r="A115" s="22"/>
      <c r="B115" s="13" t="str">
        <f>CONCATENATE("          ","5504", " - ","FREIGHT-IN-DIGITAL TEXT")</f>
        <v xml:space="preserve">          5504 - FREIGHT-IN-DIGITAL TEXT</v>
      </c>
      <c r="C115" s="23"/>
      <c r="D115" s="2"/>
      <c r="E115" s="2"/>
      <c r="F115" s="2">
        <v>10.99</v>
      </c>
      <c r="G115" s="2">
        <v>10.99</v>
      </c>
      <c r="H115" s="2"/>
      <c r="I115" s="2"/>
      <c r="J115" s="2"/>
      <c r="K115" s="2"/>
      <c r="L115" s="2"/>
      <c r="M115" s="2"/>
      <c r="N115" s="2"/>
      <c r="O115" s="2"/>
      <c r="Q115" s="2">
        <f>SUM(OSRRefD14_27x)+IFERROR(SUM(OSRRefE14_27x),0)</f>
        <v>21.98</v>
      </c>
    </row>
    <row r="116" spans="1:17" s="9" customFormat="1" hidden="1" outlineLevel="1" x14ac:dyDescent="0.25">
      <c r="A116" s="22"/>
      <c r="B116" s="13" t="str">
        <f>CONCATENATE("          ","5525", " - ","FREIGHT-IN-TEST FORMS")</f>
        <v xml:space="preserve">          5525 - FREIGHT-IN-TEST FORMS</v>
      </c>
      <c r="C116" s="23"/>
      <c r="D116" s="2"/>
      <c r="E116" s="2"/>
      <c r="F116" s="2"/>
      <c r="G116" s="2">
        <v>48.14</v>
      </c>
      <c r="H116" s="2"/>
      <c r="I116" s="2"/>
      <c r="J116" s="2"/>
      <c r="K116" s="2"/>
      <c r="L116" s="2"/>
      <c r="M116" s="2"/>
      <c r="N116" s="2"/>
      <c r="O116" s="2"/>
      <c r="Q116" s="2">
        <f>SUM(OSRRefD14_28x)+IFERROR(SUM(OSRRefE14_28x),0)</f>
        <v>48.14</v>
      </c>
    </row>
    <row r="117" spans="1:17" s="9" customFormat="1" hidden="1" outlineLevel="1" x14ac:dyDescent="0.25">
      <c r="A117" s="22"/>
      <c r="B117" s="13" t="str">
        <f>CONCATENATE("          ","5527", " - ","FREIGHT-IN-SCHOOL SUPPLIES")</f>
        <v xml:space="preserve">          5527 - FREIGHT-IN-SCHOOL SUPPLIES</v>
      </c>
      <c r="C117" s="23"/>
      <c r="D117" s="2"/>
      <c r="E117" s="2"/>
      <c r="F117" s="2"/>
      <c r="G117" s="2">
        <v>56</v>
      </c>
      <c r="H117" s="2"/>
      <c r="I117" s="2"/>
      <c r="J117" s="2"/>
      <c r="K117" s="2"/>
      <c r="L117" s="2"/>
      <c r="M117" s="2"/>
      <c r="N117" s="2"/>
      <c r="O117" s="2"/>
      <c r="Q117" s="2">
        <f>SUM(OSRRefD14_29x)+IFERROR(SUM(OSRRefE14_29x),0)</f>
        <v>56</v>
      </c>
    </row>
    <row r="118" spans="1:17" s="9" customFormat="1" hidden="1" outlineLevel="1" x14ac:dyDescent="0.25">
      <c r="A118" s="22"/>
      <c r="B118" s="13" t="str">
        <f>CONCATENATE("          ","5528", " - ","FREIGHT-IN-ART/TECH")</f>
        <v xml:space="preserve">          5528 - FREIGHT-IN-ART/TECH</v>
      </c>
      <c r="C118" s="23"/>
      <c r="D118" s="2">
        <v>38.049999999999997</v>
      </c>
      <c r="E118" s="2"/>
      <c r="F118" s="2">
        <v>6.76</v>
      </c>
      <c r="G118" s="2">
        <v>239.39</v>
      </c>
      <c r="H118" s="2"/>
      <c r="I118" s="2"/>
      <c r="J118" s="2"/>
      <c r="K118" s="2"/>
      <c r="L118" s="2"/>
      <c r="M118" s="2"/>
      <c r="N118" s="2"/>
      <c r="O118" s="2"/>
      <c r="Q118" s="2">
        <f>SUM(OSRRefD14_30x)+IFERROR(SUM(OSRRefE14_30x),0)</f>
        <v>284.2</v>
      </c>
    </row>
    <row r="119" spans="1:17" s="9" customFormat="1" hidden="1" outlineLevel="1" x14ac:dyDescent="0.25">
      <c r="A119" s="22"/>
      <c r="B119" s="13" t="str">
        <f>CONCATENATE("          ","5540", " - ","FREIGHT-IN-LOGO CLOTHING")</f>
        <v xml:space="preserve">          5540 - FREIGHT-IN-LOGO CLOTHING</v>
      </c>
      <c r="C119" s="23"/>
      <c r="D119" s="2">
        <v>909.83</v>
      </c>
      <c r="E119" s="2">
        <v>1021.7</v>
      </c>
      <c r="F119" s="2">
        <v>234.23</v>
      </c>
      <c r="G119" s="2">
        <v>1036.57</v>
      </c>
      <c r="H119" s="2"/>
      <c r="I119" s="2"/>
      <c r="J119" s="2"/>
      <c r="K119" s="2"/>
      <c r="L119" s="2"/>
      <c r="M119" s="2"/>
      <c r="N119" s="2"/>
      <c r="O119" s="2"/>
      <c r="Q119" s="2">
        <f>SUM(OSRRefD14_31x)+IFERROR(SUM(OSRRefE14_31x),0)</f>
        <v>3202.33</v>
      </c>
    </row>
    <row r="120" spans="1:17" s="9" customFormat="1" hidden="1" outlineLevel="1" x14ac:dyDescent="0.25">
      <c r="A120" s="22"/>
      <c r="B120" s="13" t="str">
        <f>CONCATENATE("          ","5541", " - ","FREIGHT-IN-LOGO GIFTS")</f>
        <v xml:space="preserve">          5541 - FREIGHT-IN-LOGO GIFTS</v>
      </c>
      <c r="C120" s="23"/>
      <c r="D120" s="2">
        <v>83.58</v>
      </c>
      <c r="E120" s="2">
        <v>123.12</v>
      </c>
      <c r="F120" s="2">
        <v>154.41</v>
      </c>
      <c r="G120" s="2">
        <v>773.7</v>
      </c>
      <c r="H120" s="2"/>
      <c r="I120" s="2"/>
      <c r="J120" s="2"/>
      <c r="K120" s="2"/>
      <c r="L120" s="2"/>
      <c r="M120" s="2"/>
      <c r="N120" s="2"/>
      <c r="O120" s="2"/>
      <c r="Q120" s="2">
        <f>SUM(OSRRefD14_32x)+IFERROR(SUM(OSRRefE14_32x),0)</f>
        <v>1134.81</v>
      </c>
    </row>
    <row r="121" spans="1:17" s="9" customFormat="1" hidden="1" outlineLevel="1" x14ac:dyDescent="0.25">
      <c r="A121" s="22"/>
      <c r="B121" s="13" t="str">
        <f>CONCATENATE("          ","5542", " - ","FREIGHT-IN-EVERYDAY GIFTS")</f>
        <v xml:space="preserve">          5542 - FREIGHT-IN-EVERYDAY GIFTS</v>
      </c>
      <c r="C121" s="23"/>
      <c r="D121" s="2">
        <v>5.94</v>
      </c>
      <c r="E121" s="2"/>
      <c r="F121" s="2">
        <v>65.44</v>
      </c>
      <c r="G121" s="2">
        <v>104.17</v>
      </c>
      <c r="H121" s="2"/>
      <c r="I121" s="2"/>
      <c r="J121" s="2"/>
      <c r="K121" s="2"/>
      <c r="L121" s="2"/>
      <c r="M121" s="2"/>
      <c r="N121" s="2"/>
      <c r="O121" s="2"/>
      <c r="Q121" s="2">
        <f>SUM(OSRRefD14_33x)+IFERROR(SUM(OSRRefE14_33x),0)</f>
        <v>175.55</v>
      </c>
    </row>
    <row r="122" spans="1:17" s="9" customFormat="1" hidden="1" outlineLevel="1" x14ac:dyDescent="0.25">
      <c r="A122" s="22"/>
      <c r="B122" s="13" t="str">
        <f>CONCATENATE("          ","5543", " - ","FREIGHT-IN-CARDS")</f>
        <v xml:space="preserve">          5543 - FREIGHT-IN-CARDS</v>
      </c>
      <c r="C122" s="23"/>
      <c r="D122" s="2"/>
      <c r="E122" s="2"/>
      <c r="F122" s="2">
        <v>81.77</v>
      </c>
      <c r="G122" s="2">
        <v>107.42</v>
      </c>
      <c r="H122" s="2"/>
      <c r="I122" s="2"/>
      <c r="J122" s="2"/>
      <c r="K122" s="2"/>
      <c r="L122" s="2"/>
      <c r="M122" s="2"/>
      <c r="N122" s="2"/>
      <c r="O122" s="2"/>
      <c r="Q122" s="2">
        <f>SUM(OSRRefD14_34x)+IFERROR(SUM(OSRRefE14_34x),0)</f>
        <v>189.19</v>
      </c>
    </row>
    <row r="123" spans="1:17" s="9" customFormat="1" hidden="1" outlineLevel="1" x14ac:dyDescent="0.25">
      <c r="A123" s="22"/>
      <c r="B123" s="13" t="str">
        <f>CONCATENATE("          ","5545", " - ","FREIGHT-IN-SPECIAL ORDERS")</f>
        <v xml:space="preserve">          5545 - FREIGHT-IN-SPECIAL ORDERS</v>
      </c>
      <c r="C123" s="23"/>
      <c r="D123" s="2">
        <v>300.39999999999998</v>
      </c>
      <c r="E123" s="2">
        <v>145.6</v>
      </c>
      <c r="F123" s="2">
        <v>214.61</v>
      </c>
      <c r="G123" s="2">
        <v>189.66</v>
      </c>
      <c r="H123" s="2"/>
      <c r="I123" s="2"/>
      <c r="J123" s="2"/>
      <c r="K123" s="2"/>
      <c r="L123" s="2"/>
      <c r="M123" s="2"/>
      <c r="N123" s="2"/>
      <c r="O123" s="2"/>
      <c r="Q123" s="2">
        <f>SUM(OSRRefD14_35x)+IFERROR(SUM(OSRRefE14_35x),0)</f>
        <v>850.27</v>
      </c>
    </row>
    <row r="124" spans="1:17" s="9" customFormat="1" hidden="1" outlineLevel="1" x14ac:dyDescent="0.25">
      <c r="A124" s="22"/>
      <c r="B124" s="13" t="str">
        <f>CONCATENATE("          ","5582", " - ","FREIGHT-IN-COMPUTER HARDWARE")</f>
        <v xml:space="preserve">          5582 - FREIGHT-IN-COMPUTER HARDWARE</v>
      </c>
      <c r="C124" s="23"/>
      <c r="D124" s="2"/>
      <c r="E124" s="2"/>
      <c r="F124" s="2">
        <v>24</v>
      </c>
      <c r="G124" s="2">
        <v>70</v>
      </c>
      <c r="H124" s="2"/>
      <c r="I124" s="2"/>
      <c r="J124" s="2"/>
      <c r="K124" s="2"/>
      <c r="L124" s="2"/>
      <c r="M124" s="2"/>
      <c r="N124" s="2"/>
      <c r="O124" s="2"/>
      <c r="Q124" s="2">
        <f>SUM(OSRRefD14_36x)+IFERROR(SUM(OSRRefE14_36x),0)</f>
        <v>94</v>
      </c>
    </row>
    <row r="125" spans="1:17" s="9" customFormat="1" hidden="1" outlineLevel="1" x14ac:dyDescent="0.25">
      <c r="A125" s="22"/>
      <c r="B125" s="13" t="str">
        <f>CONCATENATE("          ","5583", " - ","FREIGHT-IN-COMPUTER EQUIPMENT")</f>
        <v xml:space="preserve">          5583 - FREIGHT-IN-COMPUTER EQUIPMENT</v>
      </c>
      <c r="C125" s="23"/>
      <c r="D125" s="2">
        <v>17.39</v>
      </c>
      <c r="E125" s="2"/>
      <c r="F125" s="2">
        <v>156</v>
      </c>
      <c r="G125" s="2">
        <v>51.78</v>
      </c>
      <c r="H125" s="2"/>
      <c r="I125" s="2"/>
      <c r="J125" s="2"/>
      <c r="K125" s="2"/>
      <c r="L125" s="2"/>
      <c r="M125" s="2"/>
      <c r="N125" s="2"/>
      <c r="O125" s="2"/>
      <c r="Q125" s="2">
        <f>SUM(OSRRefD14_37x)+IFERROR(SUM(OSRRefE14_37x),0)</f>
        <v>225.17</v>
      </c>
    </row>
    <row r="126" spans="1:17" s="9" customFormat="1" hidden="1" outlineLevel="1" x14ac:dyDescent="0.25">
      <c r="A126" s="22"/>
      <c r="B126" s="13" t="str">
        <f>CONCATENATE("          ","5586", " - ","FREIGHT-IN-COMPUTER SUPPLIES")</f>
        <v xml:space="preserve">          5586 - FREIGHT-IN-COMPUTER SUPPLIES</v>
      </c>
      <c r="C126" s="23"/>
      <c r="D126" s="2"/>
      <c r="E126" s="2">
        <v>24.12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Q126" s="2">
        <f>SUM(OSRRefD14_38x)+IFERROR(SUM(OSRRefE14_38x),0)</f>
        <v>24.12</v>
      </c>
    </row>
    <row r="127" spans="1:17" x14ac:dyDescent="0.25">
      <c r="A127" s="5"/>
      <c r="B127" s="8"/>
      <c r="C127" s="8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Q127" s="3"/>
    </row>
    <row r="128" spans="1:17" s="14" customFormat="1" x14ac:dyDescent="0.25">
      <c r="A128" s="8"/>
      <c r="B128" s="17" t="s">
        <v>6</v>
      </c>
      <c r="C128" s="17"/>
      <c r="D128" s="6">
        <f t="shared" ref="D128:O128" si="12">IFERROR(+D10-D87, 0)</f>
        <v>110283.04999999993</v>
      </c>
      <c r="E128" s="6">
        <f t="shared" si="12"/>
        <v>528873.17000000062</v>
      </c>
      <c r="F128" s="6">
        <f t="shared" si="12"/>
        <v>139518.31000000029</v>
      </c>
      <c r="G128" s="6">
        <f t="shared" si="12"/>
        <v>89752.329999999871</v>
      </c>
      <c r="H128" s="6">
        <f t="shared" si="12"/>
        <v>147867.20000000001</v>
      </c>
      <c r="I128" s="6">
        <f t="shared" si="12"/>
        <v>146613</v>
      </c>
      <c r="J128" s="6">
        <f t="shared" si="12"/>
        <v>380082.40000000014</v>
      </c>
      <c r="K128" s="6">
        <f t="shared" si="12"/>
        <v>162702.69999999995</v>
      </c>
      <c r="L128" s="6">
        <f t="shared" si="12"/>
        <v>131186.29999999999</v>
      </c>
      <c r="M128" s="6">
        <f t="shared" si="12"/>
        <v>132373.54999999999</v>
      </c>
      <c r="N128" s="6">
        <f t="shared" si="12"/>
        <v>170835.8</v>
      </c>
      <c r="O128" s="6">
        <f t="shared" si="12"/>
        <v>155129.90000000002</v>
      </c>
      <c r="Q128" s="6">
        <f>IFERROR(+Q10-Q87, 0)</f>
        <v>2295217.7099999981</v>
      </c>
    </row>
    <row r="129" spans="1:17" s="8" customFormat="1" x14ac:dyDescent="0.25">
      <c r="B129" s="16"/>
      <c r="C129" s="16"/>
      <c r="D129" s="4">
        <f t="shared" ref="D129:O129" si="13">IFERROR(D128/D10, 0)</f>
        <v>0.25315510036032035</v>
      </c>
      <c r="E129" s="4">
        <f t="shared" si="13"/>
        <v>0.25319955943435424</v>
      </c>
      <c r="F129" s="4">
        <f t="shared" si="13"/>
        <v>0.22048072681644054</v>
      </c>
      <c r="G129" s="4">
        <f t="shared" si="13"/>
        <v>0.2695703682487926</v>
      </c>
      <c r="H129" s="4">
        <f t="shared" si="13"/>
        <v>0.34062605245468719</v>
      </c>
      <c r="I129" s="4">
        <f t="shared" si="13"/>
        <v>0.38414758763081081</v>
      </c>
      <c r="J129" s="4">
        <f t="shared" si="13"/>
        <v>0.28859023406731238</v>
      </c>
      <c r="K129" s="4">
        <f t="shared" si="13"/>
        <v>0.3278084324952496</v>
      </c>
      <c r="L129" s="4">
        <f t="shared" si="13"/>
        <v>0.35106936136972022</v>
      </c>
      <c r="M129" s="4">
        <f t="shared" si="13"/>
        <v>0.25752128452537404</v>
      </c>
      <c r="N129" s="4">
        <f t="shared" si="13"/>
        <v>0.35962266899460216</v>
      </c>
      <c r="O129" s="4">
        <f t="shared" si="13"/>
        <v>0.26730086262436098</v>
      </c>
      <c r="P129" s="18"/>
      <c r="Q129" s="4">
        <f>IFERROR(Q128/Q10, 0)</f>
        <v>0.28468294507701641</v>
      </c>
    </row>
    <row r="130" spans="1:17" x14ac:dyDescent="0.25">
      <c r="A130" s="5"/>
      <c r="B130" s="8"/>
      <c r="C130" s="5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Q130" s="1"/>
    </row>
    <row r="131" spans="1:17" s="14" customFormat="1" x14ac:dyDescent="0.25">
      <c r="A131" s="8"/>
      <c r="B131" s="16" t="s">
        <v>291</v>
      </c>
      <c r="C131" s="8"/>
      <c r="D131" s="10">
        <f>SUM(OSRRefD20x_0)</f>
        <v>330380.46000000008</v>
      </c>
      <c r="E131" s="10">
        <f>SUM(OSRRefD20x_1)</f>
        <v>239023.70999999996</v>
      </c>
      <c r="F131" s="10">
        <f>SUM(OSRRefD20x_2)</f>
        <v>272125.67000000004</v>
      </c>
      <c r="G131" s="10">
        <f>SUM(OSRRefD20x_3)</f>
        <v>335616.08</v>
      </c>
      <c r="H131" s="10">
        <f>SUM(OSRRefE20x_0)</f>
        <v>301403.27663173078</v>
      </c>
      <c r="I131" s="10">
        <f>SUM(OSRRefE20x_1)</f>
        <v>330084.35228269995</v>
      </c>
      <c r="J131" s="10">
        <f>SUM(OSRRefE20x_2)</f>
        <v>440156.5184211625</v>
      </c>
      <c r="K131" s="10">
        <f>SUM(OSRRefE20x_3)</f>
        <v>338339.84009412001</v>
      </c>
      <c r="L131" s="10">
        <f>SUM(OSRRefE20x_4)</f>
        <v>300796.92838612001</v>
      </c>
      <c r="M131" s="10">
        <f>SUM(OSRRefE20x_5)</f>
        <v>357221.97901096247</v>
      </c>
      <c r="N131" s="10">
        <f>SUM(OSRRefE20x_6)</f>
        <v>321039.61235161999</v>
      </c>
      <c r="O131" s="10">
        <f>SUM(OSRRefE20x_7)</f>
        <v>322894.28815194499</v>
      </c>
      <c r="Q131" s="10">
        <f>SUM(OSRRefG20x)</f>
        <v>3889082.7153303609</v>
      </c>
    </row>
    <row r="132" spans="1:17" s="34" customFormat="1" collapsed="1" x14ac:dyDescent="0.25">
      <c r="A132" s="35"/>
      <c r="B132" s="15" t="str">
        <f>CONCATENATE("     ","*Benefits                                         ")</f>
        <v xml:space="preserve">     *Benefits                                         </v>
      </c>
      <c r="C132" s="15"/>
      <c r="D132" s="1">
        <f>SUM(OSRRefD21_0x_0)</f>
        <v>43394.840000000004</v>
      </c>
      <c r="E132" s="1">
        <f>SUM(OSRRefD21_0x_1)</f>
        <v>48289.410000000011</v>
      </c>
      <c r="F132" s="1">
        <f>SUM(OSRRefD21_0x_2)</f>
        <v>49795.060000000005</v>
      </c>
      <c r="G132" s="1">
        <f>SUM(OSRRefD21_0x_3)</f>
        <v>51389.23000000001</v>
      </c>
      <c r="H132" s="1">
        <f>SUM(OSRRefE21_0x_0)</f>
        <v>48514.679726500006</v>
      </c>
      <c r="I132" s="1">
        <f>SUM(OSRRefE21_0x_1)</f>
        <v>47100.16899285384</v>
      </c>
      <c r="J132" s="1">
        <f>SUM(OSRRefE21_0x_2)</f>
        <v>61233.010760200938</v>
      </c>
      <c r="K132" s="1">
        <f>SUM(OSRRefE21_0x_3)</f>
        <v>49836.580017350767</v>
      </c>
      <c r="L132" s="1">
        <f>SUM(OSRRefE21_0x_4)</f>
        <v>49203.948309350766</v>
      </c>
      <c r="M132" s="1">
        <f>SUM(OSRRefE21_0x_5)</f>
        <v>56694.348840000937</v>
      </c>
      <c r="N132" s="1">
        <f>SUM(OSRRefE21_0x_6)</f>
        <v>49400.63657485076</v>
      </c>
      <c r="O132" s="1">
        <f>SUM(OSRRefE21_0x_7)</f>
        <v>51483.059675175762</v>
      </c>
      <c r="Q132" s="2">
        <f>SUM(OSRRefD20_0x)+IFERROR(SUM(OSRRefE20_0x),0)</f>
        <v>606334.97289628373</v>
      </c>
    </row>
    <row r="133" spans="1:17" s="34" customFormat="1" hidden="1" outlineLevel="1" x14ac:dyDescent="0.25">
      <c r="A133" s="35"/>
      <c r="B133" s="13" t="str">
        <f>CONCATENATE("          ","6111", " - ","F.I.C.A.")</f>
        <v xml:space="preserve">          6111 - F.I.C.A.</v>
      </c>
      <c r="C133" s="15"/>
      <c r="D133" s="2">
        <v>7986.74</v>
      </c>
      <c r="E133" s="2">
        <v>11355.03</v>
      </c>
      <c r="F133" s="2">
        <v>11834.62</v>
      </c>
      <c r="G133" s="2">
        <v>13030.49</v>
      </c>
      <c r="H133" s="2">
        <v>7837.0143245769277</v>
      </c>
      <c r="I133" s="2">
        <v>7661.837272315388</v>
      </c>
      <c r="J133" s="2">
        <v>11085.935328193265</v>
      </c>
      <c r="K133" s="2">
        <v>7957.8353968546189</v>
      </c>
      <c r="L133" s="2">
        <v>7957.8353968546189</v>
      </c>
      <c r="M133" s="2">
        <v>9947.2942460682643</v>
      </c>
      <c r="N133" s="2">
        <v>8023.1824506046187</v>
      </c>
      <c r="O133" s="2">
        <v>10972.669887679618</v>
      </c>
      <c r="P133" s="9"/>
      <c r="Q133" s="2">
        <f>SUM(OSRRefD21_0_0x)+IFERROR(SUM(OSRRefE21_0_0x),0)</f>
        <v>115650.48430314733</v>
      </c>
    </row>
    <row r="134" spans="1:17" s="34" customFormat="1" hidden="1" outlineLevel="1" x14ac:dyDescent="0.25">
      <c r="A134" s="35"/>
      <c r="B134" s="13" t="str">
        <f>CONCATENATE("          ","6112", " - ","COMPENSATION INSURANCE")</f>
        <v xml:space="preserve">          6112 - COMPENSATION INSURANCE</v>
      </c>
      <c r="C134" s="15"/>
      <c r="D134" s="2">
        <v>1832.08</v>
      </c>
      <c r="E134" s="2">
        <v>2455.96</v>
      </c>
      <c r="F134" s="2">
        <v>4238.91</v>
      </c>
      <c r="G134" s="2">
        <v>1900.4</v>
      </c>
      <c r="H134" s="2">
        <v>2934.2197519230758</v>
      </c>
      <c r="I134" s="2">
        <v>3112.7447803846121</v>
      </c>
      <c r="J134" s="2">
        <v>5418.6194052692299</v>
      </c>
      <c r="K134" s="2">
        <v>3442.8181223653819</v>
      </c>
      <c r="L134" s="2">
        <v>3133.3079423653821</v>
      </c>
      <c r="M134" s="2">
        <v>3820.8387251442327</v>
      </c>
      <c r="N134" s="2">
        <v>3195.6241286153831</v>
      </c>
      <c r="O134" s="2">
        <v>2689.2200673653851</v>
      </c>
      <c r="P134" s="9"/>
      <c r="Q134" s="2">
        <f>SUM(OSRRefD21_0_1x)+IFERROR(SUM(OSRRefE21_0_1x),0)</f>
        <v>38174.742923432685</v>
      </c>
    </row>
    <row r="135" spans="1:17" s="34" customFormat="1" hidden="1" outlineLevel="1" x14ac:dyDescent="0.25">
      <c r="A135" s="35"/>
      <c r="B135" s="13" t="str">
        <f>CONCATENATE("          ","6113", " - ","GROUP INSURANCE")</f>
        <v xml:space="preserve">          6113 - GROUP INSURANCE</v>
      </c>
      <c r="C135" s="15"/>
      <c r="D135" s="2">
        <v>14504.37</v>
      </c>
      <c r="E135" s="2">
        <v>16571.080000000002</v>
      </c>
      <c r="F135" s="2">
        <v>15816.609999999999</v>
      </c>
      <c r="G135" s="2">
        <v>15836.910000000002</v>
      </c>
      <c r="H135" s="2">
        <v>20213.846153846156</v>
      </c>
      <c r="I135" s="2">
        <v>19458.846153846149</v>
      </c>
      <c r="J135" s="2">
        <v>21147.307692307681</v>
      </c>
      <c r="K135" s="2">
        <v>20213.846153846156</v>
      </c>
      <c r="L135" s="2">
        <v>20213.846153846156</v>
      </c>
      <c r="M135" s="2">
        <v>21147.307692307681</v>
      </c>
      <c r="N135" s="2">
        <v>20213.846153846156</v>
      </c>
      <c r="O135" s="2">
        <v>20213.846153846156</v>
      </c>
      <c r="P135" s="9"/>
      <c r="Q135" s="2">
        <f>SUM(OSRRefD21_0_2x)+IFERROR(SUM(OSRRefE21_0_2x),0)</f>
        <v>225551.66230769228</v>
      </c>
    </row>
    <row r="136" spans="1:17" s="34" customFormat="1" hidden="1" outlineLevel="1" x14ac:dyDescent="0.25">
      <c r="A136" s="35"/>
      <c r="B136" s="13" t="str">
        <f>CONCATENATE("          ","6114", " - ","STATE UNEMPLOYMENT INSURANCE")</f>
        <v xml:space="preserve">          6114 - STATE UNEMPLOYMENT INSURANCE</v>
      </c>
      <c r="C136" s="15"/>
      <c r="D136" s="2">
        <v>289.55</v>
      </c>
      <c r="E136" s="2">
        <v>393.65</v>
      </c>
      <c r="F136" s="2">
        <v>511.26</v>
      </c>
      <c r="G136" s="2">
        <v>324.23</v>
      </c>
      <c r="H136" s="2">
        <v>412.37682999999998</v>
      </c>
      <c r="I136" s="2">
        <v>437.46683400000001</v>
      </c>
      <c r="J136" s="2">
        <v>761.53570019999995</v>
      </c>
      <c r="K136" s="2">
        <v>483.85551990000005</v>
      </c>
      <c r="L136" s="2">
        <v>440.35679190000002</v>
      </c>
      <c r="M136" s="2">
        <v>536.98273975000006</v>
      </c>
      <c r="N136" s="2">
        <v>449.11474240000001</v>
      </c>
      <c r="O136" s="2">
        <v>377.94444190000002</v>
      </c>
      <c r="P136" s="9"/>
      <c r="Q136" s="2">
        <f>SUM(OSRRefD21_0_3x)+IFERROR(SUM(OSRRefE21_0_3x),0)</f>
        <v>5418.3236000500001</v>
      </c>
    </row>
    <row r="137" spans="1:17" s="34" customFormat="1" hidden="1" outlineLevel="1" x14ac:dyDescent="0.25">
      <c r="A137" s="35"/>
      <c r="B137" s="13" t="str">
        <f>CONCATENATE("          ","6115", " - ","P.E.R.S.")</f>
        <v xml:space="preserve">          6115 - P.E.R.S.</v>
      </c>
      <c r="C137" s="15"/>
      <c r="D137" s="2">
        <v>8423.1200000000008</v>
      </c>
      <c r="E137" s="2">
        <v>6331.99</v>
      </c>
      <c r="F137" s="2">
        <v>6106.89</v>
      </c>
      <c r="G137" s="2">
        <v>5115.0600000000004</v>
      </c>
      <c r="H137" s="2">
        <v>5703.6982846153815</v>
      </c>
      <c r="I137" s="2">
        <v>5369.6744169230724</v>
      </c>
      <c r="J137" s="2">
        <v>7223.2275463461565</v>
      </c>
      <c r="K137" s="2">
        <v>5778.5820370769225</v>
      </c>
      <c r="L137" s="2">
        <v>5778.5820370769225</v>
      </c>
      <c r="M137" s="2">
        <v>7223.2275463461565</v>
      </c>
      <c r="N137" s="2">
        <v>5778.5820370769225</v>
      </c>
      <c r="O137" s="2">
        <v>5778.5820370769225</v>
      </c>
      <c r="P137" s="9"/>
      <c r="Q137" s="2">
        <f>SUM(OSRRefD21_0_4x)+IFERROR(SUM(OSRRefE21_0_4x),0)</f>
        <v>74611.21594253846</v>
      </c>
    </row>
    <row r="138" spans="1:17" s="34" customFormat="1" hidden="1" outlineLevel="1" x14ac:dyDescent="0.25">
      <c r="A138" s="35"/>
      <c r="B138" s="13" t="str">
        <f>CONCATENATE("          ","6116", " - ","EDUCATIONAL BENEFITS")</f>
        <v xml:space="preserve">          6116 - EDUCATIONAL BENEFITS</v>
      </c>
      <c r="C138" s="15"/>
      <c r="D138" s="2">
        <v>0</v>
      </c>
      <c r="E138" s="2"/>
      <c r="F138" s="2"/>
      <c r="G138" s="2"/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9"/>
      <c r="Q138" s="2">
        <f>SUM(OSRRefD21_0_5x)+IFERROR(SUM(OSRRefE21_0_5x),0)</f>
        <v>0</v>
      </c>
    </row>
    <row r="139" spans="1:17" s="34" customFormat="1" hidden="1" outlineLevel="1" x14ac:dyDescent="0.25">
      <c r="A139" s="35"/>
      <c r="B139" s="13" t="str">
        <f>CONCATENATE("          ","6117", " - ","RETIREMENT STAFF HOURLY")</f>
        <v xml:space="preserve">          6117 - RETIREMENT STAFF HOURLY</v>
      </c>
      <c r="C139" s="15"/>
      <c r="D139" s="2">
        <v>580.67999999999995</v>
      </c>
      <c r="E139" s="2">
        <v>446.19</v>
      </c>
      <c r="F139" s="2">
        <v>434.71</v>
      </c>
      <c r="G139" s="2">
        <v>378.72</v>
      </c>
      <c r="H139" s="2"/>
      <c r="I139" s="2"/>
      <c r="J139" s="2"/>
      <c r="K139" s="2"/>
      <c r="L139" s="2"/>
      <c r="M139" s="2"/>
      <c r="N139" s="2"/>
      <c r="O139" s="2"/>
      <c r="P139" s="9"/>
      <c r="Q139" s="2">
        <f>SUM(OSRRefD21_0_6x)+IFERROR(SUM(OSRRefE21_0_6x),0)</f>
        <v>1840.3</v>
      </c>
    </row>
    <row r="140" spans="1:17" s="34" customFormat="1" hidden="1" outlineLevel="1" x14ac:dyDescent="0.25">
      <c r="A140" s="35"/>
      <c r="B140" s="13" t="str">
        <f>CONCATENATE("          ","6118", " - ","VACATION")</f>
        <v xml:space="preserve">          6118 - VACATION</v>
      </c>
      <c r="C140" s="15"/>
      <c r="D140" s="2">
        <v>4991.5</v>
      </c>
      <c r="E140" s="2">
        <v>5248.76</v>
      </c>
      <c r="F140" s="2">
        <v>4962.71</v>
      </c>
      <c r="G140" s="2">
        <v>7230.84</v>
      </c>
      <c r="H140" s="2">
        <v>4648.3170938461526</v>
      </c>
      <c r="I140" s="2">
        <v>4408.471170769235</v>
      </c>
      <c r="J140" s="2">
        <v>5891.573935576921</v>
      </c>
      <c r="K140" s="2">
        <v>4713.259148461535</v>
      </c>
      <c r="L140" s="2">
        <v>4713.259148461535</v>
      </c>
      <c r="M140" s="2">
        <v>5891.573935576921</v>
      </c>
      <c r="N140" s="2">
        <v>4713.259148461535</v>
      </c>
      <c r="O140" s="2">
        <v>4713.259148461535</v>
      </c>
      <c r="P140" s="9"/>
      <c r="Q140" s="2">
        <f>SUM(OSRRefD21_0_7x)+IFERROR(SUM(OSRRefE21_0_7x),0)</f>
        <v>62126.78272961537</v>
      </c>
    </row>
    <row r="141" spans="1:17" s="34" customFormat="1" hidden="1" outlineLevel="1" x14ac:dyDescent="0.25">
      <c r="A141" s="35"/>
      <c r="B141" s="13" t="str">
        <f>CONCATENATE("          ","6119", " - ","SICK LEAVE")</f>
        <v xml:space="preserve">          6119 - SICK LEAVE</v>
      </c>
      <c r="C141" s="15"/>
      <c r="D141" s="2">
        <v>3592.55</v>
      </c>
      <c r="E141" s="2">
        <v>3875.78</v>
      </c>
      <c r="F141" s="2">
        <v>3779.84</v>
      </c>
      <c r="G141" s="2">
        <v>5525.85</v>
      </c>
      <c r="H141" s="2">
        <v>4615.2072876923048</v>
      </c>
      <c r="I141" s="2">
        <v>4501.128364615387</v>
      </c>
      <c r="J141" s="2">
        <v>7554.8111523076896</v>
      </c>
      <c r="K141" s="2">
        <v>5096.3836388461505</v>
      </c>
      <c r="L141" s="2">
        <v>4816.7608388461504</v>
      </c>
      <c r="M141" s="2">
        <v>5977.1239548076901</v>
      </c>
      <c r="N141" s="2">
        <v>4877.0279138461501</v>
      </c>
      <c r="O141" s="2">
        <v>4587.5379388461497</v>
      </c>
      <c r="P141" s="9"/>
      <c r="Q141" s="2">
        <f>SUM(OSRRefD21_0_8x)+IFERROR(SUM(OSRRefE21_0_8x),0)</f>
        <v>58800.001089807673</v>
      </c>
    </row>
    <row r="142" spans="1:17" s="34" customFormat="1" hidden="1" outlineLevel="1" x14ac:dyDescent="0.25">
      <c r="A142" s="35"/>
      <c r="B142" s="13" t="str">
        <f>CONCATENATE("          ","6156", " - ","EMPLOYEE MEALS")</f>
        <v xml:space="preserve">          6156 - EMPLOYEE MEALS</v>
      </c>
      <c r="C142" s="15"/>
      <c r="D142" s="2">
        <v>1194.25</v>
      </c>
      <c r="E142" s="2">
        <v>1610.97</v>
      </c>
      <c r="F142" s="2">
        <v>2109.5100000000002</v>
      </c>
      <c r="G142" s="2">
        <v>2046.73</v>
      </c>
      <c r="H142" s="2">
        <v>2150</v>
      </c>
      <c r="I142" s="2">
        <v>2150</v>
      </c>
      <c r="J142" s="2">
        <v>2150</v>
      </c>
      <c r="K142" s="2">
        <v>2150</v>
      </c>
      <c r="L142" s="2">
        <v>2150</v>
      </c>
      <c r="M142" s="2">
        <v>2150</v>
      </c>
      <c r="N142" s="2">
        <v>2150</v>
      </c>
      <c r="O142" s="2">
        <v>2150</v>
      </c>
      <c r="P142" s="9"/>
      <c r="Q142" s="2">
        <f>SUM(OSRRefD21_0_9x)+IFERROR(SUM(OSRRefE21_0_9x),0)</f>
        <v>24161.46</v>
      </c>
    </row>
    <row r="143" spans="1:17" s="34" customFormat="1" collapsed="1" x14ac:dyDescent="0.25">
      <c r="A143" s="35"/>
      <c r="B143" s="15" t="str">
        <f>CONCATENATE("     ","*Payroll                                          ")</f>
        <v xml:space="preserve">     *Payroll                                          </v>
      </c>
      <c r="C143" s="15"/>
      <c r="D143" s="1">
        <f>SUM(OSRRefD21_1x_0)</f>
        <v>126895.38000000002</v>
      </c>
      <c r="E143" s="1">
        <f>SUM(OSRRefD21_1x_1)</f>
        <v>169225.68</v>
      </c>
      <c r="F143" s="1">
        <f>SUM(OSRRefD21_1x_2)</f>
        <v>127866.68000000001</v>
      </c>
      <c r="G143" s="1">
        <f>SUM(OSRRefD21_1x_3)</f>
        <v>126380.26</v>
      </c>
      <c r="H143" s="1">
        <f>SUM(OSRRefE21_1x_0)</f>
        <v>144869.59690523078</v>
      </c>
      <c r="I143" s="1">
        <f>SUM(OSRRefE21_1x_1)</f>
        <v>155018.18328984611</v>
      </c>
      <c r="J143" s="1">
        <f>SUM(OSRRefE21_1x_2)</f>
        <v>274555.50766096159</v>
      </c>
      <c r="K143" s="1">
        <f>SUM(OSRRefE21_1x_3)</f>
        <v>172189.26007676922</v>
      </c>
      <c r="L143" s="1">
        <f>SUM(OSRRefE21_1x_4)</f>
        <v>155458.98007676922</v>
      </c>
      <c r="M143" s="1">
        <f>SUM(OSRRefE21_1x_5)</f>
        <v>189149.63017096155</v>
      </c>
      <c r="N143" s="1">
        <f>SUM(OSRRefE21_1x_6)</f>
        <v>158833.97577676922</v>
      </c>
      <c r="O143" s="1">
        <f>SUM(OSRRefE21_1x_7)</f>
        <v>131497.22847676923</v>
      </c>
      <c r="Q143" s="2">
        <f>SUM(OSRRefD20_1x)+IFERROR(SUM(OSRRefE20_1x),0)</f>
        <v>1931940.3624340768</v>
      </c>
    </row>
    <row r="144" spans="1:17" s="34" customFormat="1" hidden="1" outlineLevel="1" x14ac:dyDescent="0.25">
      <c r="A144" s="35"/>
      <c r="B144" s="13" t="str">
        <f>CONCATENATE("          ","6001", " - ","ADMINISTRATIVE SALARIES")</f>
        <v xml:space="preserve">          6001 - ADMINISTRATIVE SALARIES</v>
      </c>
      <c r="C144" s="15"/>
      <c r="D144" s="2">
        <v>4525.8500000000004</v>
      </c>
      <c r="E144" s="2">
        <v>4205.74</v>
      </c>
      <c r="F144" s="2">
        <v>4205.74</v>
      </c>
      <c r="G144" s="2">
        <v>4205.17</v>
      </c>
      <c r="H144" s="2">
        <v>3807.6923076923099</v>
      </c>
      <c r="I144" s="2">
        <v>0</v>
      </c>
      <c r="J144" s="2">
        <v>4759.6153846153902</v>
      </c>
      <c r="K144" s="2">
        <v>3807.6923076923099</v>
      </c>
      <c r="L144" s="2">
        <v>3807.6923076923099</v>
      </c>
      <c r="M144" s="2">
        <v>4759.6153846153902</v>
      </c>
      <c r="N144" s="2">
        <v>3807.6923076923099</v>
      </c>
      <c r="O144" s="2">
        <v>3807.6923076923099</v>
      </c>
      <c r="P144" s="9"/>
      <c r="Q144" s="2">
        <f>SUM(OSRRefD21_1_0x)+IFERROR(SUM(OSRRefE21_1_0x),0)</f>
        <v>45700.192307692327</v>
      </c>
    </row>
    <row r="145" spans="1:17" s="34" customFormat="1" hidden="1" outlineLevel="1" x14ac:dyDescent="0.25">
      <c r="A145" s="35"/>
      <c r="B145" s="13" t="str">
        <f>CONCATENATE("          ","6002", " - ","STAFF SALARIES")</f>
        <v xml:space="preserve">          6002 - STAFF SALARIES</v>
      </c>
      <c r="C145" s="15"/>
      <c r="D145" s="2">
        <v>67061.47</v>
      </c>
      <c r="E145" s="2">
        <v>56112.83</v>
      </c>
      <c r="F145" s="2">
        <v>55721.020000000004</v>
      </c>
      <c r="G145" s="2">
        <v>57436.28</v>
      </c>
      <c r="H145" s="2">
        <v>51393.169517538452</v>
      </c>
      <c r="I145" s="2">
        <v>51819.378209846116</v>
      </c>
      <c r="J145" s="2">
        <v>65226.136486346179</v>
      </c>
      <c r="K145" s="2">
        <v>52180.909189076912</v>
      </c>
      <c r="L145" s="2">
        <v>52180.909189076912</v>
      </c>
      <c r="M145" s="2">
        <v>65226.136486346179</v>
      </c>
      <c r="N145" s="2">
        <v>52180.909189076912</v>
      </c>
      <c r="O145" s="2">
        <v>52180.909189076912</v>
      </c>
      <c r="P145" s="9"/>
      <c r="Q145" s="2">
        <f>SUM(OSRRefD21_1_1x)+IFERROR(SUM(OSRRefE21_1_1x),0)</f>
        <v>678720.05745638465</v>
      </c>
    </row>
    <row r="146" spans="1:17" s="34" customFormat="1" hidden="1" outlineLevel="1" x14ac:dyDescent="0.25">
      <c r="A146" s="35"/>
      <c r="B146" s="13" t="str">
        <f>CONCATENATE("          ","6003", " - ","STAFF HOURLY-9 MONTH")</f>
        <v xml:space="preserve">          6003 - STAFF HOURLY-9 MONTH</v>
      </c>
      <c r="C146" s="15"/>
      <c r="D146" s="2"/>
      <c r="E146" s="2"/>
      <c r="F146" s="2"/>
      <c r="G146" s="2"/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9"/>
      <c r="Q146" s="2">
        <f>SUM(OSRRefD21_1_2x)+IFERROR(SUM(OSRRefE21_1_2x),0)</f>
        <v>0</v>
      </c>
    </row>
    <row r="147" spans="1:17" s="34" customFormat="1" hidden="1" outlineLevel="1" x14ac:dyDescent="0.25">
      <c r="A147" s="35"/>
      <c r="B147" s="13" t="str">
        <f>CONCATENATE("          ","6004", " - ","STAFF HOURLY")</f>
        <v xml:space="preserve">          6004 - STAFF HOURLY</v>
      </c>
      <c r="C147" s="15"/>
      <c r="D147" s="2">
        <v>18737.27</v>
      </c>
      <c r="E147" s="2">
        <v>17687.32</v>
      </c>
      <c r="F147" s="2">
        <v>19602.670000000002</v>
      </c>
      <c r="G147" s="2">
        <v>21970.18</v>
      </c>
      <c r="H147" s="2">
        <v>34070.870080000001</v>
      </c>
      <c r="I147" s="2">
        <v>35390.870080000001</v>
      </c>
      <c r="J147" s="2">
        <v>43429.975099999996</v>
      </c>
      <c r="K147" s="2">
        <v>34743.980080000001</v>
      </c>
      <c r="L147" s="2">
        <v>34743.980080000001</v>
      </c>
      <c r="M147" s="2">
        <v>43429.975099999996</v>
      </c>
      <c r="N147" s="2">
        <v>34743.980080000001</v>
      </c>
      <c r="O147" s="2">
        <v>34743.980080000001</v>
      </c>
      <c r="P147" s="9"/>
      <c r="Q147" s="2">
        <f>SUM(OSRRefD21_1_3x)+IFERROR(SUM(OSRRefE21_1_3x),0)</f>
        <v>373295.05068000004</v>
      </c>
    </row>
    <row r="148" spans="1:17" s="34" customFormat="1" hidden="1" outlineLevel="1" x14ac:dyDescent="0.25">
      <c r="A148" s="35"/>
      <c r="B148" s="13" t="str">
        <f>CONCATENATE("          ","6005", " - ","TEMPORARY WAGES-HOURLY")</f>
        <v xml:space="preserve">          6005 - TEMPORARY WAGES-HOURLY</v>
      </c>
      <c r="C148" s="15"/>
      <c r="D148" s="2">
        <v>12385.55</v>
      </c>
      <c r="E148" s="2">
        <v>22505.489999999998</v>
      </c>
      <c r="F148" s="2">
        <v>25841.46</v>
      </c>
      <c r="G148" s="2">
        <v>19636.400000000001</v>
      </c>
      <c r="H148" s="2">
        <v>1653</v>
      </c>
      <c r="I148" s="2">
        <v>1909.5</v>
      </c>
      <c r="J148" s="2">
        <v>2964</v>
      </c>
      <c r="K148" s="2">
        <v>1719.12</v>
      </c>
      <c r="L148" s="2">
        <v>1719.12</v>
      </c>
      <c r="M148" s="2">
        <v>2148.9</v>
      </c>
      <c r="N148" s="2">
        <v>1985.88</v>
      </c>
      <c r="O148" s="2">
        <v>1985.88</v>
      </c>
      <c r="P148" s="9"/>
      <c r="Q148" s="2">
        <f>SUM(OSRRefD21_1_4x)+IFERROR(SUM(OSRRefE21_1_4x),0)</f>
        <v>96454.299999999988</v>
      </c>
    </row>
    <row r="149" spans="1:17" s="34" customFormat="1" hidden="1" outlineLevel="1" x14ac:dyDescent="0.25">
      <c r="A149" s="35"/>
      <c r="B149" s="13" t="str">
        <f>CONCATENATE("          ","6006", " - ","TEMPORARY PART TIME")</f>
        <v xml:space="preserve">          6006 - TEMPORARY PART TIME</v>
      </c>
      <c r="C149" s="15"/>
      <c r="D149" s="2">
        <v>2048.21</v>
      </c>
      <c r="E149" s="2">
        <v>1927.34</v>
      </c>
      <c r="F149" s="2">
        <v>1728.86</v>
      </c>
      <c r="G149" s="2">
        <v>1802.76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9"/>
      <c r="Q149" s="2">
        <f>SUM(OSRRefD21_1_5x)+IFERROR(SUM(OSRRefE21_1_5x),0)</f>
        <v>7507.17</v>
      </c>
    </row>
    <row r="150" spans="1:17" s="34" customFormat="1" hidden="1" outlineLevel="1" x14ac:dyDescent="0.25">
      <c r="A150" s="35"/>
      <c r="B150" s="13" t="str">
        <f>CONCATENATE("          ","6007", " - ","STUDENT HOURLY")</f>
        <v xml:space="preserve">          6007 - STUDENT HOURLY</v>
      </c>
      <c r="C150" s="15"/>
      <c r="D150" s="2">
        <v>22137.030000000002</v>
      </c>
      <c r="E150" s="2">
        <v>66353.929999999993</v>
      </c>
      <c r="F150" s="2">
        <v>19711.259999999998</v>
      </c>
      <c r="G150" s="2">
        <v>19853.449999999997</v>
      </c>
      <c r="H150" s="2">
        <v>0</v>
      </c>
      <c r="I150" s="2">
        <v>275</v>
      </c>
      <c r="J150" s="2">
        <v>14878.362499999999</v>
      </c>
      <c r="K150" s="2">
        <v>0</v>
      </c>
      <c r="L150" s="2">
        <v>0</v>
      </c>
      <c r="M150" s="2">
        <v>0</v>
      </c>
      <c r="N150" s="2">
        <v>853.875</v>
      </c>
      <c r="O150" s="2">
        <v>38778.766899999995</v>
      </c>
      <c r="P150" s="9"/>
      <c r="Q150" s="2">
        <f>SUM(OSRRefD21_1_6x)+IFERROR(SUM(OSRRefE21_1_6x),0)</f>
        <v>182841.67439999996</v>
      </c>
    </row>
    <row r="151" spans="1:17" s="34" customFormat="1" hidden="1" outlineLevel="1" x14ac:dyDescent="0.25">
      <c r="A151" s="35"/>
      <c r="B151" s="13" t="str">
        <f>CONCATENATE("          ","6008", " - ","STUDENT HOURLY-FICA EXEMPT")</f>
        <v xml:space="preserve">          6008 - STUDENT HOURLY-FICA EXEMPT</v>
      </c>
      <c r="C151" s="15"/>
      <c r="D151" s="2"/>
      <c r="E151" s="2">
        <v>433.03</v>
      </c>
      <c r="F151" s="2">
        <v>1055.67</v>
      </c>
      <c r="G151" s="2">
        <v>1476.02</v>
      </c>
      <c r="H151" s="2">
        <v>53944.865000000005</v>
      </c>
      <c r="I151" s="2">
        <v>65623.434999999998</v>
      </c>
      <c r="J151" s="2">
        <v>143297.41819</v>
      </c>
      <c r="K151" s="2">
        <v>79737.558499999999</v>
      </c>
      <c r="L151" s="2">
        <v>63007.2785</v>
      </c>
      <c r="M151" s="2">
        <v>73585.003200000006</v>
      </c>
      <c r="N151" s="2">
        <v>65261.639199999998</v>
      </c>
      <c r="O151" s="2">
        <v>0</v>
      </c>
      <c r="P151" s="9"/>
      <c r="Q151" s="2">
        <f>SUM(OSRRefD21_1_7x)+IFERROR(SUM(OSRRefE21_1_7x),0)</f>
        <v>547421.91758999997</v>
      </c>
    </row>
    <row r="152" spans="1:17" s="34" customFormat="1" hidden="1" outlineLevel="1" x14ac:dyDescent="0.25">
      <c r="A152" s="35"/>
      <c r="B152" s="13" t="str">
        <f>CONCATENATE("          ","6009", " - ","TEMPORARY-SEASONAL")</f>
        <v xml:space="preserve">          6009 - TEMPORARY-SEASONAL</v>
      </c>
      <c r="C152" s="15"/>
      <c r="D152" s="2"/>
      <c r="E152" s="2"/>
      <c r="F152" s="2"/>
      <c r="G152" s="2"/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9"/>
      <c r="Q152" s="2">
        <f>SUM(OSRRefD21_1_8x)+IFERROR(SUM(OSRRefE21_1_8x),0)</f>
        <v>0</v>
      </c>
    </row>
    <row r="153" spans="1:17" s="34" customFormat="1" hidden="1" outlineLevel="1" x14ac:dyDescent="0.25">
      <c r="A153" s="35"/>
      <c r="B153" s="13" t="str">
        <f>CONCATENATE("          ","6010", " - ","GRATUITY")</f>
        <v xml:space="preserve">          6010 - GRATUITY</v>
      </c>
      <c r="C153" s="15"/>
      <c r="D153" s="2"/>
      <c r="E153" s="2"/>
      <c r="F153" s="2"/>
      <c r="G153" s="2"/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9"/>
      <c r="Q153" s="2">
        <f>SUM(OSRRefD21_1_9x)+IFERROR(SUM(OSRRefE21_1_9x),0)</f>
        <v>0</v>
      </c>
    </row>
    <row r="154" spans="1:17" s="34" customFormat="1" collapsed="1" x14ac:dyDescent="0.25">
      <c r="A154" s="35"/>
      <c r="B154" s="15" t="str">
        <f>CONCATENATE("     ","Advertising/Promo                                 ")</f>
        <v xml:space="preserve">     Advertising/Promo                                 </v>
      </c>
      <c r="C154" s="15"/>
      <c r="D154" s="1">
        <f>SUM(OSRRefD21_2x_0)</f>
        <v>2740.48</v>
      </c>
      <c r="E154" s="1">
        <f>SUM(OSRRefD21_2x_1)</f>
        <v>9510.6</v>
      </c>
      <c r="F154" s="1">
        <f>SUM(OSRRefD21_2x_2)</f>
        <v>391.39</v>
      </c>
      <c r="G154" s="1">
        <f>SUM(OSRRefD21_2x_3)</f>
        <v>1316.16</v>
      </c>
      <c r="H154" s="1">
        <f>SUM(OSRRefE21_2x_0)</f>
        <v>600</v>
      </c>
      <c r="I154" s="1">
        <f>SUM(OSRRefE21_2x_1)</f>
        <v>950</v>
      </c>
      <c r="J154" s="1">
        <f>SUM(OSRRefE21_2x_2)</f>
        <v>750</v>
      </c>
      <c r="K154" s="1">
        <f>SUM(OSRRefE21_2x_3)</f>
        <v>550</v>
      </c>
      <c r="L154" s="1">
        <f>SUM(OSRRefE21_2x_4)</f>
        <v>600</v>
      </c>
      <c r="M154" s="1">
        <f>SUM(OSRRefE21_2x_5)</f>
        <v>550</v>
      </c>
      <c r="N154" s="1">
        <f>SUM(OSRRefE21_2x_6)</f>
        <v>1000</v>
      </c>
      <c r="O154" s="1">
        <f>SUM(OSRRefE21_2x_7)</f>
        <v>550</v>
      </c>
      <c r="Q154" s="2">
        <f>SUM(OSRRefD20_2x)+IFERROR(SUM(OSRRefE20_2x),0)</f>
        <v>19508.629999999997</v>
      </c>
    </row>
    <row r="155" spans="1:17" s="34" customFormat="1" hidden="1" outlineLevel="1" x14ac:dyDescent="0.25">
      <c r="A155" s="35"/>
      <c r="B155" s="13" t="str">
        <f>CONCATENATE("          ","6362", " - ","ADVERTISING EXPENSE")</f>
        <v xml:space="preserve">          6362 - ADVERTISING EXPENSE</v>
      </c>
      <c r="C155" s="15"/>
      <c r="D155" s="2">
        <v>2740.48</v>
      </c>
      <c r="E155" s="2">
        <v>9510.6</v>
      </c>
      <c r="F155" s="2">
        <v>391.39</v>
      </c>
      <c r="G155" s="2">
        <v>1316.16</v>
      </c>
      <c r="H155" s="2">
        <v>600</v>
      </c>
      <c r="I155" s="2">
        <v>950</v>
      </c>
      <c r="J155" s="2">
        <v>750</v>
      </c>
      <c r="K155" s="2">
        <v>550</v>
      </c>
      <c r="L155" s="2">
        <v>600</v>
      </c>
      <c r="M155" s="2">
        <v>550</v>
      </c>
      <c r="N155" s="2">
        <v>1000</v>
      </c>
      <c r="O155" s="2">
        <v>550</v>
      </c>
      <c r="P155" s="9"/>
      <c r="Q155" s="2">
        <f>SUM(OSRRefD21_2_0x)+IFERROR(SUM(OSRRefE21_2_0x),0)</f>
        <v>19508.629999999997</v>
      </c>
    </row>
    <row r="156" spans="1:17" s="34" customFormat="1" collapsed="1" x14ac:dyDescent="0.25">
      <c r="A156" s="35"/>
      <c r="B156" s="15" t="str">
        <f>CONCATENATE("     ","Bad Debts/Over/Short                              ")</f>
        <v xml:space="preserve">     Bad Debts/Over/Short                              </v>
      </c>
      <c r="C156" s="15"/>
      <c r="D156" s="1">
        <f>SUM(OSRRefD21_3x_0)</f>
        <v>4.9800000000000004</v>
      </c>
      <c r="E156" s="1">
        <f>SUM(OSRRefD21_3x_1)</f>
        <v>66.81</v>
      </c>
      <c r="F156" s="1">
        <f>SUM(OSRRefD21_3x_2)</f>
        <v>8.2200000000000006</v>
      </c>
      <c r="G156" s="1">
        <f>SUM(OSRRefD21_3x_3)</f>
        <v>-29.45</v>
      </c>
      <c r="H156" s="1">
        <f>SUM(OSRRefE21_3x_0)</f>
        <v>90</v>
      </c>
      <c r="I156" s="1">
        <f>SUM(OSRRefE21_3x_1)</f>
        <v>90</v>
      </c>
      <c r="J156" s="1">
        <f>SUM(OSRRefE21_3x_2)</f>
        <v>90</v>
      </c>
      <c r="K156" s="1">
        <f>SUM(OSRRefE21_3x_3)</f>
        <v>90</v>
      </c>
      <c r="L156" s="1">
        <f>SUM(OSRRefE21_3x_4)</f>
        <v>90</v>
      </c>
      <c r="M156" s="1">
        <f>SUM(OSRRefE21_3x_5)</f>
        <v>90</v>
      </c>
      <c r="N156" s="1">
        <f>SUM(OSRRefE21_3x_6)</f>
        <v>90</v>
      </c>
      <c r="O156" s="1">
        <f>SUM(OSRRefE21_3x_7)</f>
        <v>90</v>
      </c>
      <c r="Q156" s="2">
        <f>SUM(OSRRefD20_3x)+IFERROR(SUM(OSRRefE20_3x),0)</f>
        <v>770.56</v>
      </c>
    </row>
    <row r="157" spans="1:17" s="34" customFormat="1" hidden="1" outlineLevel="1" x14ac:dyDescent="0.25">
      <c r="A157" s="35"/>
      <c r="B157" s="13" t="str">
        <f>CONCATENATE("          ","6272", " - ","CASH (OVER/SHORT)")</f>
        <v xml:space="preserve">          6272 - CASH (OVER/SHORT)</v>
      </c>
      <c r="C157" s="15"/>
      <c r="D157" s="2">
        <v>4.9800000000000004</v>
      </c>
      <c r="E157" s="2">
        <v>66.81</v>
      </c>
      <c r="F157" s="2">
        <v>8.2200000000000006</v>
      </c>
      <c r="G157" s="2">
        <v>-29.45</v>
      </c>
      <c r="H157" s="2">
        <v>60</v>
      </c>
      <c r="I157" s="2">
        <v>60</v>
      </c>
      <c r="J157" s="2">
        <v>60</v>
      </c>
      <c r="K157" s="2">
        <v>60</v>
      </c>
      <c r="L157" s="2">
        <v>60</v>
      </c>
      <c r="M157" s="2">
        <v>60</v>
      </c>
      <c r="N157" s="2">
        <v>60</v>
      </c>
      <c r="O157" s="2">
        <v>60</v>
      </c>
      <c r="P157" s="9"/>
      <c r="Q157" s="2">
        <f>SUM(OSRRefD21_3_0x)+IFERROR(SUM(OSRRefE21_3_0x),0)</f>
        <v>530.55999999999995</v>
      </c>
    </row>
    <row r="158" spans="1:17" s="34" customFormat="1" hidden="1" outlineLevel="1" x14ac:dyDescent="0.25">
      <c r="A158" s="35"/>
      <c r="B158" s="13" t="str">
        <f>CONCATENATE("          ","6342", " - ","BAD DEBT")</f>
        <v xml:space="preserve">          6342 - BAD DEBT</v>
      </c>
      <c r="C158" s="15"/>
      <c r="D158" s="2"/>
      <c r="E158" s="2"/>
      <c r="F158" s="2"/>
      <c r="G158" s="2"/>
      <c r="H158" s="2">
        <v>30</v>
      </c>
      <c r="I158" s="2">
        <v>30</v>
      </c>
      <c r="J158" s="2">
        <v>30</v>
      </c>
      <c r="K158" s="2">
        <v>30</v>
      </c>
      <c r="L158" s="2">
        <v>30</v>
      </c>
      <c r="M158" s="2">
        <v>30</v>
      </c>
      <c r="N158" s="2">
        <v>30</v>
      </c>
      <c r="O158" s="2">
        <v>30</v>
      </c>
      <c r="P158" s="9"/>
      <c r="Q158" s="2">
        <f>SUM(OSRRefD21_3_1x)+IFERROR(SUM(OSRRefE21_3_1x),0)</f>
        <v>240</v>
      </c>
    </row>
    <row r="159" spans="1:17" s="34" customFormat="1" collapsed="1" x14ac:dyDescent="0.25">
      <c r="A159" s="35"/>
      <c r="B159" s="15" t="str">
        <f>CONCATENATE("     ","Bank/card Fees                                    ")</f>
        <v xml:space="preserve">     Bank/card Fees                                    </v>
      </c>
      <c r="C159" s="15"/>
      <c r="D159" s="1">
        <f>SUM(OSRRefD21_4x_0)</f>
        <v>3117.21</v>
      </c>
      <c r="E159" s="1">
        <f>SUM(OSRRefD21_4x_1)</f>
        <v>22080.34</v>
      </c>
      <c r="F159" s="1">
        <f>SUM(OSRRefD21_4x_2)</f>
        <v>9050.2199999999993</v>
      </c>
      <c r="G159" s="1">
        <f>SUM(OSRRefD21_4x_3)</f>
        <v>4891.9799999999996</v>
      </c>
      <c r="H159" s="1">
        <f>SUM(OSRRefE21_4x_0)</f>
        <v>6600</v>
      </c>
      <c r="I159" s="1">
        <f>SUM(OSRRefE21_4x_1)</f>
        <v>26650</v>
      </c>
      <c r="J159" s="1">
        <f>SUM(OSRRefE21_4x_2)</f>
        <v>12490</v>
      </c>
      <c r="K159" s="1">
        <f>SUM(OSRRefE21_4x_3)</f>
        <v>10600</v>
      </c>
      <c r="L159" s="1">
        <f>SUM(OSRRefE21_4x_4)</f>
        <v>11700</v>
      </c>
      <c r="M159" s="1">
        <f>SUM(OSRRefE21_4x_5)</f>
        <v>12700</v>
      </c>
      <c r="N159" s="1">
        <f>SUM(OSRRefE21_4x_6)</f>
        <v>7000</v>
      </c>
      <c r="O159" s="1">
        <f>SUM(OSRRefE21_4x_7)</f>
        <v>900</v>
      </c>
      <c r="Q159" s="2">
        <f>SUM(OSRRefD20_4x)+IFERROR(SUM(OSRRefE20_4x),0)</f>
        <v>127779.75</v>
      </c>
    </row>
    <row r="160" spans="1:17" s="34" customFormat="1" hidden="1" outlineLevel="1" x14ac:dyDescent="0.25">
      <c r="A160" s="35"/>
      <c r="B160" s="13" t="str">
        <f>CONCATENATE("          ","6381", " - ","BANK/CREDIT CARD FEES")</f>
        <v xml:space="preserve">          6381 - BANK/CREDIT CARD FEES</v>
      </c>
      <c r="C160" s="15"/>
      <c r="D160" s="2">
        <v>3117.21</v>
      </c>
      <c r="E160" s="2">
        <v>22080.34</v>
      </c>
      <c r="F160" s="2">
        <v>9050.2199999999993</v>
      </c>
      <c r="G160" s="2">
        <v>4891.9799999999996</v>
      </c>
      <c r="H160" s="2">
        <v>6600</v>
      </c>
      <c r="I160" s="2">
        <v>26650</v>
      </c>
      <c r="J160" s="2">
        <v>12490</v>
      </c>
      <c r="K160" s="2">
        <v>10600</v>
      </c>
      <c r="L160" s="2">
        <v>11700</v>
      </c>
      <c r="M160" s="2">
        <v>12700</v>
      </c>
      <c r="N160" s="2">
        <v>7000</v>
      </c>
      <c r="O160" s="2">
        <v>900</v>
      </c>
      <c r="P160" s="9"/>
      <c r="Q160" s="2">
        <f>SUM(OSRRefD21_4_0x)+IFERROR(SUM(OSRRefE21_4_0x),0)</f>
        <v>127779.75</v>
      </c>
    </row>
    <row r="161" spans="1:17" s="34" customFormat="1" collapsed="1" x14ac:dyDescent="0.25">
      <c r="A161" s="35"/>
      <c r="B161" s="15" t="str">
        <f>CONCATENATE("     ","Depreciation                                      ")</f>
        <v xml:space="preserve">     Depreciation                                      </v>
      </c>
      <c r="C161" s="15"/>
      <c r="D161" s="1">
        <f>SUM(OSRRefD21_5x_0)</f>
        <v>30627.300000000003</v>
      </c>
      <c r="E161" s="1">
        <f>SUM(OSRRefD21_5x_1)</f>
        <v>31369.769999999997</v>
      </c>
      <c r="F161" s="1">
        <f>SUM(OSRRefD21_5x_2)</f>
        <v>31347.279999999999</v>
      </c>
      <c r="G161" s="1">
        <f>SUM(OSRRefD21_5x_3)</f>
        <v>31016.300000000003</v>
      </c>
      <c r="H161" s="1">
        <f>SUM(OSRRefE21_5x_0)</f>
        <v>30594</v>
      </c>
      <c r="I161" s="1">
        <f>SUM(OSRRefE21_5x_1)</f>
        <v>30594</v>
      </c>
      <c r="J161" s="1">
        <f>SUM(OSRRefE21_5x_2)</f>
        <v>30594</v>
      </c>
      <c r="K161" s="1">
        <f>SUM(OSRRefE21_5x_3)</f>
        <v>30594</v>
      </c>
      <c r="L161" s="1">
        <f>SUM(OSRRefE21_5x_4)</f>
        <v>30594</v>
      </c>
      <c r="M161" s="1">
        <f>SUM(OSRRefE21_5x_5)</f>
        <v>30594</v>
      </c>
      <c r="N161" s="1">
        <f>SUM(OSRRefE21_5x_6)</f>
        <v>30594</v>
      </c>
      <c r="O161" s="1">
        <f>SUM(OSRRefE21_5x_7)</f>
        <v>30177</v>
      </c>
      <c r="Q161" s="2">
        <f>SUM(OSRRefD20_5x)+IFERROR(SUM(OSRRefE20_5x),0)</f>
        <v>368695.65</v>
      </c>
    </row>
    <row r="162" spans="1:17" s="34" customFormat="1" hidden="1" outlineLevel="1" x14ac:dyDescent="0.25">
      <c r="A162" s="35"/>
      <c r="B162" s="13" t="str">
        <f>CONCATENATE("          ","6321", " - ","BUILDING DEPRECIATION")</f>
        <v xml:space="preserve">          6321 - BUILDING DEPRECIATION</v>
      </c>
      <c r="C162" s="15"/>
      <c r="D162" s="2">
        <v>16396.52</v>
      </c>
      <c r="E162" s="2">
        <v>16396.52</v>
      </c>
      <c r="F162" s="2">
        <v>16396.52</v>
      </c>
      <c r="G162" s="2">
        <v>16396.52</v>
      </c>
      <c r="H162" s="2"/>
      <c r="I162" s="2"/>
      <c r="J162" s="2"/>
      <c r="K162" s="2"/>
      <c r="L162" s="2"/>
      <c r="M162" s="2"/>
      <c r="N162" s="2"/>
      <c r="O162" s="2"/>
      <c r="P162" s="9"/>
      <c r="Q162" s="2">
        <f>SUM(OSRRefD21_5_0x)+IFERROR(SUM(OSRRefE21_5_0x),0)</f>
        <v>65586.080000000002</v>
      </c>
    </row>
    <row r="163" spans="1:17" s="34" customFormat="1" hidden="1" outlineLevel="1" x14ac:dyDescent="0.25">
      <c r="A163" s="35"/>
      <c r="B163" s="13" t="str">
        <f>CONCATENATE("          ","6322", " - ","EQUIPMENT DEPRECIATION EXPENSE")</f>
        <v xml:space="preserve">          6322 - EQUIPMENT DEPRECIATION EXPENSE</v>
      </c>
      <c r="C163" s="15"/>
      <c r="D163" s="2">
        <v>14230.78</v>
      </c>
      <c r="E163" s="2">
        <v>14973.249999999998</v>
      </c>
      <c r="F163" s="2">
        <v>14950.76</v>
      </c>
      <c r="G163" s="2">
        <v>14619.78</v>
      </c>
      <c r="H163" s="2">
        <v>30594</v>
      </c>
      <c r="I163" s="2">
        <v>30594</v>
      </c>
      <c r="J163" s="2">
        <v>30594</v>
      </c>
      <c r="K163" s="2">
        <v>30594</v>
      </c>
      <c r="L163" s="2">
        <v>30594</v>
      </c>
      <c r="M163" s="2">
        <v>30594</v>
      </c>
      <c r="N163" s="2">
        <v>30594</v>
      </c>
      <c r="O163" s="2">
        <v>30177</v>
      </c>
      <c r="P163" s="9"/>
      <c r="Q163" s="2">
        <f>SUM(OSRRefD21_5_1x)+IFERROR(SUM(OSRRefE21_5_1x),0)</f>
        <v>303109.57</v>
      </c>
    </row>
    <row r="164" spans="1:17" s="34" customFormat="1" collapsed="1" x14ac:dyDescent="0.25">
      <c r="A164" s="35"/>
      <c r="B164" s="15" t="str">
        <f>CONCATENATE("     ","Discounts and Markdowns                           ")</f>
        <v xml:space="preserve">     Discounts and Markdowns                           </v>
      </c>
      <c r="C164" s="15"/>
      <c r="D164" s="1">
        <f>SUM(OSRRefD21_6x_0)</f>
        <v>0</v>
      </c>
      <c r="E164" s="1">
        <f>SUM(OSRRefD21_6x_1)</f>
        <v>0</v>
      </c>
      <c r="F164" s="1">
        <f>SUM(OSRRefD21_6x_2)</f>
        <v>830.95</v>
      </c>
      <c r="G164" s="1">
        <f>SUM(OSRRefD21_6x_3)</f>
        <v>-1249.8000000000002</v>
      </c>
      <c r="H164" s="1">
        <f>SUM(OSRRefE21_6x_0)</f>
        <v>3517</v>
      </c>
      <c r="I164" s="1">
        <f>SUM(OSRRefE21_6x_1)</f>
        <v>2339</v>
      </c>
      <c r="J164" s="1">
        <f>SUM(OSRRefE21_6x_2)</f>
        <v>6321</v>
      </c>
      <c r="K164" s="1">
        <f>SUM(OSRRefE21_6x_3)</f>
        <v>2867</v>
      </c>
      <c r="L164" s="1">
        <f>SUM(OSRRefE21_6x_4)</f>
        <v>3222</v>
      </c>
      <c r="M164" s="1">
        <f>SUM(OSRRefE21_6x_5)</f>
        <v>5133</v>
      </c>
      <c r="N164" s="1">
        <f>SUM(OSRRefE21_6x_6)</f>
        <v>2743</v>
      </c>
      <c r="O164" s="1">
        <f>SUM(OSRRefE21_6x_7)</f>
        <v>5614</v>
      </c>
      <c r="Q164" s="2">
        <f>SUM(OSRRefD20_6x)+IFERROR(SUM(OSRRefE20_6x),0)</f>
        <v>31337.15</v>
      </c>
    </row>
    <row r="165" spans="1:17" s="34" customFormat="1" hidden="1" outlineLevel="1" x14ac:dyDescent="0.25">
      <c r="A165" s="35"/>
      <c r="B165" s="13" t="str">
        <f>CONCATENATE("          ","6382", " - ","DISCOUNTS/MARK DOWNS")</f>
        <v xml:space="preserve">          6382 - DISCOUNTS/MARK DOWNS</v>
      </c>
      <c r="C165" s="15"/>
      <c r="D165" s="2"/>
      <c r="E165" s="2"/>
      <c r="F165" s="2">
        <v>830.95</v>
      </c>
      <c r="G165" s="2">
        <v>-830.95</v>
      </c>
      <c r="H165" s="2">
        <v>3517</v>
      </c>
      <c r="I165" s="2">
        <v>2339</v>
      </c>
      <c r="J165" s="2">
        <v>6321</v>
      </c>
      <c r="K165" s="2">
        <v>2867</v>
      </c>
      <c r="L165" s="2">
        <v>3222</v>
      </c>
      <c r="M165" s="2">
        <v>5133</v>
      </c>
      <c r="N165" s="2">
        <v>2743</v>
      </c>
      <c r="O165" s="2">
        <v>5614</v>
      </c>
      <c r="P165" s="9"/>
      <c r="Q165" s="2">
        <f>SUM(OSRRefD21_6_0x)+IFERROR(SUM(OSRRefE21_6_0x),0)</f>
        <v>31756</v>
      </c>
    </row>
    <row r="166" spans="1:17" s="34" customFormat="1" hidden="1" outlineLevel="1" x14ac:dyDescent="0.25">
      <c r="A166" s="35"/>
      <c r="B166" s="13" t="str">
        <f>CONCATENATE("          ","9175", " - ","EARNED DISCOUNTS")</f>
        <v xml:space="preserve">          9175 - EARNED DISCOUNTS</v>
      </c>
      <c r="C166" s="15"/>
      <c r="D166" s="2"/>
      <c r="E166" s="2"/>
      <c r="F166" s="2"/>
      <c r="G166" s="2">
        <v>-418.85</v>
      </c>
      <c r="H166" s="2"/>
      <c r="I166" s="2"/>
      <c r="J166" s="2"/>
      <c r="K166" s="2"/>
      <c r="L166" s="2"/>
      <c r="M166" s="2"/>
      <c r="N166" s="2"/>
      <c r="O166" s="2"/>
      <c r="P166" s="9"/>
      <c r="Q166" s="2">
        <f>SUM(OSRRefD21_6_1x)+IFERROR(SUM(OSRRefE21_6_1x),0)</f>
        <v>-418.85</v>
      </c>
    </row>
    <row r="167" spans="1:17" s="34" customFormat="1" collapsed="1" x14ac:dyDescent="0.25">
      <c r="A167" s="35"/>
      <c r="B167" s="15" t="str">
        <f>CONCATENATE("     ","Donations                                         ")</f>
        <v xml:space="preserve">     Donations                                         </v>
      </c>
      <c r="C167" s="15"/>
      <c r="D167" s="1">
        <f>SUM(OSRRefD21_7x_0)</f>
        <v>0</v>
      </c>
      <c r="E167" s="1">
        <f>SUM(OSRRefD21_7x_1)</f>
        <v>0</v>
      </c>
      <c r="F167" s="1">
        <f>SUM(OSRRefD21_7x_2)</f>
        <v>0</v>
      </c>
      <c r="G167" s="1">
        <f>SUM(OSRRefD21_7x_3)</f>
        <v>0</v>
      </c>
      <c r="H167" s="1">
        <f>SUM(OSRRefE21_7x_0)</f>
        <v>0</v>
      </c>
      <c r="I167" s="1">
        <f>SUM(OSRRefE21_7x_1)</f>
        <v>0</v>
      </c>
      <c r="J167" s="1">
        <f>SUM(OSRRefE21_7x_2)</f>
        <v>0</v>
      </c>
      <c r="K167" s="1">
        <f>SUM(OSRRefE21_7x_3)</f>
        <v>0</v>
      </c>
      <c r="L167" s="1">
        <f>SUM(OSRRefE21_7x_4)</f>
        <v>0</v>
      </c>
      <c r="M167" s="1">
        <f>SUM(OSRRefE21_7x_5)</f>
        <v>0</v>
      </c>
      <c r="N167" s="1">
        <f>SUM(OSRRefE21_7x_6)</f>
        <v>0</v>
      </c>
      <c r="O167" s="1">
        <f>SUM(OSRRefE21_7x_7)</f>
        <v>0</v>
      </c>
      <c r="Q167" s="2">
        <f>SUM(OSRRefD20_7x)+IFERROR(SUM(OSRRefE20_7x),0)</f>
        <v>0</v>
      </c>
    </row>
    <row r="168" spans="1:17" s="34" customFormat="1" hidden="1" outlineLevel="1" x14ac:dyDescent="0.25">
      <c r="A168" s="35"/>
      <c r="B168" s="13" t="str">
        <f>CONCATENATE("          ","6399", " - ","DONATION-ON CAMPUS")</f>
        <v xml:space="preserve">          6399 - DONATION-ON CAMPUS</v>
      </c>
      <c r="C168" s="15"/>
      <c r="D168" s="2"/>
      <c r="E168" s="2"/>
      <c r="F168" s="2"/>
      <c r="G168" s="2"/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9"/>
      <c r="Q168" s="2">
        <f>SUM(OSRRefD21_7_0x)+IFERROR(SUM(OSRRefE21_7_0x),0)</f>
        <v>0</v>
      </c>
    </row>
    <row r="169" spans="1:17" s="34" customFormat="1" collapsed="1" x14ac:dyDescent="0.25">
      <c r="A169" s="35"/>
      <c r="B169" s="15" t="str">
        <f>CONCATENATE("     ","Employees' Appreciation                           ")</f>
        <v xml:space="preserve">     Employees' Appreciation                           </v>
      </c>
      <c r="C169" s="15"/>
      <c r="D169" s="1">
        <f>SUM(OSRRefD21_8x_0)</f>
        <v>107.7</v>
      </c>
      <c r="E169" s="1">
        <f>SUM(OSRRefD21_8x_1)</f>
        <v>0</v>
      </c>
      <c r="F169" s="1">
        <f>SUM(OSRRefD21_8x_2)</f>
        <v>0</v>
      </c>
      <c r="G169" s="1">
        <f>SUM(OSRRefD21_8x_3)</f>
        <v>0</v>
      </c>
      <c r="H169" s="1">
        <f>SUM(OSRRefE21_8x_0)</f>
        <v>270</v>
      </c>
      <c r="I169" s="1">
        <f>SUM(OSRRefE21_8x_1)</f>
        <v>270</v>
      </c>
      <c r="J169" s="1">
        <f>SUM(OSRRefE21_8x_2)</f>
        <v>295</v>
      </c>
      <c r="K169" s="1">
        <f>SUM(OSRRefE21_8x_3)</f>
        <v>295</v>
      </c>
      <c r="L169" s="1">
        <f>SUM(OSRRefE21_8x_4)</f>
        <v>270</v>
      </c>
      <c r="M169" s="1">
        <f>SUM(OSRRefE21_8x_5)</f>
        <v>270</v>
      </c>
      <c r="N169" s="1">
        <f>SUM(OSRRefE21_8x_6)</f>
        <v>270</v>
      </c>
      <c r="O169" s="1">
        <f>SUM(OSRRefE21_8x_7)</f>
        <v>270</v>
      </c>
      <c r="Q169" s="2">
        <f>SUM(OSRRefD20_8x)+IFERROR(SUM(OSRRefE20_8x),0)</f>
        <v>2317.6999999999998</v>
      </c>
    </row>
    <row r="170" spans="1:17" s="34" customFormat="1" hidden="1" outlineLevel="1" x14ac:dyDescent="0.25">
      <c r="A170" s="35"/>
      <c r="B170" s="13" t="str">
        <f>CONCATENATE("          ","6277", " - ","EMPLOYEE APPRECIATION")</f>
        <v xml:space="preserve">          6277 - EMPLOYEE APPRECIATION</v>
      </c>
      <c r="C170" s="15"/>
      <c r="D170" s="2">
        <v>107.7</v>
      </c>
      <c r="E170" s="2"/>
      <c r="F170" s="2"/>
      <c r="G170" s="2"/>
      <c r="H170" s="2">
        <v>270</v>
      </c>
      <c r="I170" s="2">
        <v>270</v>
      </c>
      <c r="J170" s="2">
        <v>295</v>
      </c>
      <c r="K170" s="2">
        <v>295</v>
      </c>
      <c r="L170" s="2">
        <v>270</v>
      </c>
      <c r="M170" s="2">
        <v>270</v>
      </c>
      <c r="N170" s="2">
        <v>270</v>
      </c>
      <c r="O170" s="2">
        <v>270</v>
      </c>
      <c r="P170" s="9"/>
      <c r="Q170" s="2">
        <f>SUM(OSRRefD21_8_0x)+IFERROR(SUM(OSRRefE21_8_0x),0)</f>
        <v>2317.6999999999998</v>
      </c>
    </row>
    <row r="171" spans="1:17" s="34" customFormat="1" collapsed="1" x14ac:dyDescent="0.25">
      <c r="A171" s="35"/>
      <c r="B171" s="15" t="str">
        <f>CONCATENATE("     ","Equipment Rental                                  ")</f>
        <v xml:space="preserve">     Equipment Rental                                  </v>
      </c>
      <c r="C171" s="15"/>
      <c r="D171" s="1">
        <f>SUM(OSRRefD21_9x_0)</f>
        <v>1388.16</v>
      </c>
      <c r="E171" s="1">
        <f>SUM(OSRRefD21_9x_1)</f>
        <v>1388.16</v>
      </c>
      <c r="F171" s="1">
        <f>SUM(OSRRefD21_9x_2)</f>
        <v>1712.05</v>
      </c>
      <c r="G171" s="1">
        <f>SUM(OSRRefD21_9x_3)</f>
        <v>1479.42</v>
      </c>
      <c r="H171" s="1">
        <f>SUM(OSRRefE21_9x_0)</f>
        <v>3006</v>
      </c>
      <c r="I171" s="1">
        <f>SUM(OSRRefE21_9x_1)</f>
        <v>3006</v>
      </c>
      <c r="J171" s="1">
        <f>SUM(OSRRefE21_9x_2)</f>
        <v>3006</v>
      </c>
      <c r="K171" s="1">
        <f>SUM(OSRRefE21_9x_3)</f>
        <v>3006</v>
      </c>
      <c r="L171" s="1">
        <f>SUM(OSRRefE21_9x_4)</f>
        <v>3006</v>
      </c>
      <c r="M171" s="1">
        <f>SUM(OSRRefE21_9x_5)</f>
        <v>3006</v>
      </c>
      <c r="N171" s="1">
        <f>SUM(OSRRefE21_9x_6)</f>
        <v>3006</v>
      </c>
      <c r="O171" s="1">
        <f>SUM(OSRRefE21_9x_7)</f>
        <v>3006</v>
      </c>
      <c r="Q171" s="2">
        <f>SUM(OSRRefD20_9x)+IFERROR(SUM(OSRRefE20_9x),0)</f>
        <v>30015.79</v>
      </c>
    </row>
    <row r="172" spans="1:17" s="34" customFormat="1" hidden="1" outlineLevel="1" x14ac:dyDescent="0.25">
      <c r="A172" s="35"/>
      <c r="B172" s="13" t="str">
        <f>CONCATENATE("          ","6351", " - ","EQUIPMENT RENTAL")</f>
        <v xml:space="preserve">          6351 - EQUIPMENT RENTAL</v>
      </c>
      <c r="C172" s="15"/>
      <c r="D172" s="2">
        <v>1388.16</v>
      </c>
      <c r="E172" s="2">
        <v>1388.16</v>
      </c>
      <c r="F172" s="2">
        <v>1712.05</v>
      </c>
      <c r="G172" s="2">
        <v>1479.42</v>
      </c>
      <c r="H172" s="2">
        <v>3006</v>
      </c>
      <c r="I172" s="2">
        <v>3006</v>
      </c>
      <c r="J172" s="2">
        <v>3006</v>
      </c>
      <c r="K172" s="2">
        <v>3006</v>
      </c>
      <c r="L172" s="2">
        <v>3006</v>
      </c>
      <c r="M172" s="2">
        <v>3006</v>
      </c>
      <c r="N172" s="2">
        <v>3006</v>
      </c>
      <c r="O172" s="2">
        <v>3006</v>
      </c>
      <c r="P172" s="9"/>
      <c r="Q172" s="2">
        <f>SUM(OSRRefD21_9_0x)+IFERROR(SUM(OSRRefE21_9_0x),0)</f>
        <v>30015.79</v>
      </c>
    </row>
    <row r="173" spans="1:17" s="34" customFormat="1" collapsed="1" x14ac:dyDescent="0.25">
      <c r="A173" s="35"/>
      <c r="B173" s="15" t="str">
        <f>CONCATENATE("     ","Freight out/Postage                               ")</f>
        <v xml:space="preserve">     Freight out/Postage                               </v>
      </c>
      <c r="C173" s="15"/>
      <c r="D173" s="1">
        <f>SUM(OSRRefD21_10x_0)</f>
        <v>8939.26</v>
      </c>
      <c r="E173" s="1">
        <f>SUM(OSRRefD21_10x_1)</f>
        <v>-83561.38</v>
      </c>
      <c r="F173" s="1">
        <f>SUM(OSRRefD21_10x_2)</f>
        <v>-5852.130000000001</v>
      </c>
      <c r="G173" s="1">
        <f>SUM(OSRRefD21_10x_3)</f>
        <v>49181.37000000001</v>
      </c>
      <c r="H173" s="1">
        <f>SUM(OSRRefE21_10x_0)</f>
        <v>5635</v>
      </c>
      <c r="I173" s="1">
        <f>SUM(OSRRefE21_10x_1)</f>
        <v>1435</v>
      </c>
      <c r="J173" s="1">
        <f>SUM(OSRRefE21_10x_2)</f>
        <v>-11665</v>
      </c>
      <c r="K173" s="1">
        <f>SUM(OSRRefE21_10x_3)</f>
        <v>2335</v>
      </c>
      <c r="L173" s="1">
        <f>SUM(OSRRefE21_10x_4)</f>
        <v>-12865</v>
      </c>
      <c r="M173" s="1">
        <f>SUM(OSRRefE21_10x_5)</f>
        <v>2843</v>
      </c>
      <c r="N173" s="1">
        <f>SUM(OSRRefE21_10x_6)</f>
        <v>-1615</v>
      </c>
      <c r="O173" s="1">
        <f>SUM(OSRRefE21_10x_7)</f>
        <v>135</v>
      </c>
      <c r="Q173" s="2">
        <f>SUM(OSRRefD20_10x)+IFERROR(SUM(OSRRefE20_10x),0)</f>
        <v>-45054.880000000005</v>
      </c>
    </row>
    <row r="174" spans="1:17" s="34" customFormat="1" hidden="1" outlineLevel="1" x14ac:dyDescent="0.25">
      <c r="A174" s="35"/>
      <c r="B174" s="13" t="str">
        <f>CONCATENATE("          ","6305", " - ","FREIGHT OUT")</f>
        <v xml:space="preserve">          6305 - FREIGHT OUT</v>
      </c>
      <c r="C174" s="15"/>
      <c r="D174" s="2">
        <v>12094.7</v>
      </c>
      <c r="E174" s="2">
        <v>8415.86</v>
      </c>
      <c r="F174" s="2">
        <v>5412.16</v>
      </c>
      <c r="G174" s="2">
        <v>60867.890000000007</v>
      </c>
      <c r="H174" s="2">
        <v>6600</v>
      </c>
      <c r="I174" s="2">
        <v>4900</v>
      </c>
      <c r="J174" s="2">
        <v>4300</v>
      </c>
      <c r="K174" s="2">
        <v>11000</v>
      </c>
      <c r="L174" s="2">
        <v>7100</v>
      </c>
      <c r="M174" s="2">
        <v>4900</v>
      </c>
      <c r="N174" s="2">
        <v>3350</v>
      </c>
      <c r="O174" s="2">
        <v>2100</v>
      </c>
      <c r="P174" s="9"/>
      <c r="Q174" s="2">
        <f>SUM(OSRRefD21_10_0x)+IFERROR(SUM(OSRRefE21_10_0x),0)</f>
        <v>131040.61000000002</v>
      </c>
    </row>
    <row r="175" spans="1:17" s="34" customFormat="1" hidden="1" outlineLevel="1" x14ac:dyDescent="0.25">
      <c r="A175" s="35"/>
      <c r="B175" s="13" t="str">
        <f>CONCATENATE("          ","6307", " - ","POSTAGE")</f>
        <v xml:space="preserve">          6307 - POSTAGE</v>
      </c>
      <c r="C175" s="15"/>
      <c r="D175" s="2">
        <v>-3155.44</v>
      </c>
      <c r="E175" s="2">
        <v>-91977.24</v>
      </c>
      <c r="F175" s="2">
        <v>-11264.29</v>
      </c>
      <c r="G175" s="2">
        <v>-11686.52</v>
      </c>
      <c r="H175" s="2">
        <v>-965</v>
      </c>
      <c r="I175" s="2">
        <v>-3465</v>
      </c>
      <c r="J175" s="2">
        <v>-15965</v>
      </c>
      <c r="K175" s="2">
        <v>-8665</v>
      </c>
      <c r="L175" s="2">
        <v>-19965</v>
      </c>
      <c r="M175" s="2">
        <v>-2057</v>
      </c>
      <c r="N175" s="2">
        <v>-4965</v>
      </c>
      <c r="O175" s="2">
        <v>-1965</v>
      </c>
      <c r="P175" s="9"/>
      <c r="Q175" s="2">
        <f>SUM(OSRRefD21_10_1x)+IFERROR(SUM(OSRRefE21_10_1x),0)</f>
        <v>-176095.49</v>
      </c>
    </row>
    <row r="176" spans="1:17" s="34" customFormat="1" collapsed="1" x14ac:dyDescent="0.25">
      <c r="A176" s="35"/>
      <c r="B176" s="15" t="str">
        <f>CONCATENATE("     ","General                                           ")</f>
        <v xml:space="preserve">     General                                           </v>
      </c>
      <c r="C176" s="15"/>
      <c r="D176" s="1">
        <f>SUM(OSRRefD21_11x_0)</f>
        <v>-3350.24</v>
      </c>
      <c r="E176" s="1">
        <f>SUM(OSRRefD21_11x_1)</f>
        <v>113.26</v>
      </c>
      <c r="F176" s="1">
        <f>SUM(OSRRefD21_11x_2)</f>
        <v>0</v>
      </c>
      <c r="G176" s="1">
        <f>SUM(OSRRefD21_11x_3)</f>
        <v>-40</v>
      </c>
      <c r="H176" s="1">
        <f>SUM(OSRRefE21_11x_0)</f>
        <v>2830</v>
      </c>
      <c r="I176" s="1">
        <f>SUM(OSRRefE21_11x_1)</f>
        <v>480</v>
      </c>
      <c r="J176" s="1">
        <f>SUM(OSRRefE21_11x_2)</f>
        <v>280</v>
      </c>
      <c r="K176" s="1">
        <f>SUM(OSRRefE21_11x_3)</f>
        <v>405</v>
      </c>
      <c r="L176" s="1">
        <f>SUM(OSRRefE21_11x_4)</f>
        <v>330</v>
      </c>
      <c r="M176" s="1">
        <f>SUM(OSRRefE21_11x_5)</f>
        <v>530</v>
      </c>
      <c r="N176" s="1">
        <f>SUM(OSRRefE21_11x_6)</f>
        <v>1530</v>
      </c>
      <c r="O176" s="1">
        <f>SUM(OSRRefE21_11x_7)</f>
        <v>280</v>
      </c>
      <c r="Q176" s="2">
        <f>SUM(OSRRefD20_11x)+IFERROR(SUM(OSRRefE20_11x),0)</f>
        <v>3388.0200000000004</v>
      </c>
    </row>
    <row r="177" spans="1:17" s="34" customFormat="1" hidden="1" outlineLevel="1" x14ac:dyDescent="0.25">
      <c r="A177" s="35"/>
      <c r="B177" s="13" t="str">
        <f>CONCATENATE("          ","6269", " - ","ENTERTAINMENT")</f>
        <v xml:space="preserve">          6269 - ENTERTAINMENT</v>
      </c>
      <c r="C177" s="15"/>
      <c r="D177" s="2"/>
      <c r="E177" s="2"/>
      <c r="F177" s="2"/>
      <c r="G177" s="2"/>
      <c r="H177" s="2">
        <v>1250</v>
      </c>
      <c r="I177" s="2">
        <v>0</v>
      </c>
      <c r="J177" s="2"/>
      <c r="K177" s="2">
        <v>125</v>
      </c>
      <c r="L177" s="2">
        <v>0</v>
      </c>
      <c r="M177" s="2"/>
      <c r="N177" s="2">
        <v>1250</v>
      </c>
      <c r="O177" s="2">
        <v>0</v>
      </c>
      <c r="P177" s="9"/>
      <c r="Q177" s="2">
        <f>SUM(OSRRefD21_11_0x)+IFERROR(SUM(OSRRefE21_11_0x),0)</f>
        <v>2625</v>
      </c>
    </row>
    <row r="178" spans="1:17" s="34" customFormat="1" hidden="1" outlineLevel="1" x14ac:dyDescent="0.25">
      <c r="A178" s="35"/>
      <c r="B178" s="13" t="str">
        <f>CONCATENATE("          ","6279", " - ","GENERAL EXPENSE")</f>
        <v xml:space="preserve">          6279 - GENERAL EXPENSE</v>
      </c>
      <c r="C178" s="15"/>
      <c r="D178" s="2">
        <v>-3350.24</v>
      </c>
      <c r="E178" s="2">
        <v>113.26</v>
      </c>
      <c r="F178" s="2"/>
      <c r="G178" s="2">
        <v>-40</v>
      </c>
      <c r="H178" s="2">
        <v>1580</v>
      </c>
      <c r="I178" s="2">
        <v>480</v>
      </c>
      <c r="J178" s="2">
        <v>280</v>
      </c>
      <c r="K178" s="2">
        <v>280</v>
      </c>
      <c r="L178" s="2">
        <v>330</v>
      </c>
      <c r="M178" s="2">
        <v>530</v>
      </c>
      <c r="N178" s="2">
        <v>280</v>
      </c>
      <c r="O178" s="2">
        <v>280</v>
      </c>
      <c r="P178" s="9"/>
      <c r="Q178" s="2">
        <f>SUM(OSRRefD21_11_1x)+IFERROR(SUM(OSRRefE21_11_1x),0)</f>
        <v>763.02000000000044</v>
      </c>
    </row>
    <row r="179" spans="1:17" s="34" customFormat="1" collapsed="1" x14ac:dyDescent="0.25">
      <c r="A179" s="35"/>
      <c r="B179" s="15" t="str">
        <f>CONCATENATE("     ","Insurance                                         ")</f>
        <v xml:space="preserve">     Insurance                                         </v>
      </c>
      <c r="C179" s="15"/>
      <c r="D179" s="1">
        <f>SUM(OSRRefD21_12x_0)</f>
        <v>4044.74</v>
      </c>
      <c r="E179" s="1">
        <f>SUM(OSRRefD21_12x_1)</f>
        <v>4044.74</v>
      </c>
      <c r="F179" s="1">
        <f>SUM(OSRRefD21_12x_2)</f>
        <v>4044.74</v>
      </c>
      <c r="G179" s="1">
        <f>SUM(OSRRefD21_12x_3)</f>
        <v>4044.74</v>
      </c>
      <c r="H179" s="1">
        <f>SUM(OSRRefE21_12x_0)</f>
        <v>4446</v>
      </c>
      <c r="I179" s="1">
        <f>SUM(OSRRefE21_12x_1)</f>
        <v>4446</v>
      </c>
      <c r="J179" s="1">
        <f>SUM(OSRRefE21_12x_2)</f>
        <v>4446</v>
      </c>
      <c r="K179" s="1">
        <f>SUM(OSRRefE21_12x_3)</f>
        <v>4446</v>
      </c>
      <c r="L179" s="1">
        <f>SUM(OSRRefE21_12x_4)</f>
        <v>4446</v>
      </c>
      <c r="M179" s="1">
        <f>SUM(OSRRefE21_12x_5)</f>
        <v>4446</v>
      </c>
      <c r="N179" s="1">
        <f>SUM(OSRRefE21_12x_6)</f>
        <v>4446</v>
      </c>
      <c r="O179" s="1">
        <f>SUM(OSRRefE21_12x_7)</f>
        <v>4446</v>
      </c>
      <c r="Q179" s="2">
        <f>SUM(OSRRefD20_12x)+IFERROR(SUM(OSRRefE20_12x),0)</f>
        <v>51746.96</v>
      </c>
    </row>
    <row r="180" spans="1:17" s="34" customFormat="1" hidden="1" outlineLevel="1" x14ac:dyDescent="0.25">
      <c r="A180" s="35"/>
      <c r="B180" s="13" t="str">
        <f>CONCATENATE("          ","6314", " - ","LIABILITY INSURANCE")</f>
        <v xml:space="preserve">          6314 - LIABILITY INSURANCE</v>
      </c>
      <c r="C180" s="15"/>
      <c r="D180" s="2">
        <v>4044.74</v>
      </c>
      <c r="E180" s="2">
        <v>4044.74</v>
      </c>
      <c r="F180" s="2">
        <v>4044.74</v>
      </c>
      <c r="G180" s="2">
        <v>4044.74</v>
      </c>
      <c r="H180" s="2">
        <v>4446</v>
      </c>
      <c r="I180" s="2">
        <v>4446</v>
      </c>
      <c r="J180" s="2">
        <v>4446</v>
      </c>
      <c r="K180" s="2">
        <v>4446</v>
      </c>
      <c r="L180" s="2">
        <v>4446</v>
      </c>
      <c r="M180" s="2">
        <v>4446</v>
      </c>
      <c r="N180" s="2">
        <v>4446</v>
      </c>
      <c r="O180" s="2">
        <v>4446</v>
      </c>
      <c r="P180" s="9"/>
      <c r="Q180" s="2">
        <f>SUM(OSRRefD21_12_0x)+IFERROR(SUM(OSRRefE21_12_0x),0)</f>
        <v>51746.96</v>
      </c>
    </row>
    <row r="181" spans="1:17" s="34" customFormat="1" collapsed="1" x14ac:dyDescent="0.25">
      <c r="A181" s="35"/>
      <c r="B181" s="15" t="str">
        <f>CONCATENATE("     ","Inventory Adjustment                              ")</f>
        <v xml:space="preserve">     Inventory Adjustment                              </v>
      </c>
      <c r="C181" s="15"/>
      <c r="D181" s="1">
        <f>SUM(OSRRefD21_13x_0)</f>
        <v>3350</v>
      </c>
      <c r="E181" s="1">
        <f>SUM(OSRRefD21_13x_1)</f>
        <v>3350</v>
      </c>
      <c r="F181" s="1">
        <f>SUM(OSRRefD21_13x_2)</f>
        <v>3350</v>
      </c>
      <c r="G181" s="1">
        <f>SUM(OSRRefD21_13x_3)</f>
        <v>3350</v>
      </c>
      <c r="H181" s="1">
        <f>SUM(OSRRefE21_13x_0)</f>
        <v>4350</v>
      </c>
      <c r="I181" s="1">
        <f>SUM(OSRRefE21_13x_1)</f>
        <v>9350</v>
      </c>
      <c r="J181" s="1">
        <f>SUM(OSRRefE21_13x_2)</f>
        <v>4350</v>
      </c>
      <c r="K181" s="1">
        <f>SUM(OSRRefE21_13x_3)</f>
        <v>4350</v>
      </c>
      <c r="L181" s="1">
        <f>SUM(OSRRefE21_13x_4)</f>
        <v>4350</v>
      </c>
      <c r="M181" s="1">
        <f>SUM(OSRRefE21_13x_5)</f>
        <v>4350</v>
      </c>
      <c r="N181" s="1">
        <f>SUM(OSRRefE21_13x_6)</f>
        <v>4350</v>
      </c>
      <c r="O181" s="1">
        <f>SUM(OSRRefE21_13x_7)</f>
        <v>47350</v>
      </c>
      <c r="Q181" s="2">
        <f>SUM(OSRRefD20_13x)+IFERROR(SUM(OSRRefE20_13x),0)</f>
        <v>96200</v>
      </c>
    </row>
    <row r="182" spans="1:17" s="34" customFormat="1" hidden="1" outlineLevel="1" x14ac:dyDescent="0.25">
      <c r="A182" s="35"/>
      <c r="B182" s="13" t="str">
        <f>CONCATENATE("          ","6408", " - ","INVENTORY ADJUSTMENT")</f>
        <v xml:space="preserve">          6408 - INVENTORY ADJUSTMENT</v>
      </c>
      <c r="C182" s="15"/>
      <c r="D182" s="2">
        <v>3350</v>
      </c>
      <c r="E182" s="2">
        <v>3350</v>
      </c>
      <c r="F182" s="2">
        <v>3350</v>
      </c>
      <c r="G182" s="2">
        <v>3350</v>
      </c>
      <c r="H182" s="2">
        <v>4350</v>
      </c>
      <c r="I182" s="2">
        <v>9350</v>
      </c>
      <c r="J182" s="2">
        <v>4350</v>
      </c>
      <c r="K182" s="2">
        <v>4350</v>
      </c>
      <c r="L182" s="2">
        <v>4350</v>
      </c>
      <c r="M182" s="2">
        <v>4350</v>
      </c>
      <c r="N182" s="2">
        <v>4350</v>
      </c>
      <c r="O182" s="2">
        <v>47350</v>
      </c>
      <c r="P182" s="9"/>
      <c r="Q182" s="2">
        <f>SUM(OSRRefD21_13_0x)+IFERROR(SUM(OSRRefE21_13_0x),0)</f>
        <v>96200</v>
      </c>
    </row>
    <row r="183" spans="1:17" s="34" customFormat="1" collapsed="1" x14ac:dyDescent="0.25">
      <c r="A183" s="35"/>
      <c r="B183" s="15" t="str">
        <f>CONCATENATE("     ","Professional Services                             ")</f>
        <v xml:space="preserve">     Professional Services                             </v>
      </c>
      <c r="C183" s="15"/>
      <c r="D183" s="1">
        <f>SUM(OSRRefD21_14x_0)</f>
        <v>0</v>
      </c>
      <c r="E183" s="1">
        <f>SUM(OSRRefD21_14x_1)</f>
        <v>0</v>
      </c>
      <c r="F183" s="1">
        <f>SUM(OSRRefD21_14x_2)</f>
        <v>0</v>
      </c>
      <c r="G183" s="1">
        <f>SUM(OSRRefD21_14x_3)</f>
        <v>0</v>
      </c>
      <c r="H183" s="1">
        <f>SUM(OSRRefE21_14x_0)</f>
        <v>0</v>
      </c>
      <c r="I183" s="1">
        <f>SUM(OSRRefE21_14x_1)</f>
        <v>0</v>
      </c>
      <c r="J183" s="1">
        <f>SUM(OSRRefE21_14x_2)</f>
        <v>0</v>
      </c>
      <c r="K183" s="1">
        <f>SUM(OSRRefE21_14x_3)</f>
        <v>0</v>
      </c>
      <c r="L183" s="1">
        <f>SUM(OSRRefE21_14x_4)</f>
        <v>0</v>
      </c>
      <c r="M183" s="1">
        <f>SUM(OSRRefE21_14x_5)</f>
        <v>0</v>
      </c>
      <c r="N183" s="1">
        <f>SUM(OSRRefE21_14x_6)</f>
        <v>0</v>
      </c>
      <c r="O183" s="1">
        <f>SUM(OSRRefE21_14x_7)</f>
        <v>0</v>
      </c>
      <c r="Q183" s="2">
        <f>SUM(OSRRefD20_14x)+IFERROR(SUM(OSRRefE20_14x),0)</f>
        <v>0</v>
      </c>
    </row>
    <row r="184" spans="1:17" s="34" customFormat="1" hidden="1" outlineLevel="1" x14ac:dyDescent="0.25">
      <c r="A184" s="35"/>
      <c r="B184" s="13" t="str">
        <f>CONCATENATE("          ","6336", " - ","PROFESSIONAL SERVICES")</f>
        <v xml:space="preserve">          6336 - PROFESSIONAL SERVICES</v>
      </c>
      <c r="C184" s="15"/>
      <c r="D184" s="2"/>
      <c r="E184" s="2"/>
      <c r="F184" s="2"/>
      <c r="G184" s="2"/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9"/>
      <c r="Q184" s="2">
        <f>SUM(OSRRefD21_14_0x)+IFERROR(SUM(OSRRefE21_14_0x),0)</f>
        <v>0</v>
      </c>
    </row>
    <row r="185" spans="1:17" s="34" customFormat="1" collapsed="1" x14ac:dyDescent="0.25">
      <c r="A185" s="35"/>
      <c r="B185" s="15" t="str">
        <f>CONCATENATE("     ","Rent                                              ")</f>
        <v xml:space="preserve">     Rent                                              </v>
      </c>
      <c r="C185" s="15"/>
      <c r="D185" s="1">
        <f>SUM(OSRRefD21_15x_0)</f>
        <v>6100</v>
      </c>
      <c r="E185" s="1">
        <f>SUM(OSRRefD21_15x_1)</f>
        <v>6100</v>
      </c>
      <c r="F185" s="1">
        <f>SUM(OSRRefD21_15x_2)</f>
        <v>6100</v>
      </c>
      <c r="G185" s="1">
        <f>SUM(OSRRefD21_15x_3)</f>
        <v>6100</v>
      </c>
      <c r="H185" s="1">
        <f>SUM(OSRRefE21_15x_0)</f>
        <v>6100</v>
      </c>
      <c r="I185" s="1">
        <f>SUM(OSRRefE21_15x_1)</f>
        <v>6100</v>
      </c>
      <c r="J185" s="1">
        <f>SUM(OSRRefE21_15x_2)</f>
        <v>6100</v>
      </c>
      <c r="K185" s="1">
        <f>SUM(OSRRefE21_15x_3)</f>
        <v>6100</v>
      </c>
      <c r="L185" s="1">
        <f>SUM(OSRRefE21_15x_4)</f>
        <v>6100</v>
      </c>
      <c r="M185" s="1">
        <f>SUM(OSRRefE21_15x_5)</f>
        <v>6100</v>
      </c>
      <c r="N185" s="1">
        <f>SUM(OSRRefE21_15x_6)</f>
        <v>6100</v>
      </c>
      <c r="O185" s="1">
        <f>SUM(OSRRefE21_15x_7)</f>
        <v>6100</v>
      </c>
      <c r="Q185" s="2">
        <f>SUM(OSRRefD20_15x)+IFERROR(SUM(OSRRefE20_15x),0)</f>
        <v>73200</v>
      </c>
    </row>
    <row r="186" spans="1:17" s="34" customFormat="1" hidden="1" outlineLevel="1" x14ac:dyDescent="0.25">
      <c r="A186" s="35"/>
      <c r="B186" s="13" t="str">
        <f>CONCATENATE("          ","6273", " - ","RENT")</f>
        <v xml:space="preserve">          6273 - RENT</v>
      </c>
      <c r="C186" s="15"/>
      <c r="D186" s="2">
        <v>6100</v>
      </c>
      <c r="E186" s="2">
        <v>6100</v>
      </c>
      <c r="F186" s="2">
        <v>6100</v>
      </c>
      <c r="G186" s="2">
        <v>6100</v>
      </c>
      <c r="H186" s="2">
        <v>6100</v>
      </c>
      <c r="I186" s="2">
        <v>6100</v>
      </c>
      <c r="J186" s="2">
        <v>6100</v>
      </c>
      <c r="K186" s="2">
        <v>6100</v>
      </c>
      <c r="L186" s="2">
        <v>6100</v>
      </c>
      <c r="M186" s="2">
        <v>6100</v>
      </c>
      <c r="N186" s="2">
        <v>6100</v>
      </c>
      <c r="O186" s="2">
        <v>6100</v>
      </c>
      <c r="P186" s="9"/>
      <c r="Q186" s="2">
        <f>SUM(OSRRefD21_15_0x)+IFERROR(SUM(OSRRefE21_15_0x),0)</f>
        <v>73200</v>
      </c>
    </row>
    <row r="187" spans="1:17" s="34" customFormat="1" collapsed="1" x14ac:dyDescent="0.25">
      <c r="A187" s="35"/>
      <c r="B187" s="15" t="str">
        <f>CONCATENATE("     ","Repair and Maintenance                            ")</f>
        <v xml:space="preserve">     Repair and Maintenance                            </v>
      </c>
      <c r="C187" s="15"/>
      <c r="D187" s="1">
        <f>SUM(OSRRefD21_16x_0)</f>
        <v>66347.77</v>
      </c>
      <c r="E187" s="1">
        <f>SUM(OSRRefD21_16x_1)</f>
        <v>6705.0199999999995</v>
      </c>
      <c r="F187" s="1">
        <f>SUM(OSRRefD21_16x_2)</f>
        <v>13339.48</v>
      </c>
      <c r="G187" s="1">
        <f>SUM(OSRRefD21_16x_3)</f>
        <v>11552.1</v>
      </c>
      <c r="H187" s="1">
        <f>SUM(OSRRefE21_16x_0)</f>
        <v>14810</v>
      </c>
      <c r="I187" s="1">
        <f>SUM(OSRRefE21_16x_1)</f>
        <v>14710</v>
      </c>
      <c r="J187" s="1">
        <f>SUM(OSRRefE21_16x_2)</f>
        <v>17310</v>
      </c>
      <c r="K187" s="1">
        <f>SUM(OSRRefE21_16x_3)</f>
        <v>16410</v>
      </c>
      <c r="L187" s="1">
        <f>SUM(OSRRefE21_16x_4)</f>
        <v>14310</v>
      </c>
      <c r="M187" s="1">
        <f>SUM(OSRRefE21_16x_5)</f>
        <v>14210</v>
      </c>
      <c r="N187" s="1">
        <f>SUM(OSRRefE21_16x_6)</f>
        <v>26310</v>
      </c>
      <c r="O187" s="1">
        <f>SUM(OSRRefE21_16x_7)</f>
        <v>16210</v>
      </c>
      <c r="Q187" s="2">
        <f>SUM(OSRRefD20_16x)+IFERROR(SUM(OSRRefE20_16x),0)</f>
        <v>232224.37</v>
      </c>
    </row>
    <row r="188" spans="1:17" s="34" customFormat="1" hidden="1" outlineLevel="1" x14ac:dyDescent="0.25">
      <c r="A188" s="35"/>
      <c r="B188" s="13" t="str">
        <f>CONCATENATE("          ","6371", " - ","COMPUTER SOFTWARE MAINTENANCE")</f>
        <v xml:space="preserve">          6371 - COMPUTER SOFTWARE MAINTENANCE</v>
      </c>
      <c r="C188" s="15"/>
      <c r="D188" s="2">
        <v>58428.780000000006</v>
      </c>
      <c r="E188" s="2"/>
      <c r="F188" s="2"/>
      <c r="G188" s="2">
        <v>7.69</v>
      </c>
      <c r="H188" s="2"/>
      <c r="I188" s="2"/>
      <c r="J188" s="2"/>
      <c r="K188" s="2"/>
      <c r="L188" s="2"/>
      <c r="M188" s="2"/>
      <c r="N188" s="2">
        <v>12000</v>
      </c>
      <c r="O188" s="2"/>
      <c r="P188" s="9"/>
      <c r="Q188" s="2">
        <f>SUM(OSRRefD21_16_0x)+IFERROR(SUM(OSRRefE21_16_0x),0)</f>
        <v>70436.47</v>
      </c>
    </row>
    <row r="189" spans="1:17" s="34" customFormat="1" hidden="1" outlineLevel="1" x14ac:dyDescent="0.25">
      <c r="A189" s="35"/>
      <c r="B189" s="13" t="str">
        <f>CONCATENATE("          ","6372", " - ","COMPUTER HARDWARE MAINTENANCE")</f>
        <v xml:space="preserve">          6372 - COMPUTER HARDWARE MAINTENANCE</v>
      </c>
      <c r="C189" s="15"/>
      <c r="D189" s="2"/>
      <c r="E189" s="2">
        <v>0.98</v>
      </c>
      <c r="F189" s="2">
        <v>-9.09</v>
      </c>
      <c r="G189" s="2">
        <v>8.11</v>
      </c>
      <c r="H189" s="2"/>
      <c r="I189" s="2"/>
      <c r="J189" s="2"/>
      <c r="K189" s="2"/>
      <c r="L189" s="2"/>
      <c r="M189" s="2"/>
      <c r="N189" s="2"/>
      <c r="O189" s="2"/>
      <c r="P189" s="9"/>
      <c r="Q189" s="2">
        <f>SUM(OSRRefD21_16_1x)+IFERROR(SUM(OSRRefE21_16_1x),0)</f>
        <v>0</v>
      </c>
    </row>
    <row r="190" spans="1:17" s="34" customFormat="1" hidden="1" outlineLevel="1" x14ac:dyDescent="0.25">
      <c r="A190" s="35"/>
      <c r="B190" s="13" t="str">
        <f>CONCATENATE("          ","6373", " - ","MAINTENANCE CONTRACTS")</f>
        <v xml:space="preserve">          6373 - MAINTENANCE CONTRACTS</v>
      </c>
      <c r="C190" s="15"/>
      <c r="D190" s="2">
        <v>6416.01</v>
      </c>
      <c r="E190" s="2">
        <v>6370.22</v>
      </c>
      <c r="F190" s="2">
        <v>12402.82</v>
      </c>
      <c r="G190" s="2">
        <v>5396.67</v>
      </c>
      <c r="H190" s="2">
        <v>6540</v>
      </c>
      <c r="I190" s="2">
        <v>6540</v>
      </c>
      <c r="J190" s="2">
        <v>9040</v>
      </c>
      <c r="K190" s="2">
        <v>8240</v>
      </c>
      <c r="L190" s="2">
        <v>6040</v>
      </c>
      <c r="M190" s="2">
        <v>6040</v>
      </c>
      <c r="N190" s="2">
        <v>6040</v>
      </c>
      <c r="O190" s="2">
        <v>8040</v>
      </c>
      <c r="P190" s="9"/>
      <c r="Q190" s="2">
        <f>SUM(OSRRefD21_16_2x)+IFERROR(SUM(OSRRefE21_16_2x),0)</f>
        <v>87105.72</v>
      </c>
    </row>
    <row r="191" spans="1:17" s="34" customFormat="1" hidden="1" outlineLevel="1" x14ac:dyDescent="0.25">
      <c r="A191" s="35"/>
      <c r="B191" s="13" t="str">
        <f>CONCATENATE("          ","6375", " - ","OUTSIDE REPAIRS &amp; MAINTENANCE")</f>
        <v xml:space="preserve">          6375 - OUTSIDE REPAIRS &amp; MAINTENANCE</v>
      </c>
      <c r="C191" s="15"/>
      <c r="D191" s="2">
        <v>1502.98</v>
      </c>
      <c r="E191" s="2">
        <v>333.82</v>
      </c>
      <c r="F191" s="2">
        <v>945.75</v>
      </c>
      <c r="G191" s="2">
        <v>6139.63</v>
      </c>
      <c r="H191" s="2">
        <v>8270</v>
      </c>
      <c r="I191" s="2">
        <v>8170</v>
      </c>
      <c r="J191" s="2">
        <v>8270</v>
      </c>
      <c r="K191" s="2">
        <v>8170</v>
      </c>
      <c r="L191" s="2">
        <v>8270</v>
      </c>
      <c r="M191" s="2">
        <v>8170</v>
      </c>
      <c r="N191" s="2">
        <v>8270</v>
      </c>
      <c r="O191" s="2">
        <v>8170</v>
      </c>
      <c r="P191" s="9"/>
      <c r="Q191" s="2">
        <f>SUM(OSRRefD21_16_3x)+IFERROR(SUM(OSRRefE21_16_3x),0)</f>
        <v>74682.179999999993</v>
      </c>
    </row>
    <row r="192" spans="1:17" s="34" customFormat="1" collapsed="1" x14ac:dyDescent="0.25">
      <c r="A192" s="35"/>
      <c r="B192" s="15" t="str">
        <f>CONCATENATE("     ","Royalty &amp; Commissions                             ")</f>
        <v xml:space="preserve">     Royalty &amp; Commissions                             </v>
      </c>
      <c r="C192" s="15"/>
      <c r="D192" s="1">
        <f>SUM(OSRRefD21_17x_0)</f>
        <v>10989.75</v>
      </c>
      <c r="E192" s="1">
        <f>SUM(OSRRefD21_17x_1)</f>
        <v>2254.65</v>
      </c>
      <c r="F192" s="1">
        <f>SUM(OSRRefD21_17x_2)</f>
        <v>62.6</v>
      </c>
      <c r="G192" s="1">
        <f>SUM(OSRRefD21_17x_3)</f>
        <v>10810</v>
      </c>
      <c r="H192" s="1">
        <f>SUM(OSRRefE21_17x_0)</f>
        <v>6321</v>
      </c>
      <c r="I192" s="1">
        <f>SUM(OSRRefE21_17x_1)</f>
        <v>6321</v>
      </c>
      <c r="J192" s="1">
        <f>SUM(OSRRefE21_17x_2)</f>
        <v>6321</v>
      </c>
      <c r="K192" s="1">
        <f>SUM(OSRRefE21_17x_3)</f>
        <v>6321</v>
      </c>
      <c r="L192" s="1">
        <f>SUM(OSRRefE21_17x_4)</f>
        <v>11271</v>
      </c>
      <c r="M192" s="1">
        <f>SUM(OSRRefE21_17x_5)</f>
        <v>6371</v>
      </c>
      <c r="N192" s="1">
        <f>SUM(OSRRefE21_17x_6)</f>
        <v>6371</v>
      </c>
      <c r="O192" s="1">
        <f>SUM(OSRRefE21_17x_7)</f>
        <v>6371</v>
      </c>
      <c r="Q192" s="2">
        <f>SUM(OSRRefD20_17x)+IFERROR(SUM(OSRRefE20_17x),0)</f>
        <v>79785</v>
      </c>
    </row>
    <row r="193" spans="1:17" s="34" customFormat="1" hidden="1" outlineLevel="1" x14ac:dyDescent="0.25">
      <c r="A193" s="35"/>
      <c r="B193" s="13" t="str">
        <f>CONCATENATE("          ","6252", " - ","ROYALTY DUE CSTV")</f>
        <v xml:space="preserve">          6252 - ROYALTY DUE CSTV</v>
      </c>
      <c r="C193" s="15"/>
      <c r="D193" s="2"/>
      <c r="E193" s="2"/>
      <c r="F193" s="2"/>
      <c r="G193" s="2"/>
      <c r="H193" s="2">
        <v>1085</v>
      </c>
      <c r="I193" s="2">
        <v>1085</v>
      </c>
      <c r="J193" s="2">
        <v>1085</v>
      </c>
      <c r="K193" s="2">
        <v>1085</v>
      </c>
      <c r="L193" s="2">
        <v>1085</v>
      </c>
      <c r="M193" s="2">
        <v>1085</v>
      </c>
      <c r="N193" s="2">
        <v>1085</v>
      </c>
      <c r="O193" s="2">
        <v>1085</v>
      </c>
      <c r="P193" s="9"/>
      <c r="Q193" s="2">
        <f>SUM(OSRRefD21_17_0x)+IFERROR(SUM(OSRRefE21_17_0x),0)</f>
        <v>8680</v>
      </c>
    </row>
    <row r="194" spans="1:17" s="34" customFormat="1" hidden="1" outlineLevel="1" x14ac:dyDescent="0.25">
      <c r="A194" s="35"/>
      <c r="B194" s="13" t="str">
        <f>CONCATENATE("          ","6253", " - ","ROYALTY DUE ATHLETICS-LRG")</f>
        <v xml:space="preserve">          6253 - ROYALTY DUE ATHLETICS-LRG</v>
      </c>
      <c r="C194" s="15"/>
      <c r="D194" s="2">
        <v>5672.2</v>
      </c>
      <c r="E194" s="2">
        <v>2250</v>
      </c>
      <c r="F194" s="2"/>
      <c r="G194" s="2">
        <v>10489.6</v>
      </c>
      <c r="H194" s="2">
        <v>4037</v>
      </c>
      <c r="I194" s="2">
        <v>4037</v>
      </c>
      <c r="J194" s="2">
        <v>4037</v>
      </c>
      <c r="K194" s="2">
        <v>4037</v>
      </c>
      <c r="L194" s="2">
        <v>4037</v>
      </c>
      <c r="M194" s="2">
        <v>4037</v>
      </c>
      <c r="N194" s="2">
        <v>4037</v>
      </c>
      <c r="O194" s="2">
        <v>4037</v>
      </c>
      <c r="P194" s="9"/>
      <c r="Q194" s="2">
        <f>SUM(OSRRefD21_17_1x)+IFERROR(SUM(OSRRefE21_17_1x),0)</f>
        <v>50707.8</v>
      </c>
    </row>
    <row r="195" spans="1:17" s="34" customFormat="1" hidden="1" outlineLevel="1" x14ac:dyDescent="0.25">
      <c r="A195" s="35"/>
      <c r="B195" s="13" t="str">
        <f>CONCATENATE("          ","6254", " - ","ROYALTY &amp; COMMISSIONS")</f>
        <v xml:space="preserve">          6254 - ROYALTY &amp; COMMISSIONS</v>
      </c>
      <c r="C195" s="15"/>
      <c r="D195" s="2"/>
      <c r="E195" s="2"/>
      <c r="F195" s="2"/>
      <c r="G195" s="2"/>
      <c r="H195" s="2">
        <v>1149</v>
      </c>
      <c r="I195" s="2">
        <v>1149</v>
      </c>
      <c r="J195" s="2">
        <v>1149</v>
      </c>
      <c r="K195" s="2">
        <v>1149</v>
      </c>
      <c r="L195" s="2">
        <v>1149</v>
      </c>
      <c r="M195" s="2">
        <v>1149</v>
      </c>
      <c r="N195" s="2">
        <v>1149</v>
      </c>
      <c r="O195" s="2">
        <v>1149</v>
      </c>
      <c r="P195" s="9"/>
      <c r="Q195" s="2">
        <f>SUM(OSRRefD21_17_2x)+IFERROR(SUM(OSRRefE21_17_2x),0)</f>
        <v>9192</v>
      </c>
    </row>
    <row r="196" spans="1:17" s="34" customFormat="1" hidden="1" outlineLevel="1" x14ac:dyDescent="0.25">
      <c r="A196" s="35"/>
      <c r="B196" s="13" t="str">
        <f>CONCATENATE("          ","6259", " - ","ROYALTY &amp; COMMISSIONS")</f>
        <v xml:space="preserve">          6259 - ROYALTY &amp; COMMISSIONS</v>
      </c>
      <c r="C196" s="15"/>
      <c r="D196" s="2">
        <v>5317.55</v>
      </c>
      <c r="E196" s="2">
        <v>4.6500000000000004</v>
      </c>
      <c r="F196" s="2">
        <v>62.6</v>
      </c>
      <c r="G196" s="2">
        <v>320.39999999999998</v>
      </c>
      <c r="H196" s="2">
        <v>50</v>
      </c>
      <c r="I196" s="2">
        <v>50</v>
      </c>
      <c r="J196" s="2">
        <v>50</v>
      </c>
      <c r="K196" s="2">
        <v>50</v>
      </c>
      <c r="L196" s="2">
        <v>5000</v>
      </c>
      <c r="M196" s="2">
        <v>100</v>
      </c>
      <c r="N196" s="2">
        <v>100</v>
      </c>
      <c r="O196" s="2">
        <v>100</v>
      </c>
      <c r="P196" s="9"/>
      <c r="Q196" s="2">
        <f>SUM(OSRRefD21_17_3x)+IFERROR(SUM(OSRRefE21_17_3x),0)</f>
        <v>11205.2</v>
      </c>
    </row>
    <row r="197" spans="1:17" s="34" customFormat="1" collapsed="1" x14ac:dyDescent="0.25">
      <c r="A197" s="35"/>
      <c r="B197" s="15" t="str">
        <f>CONCATENATE("     ","Services                                          ")</f>
        <v xml:space="preserve">     Services                                          </v>
      </c>
      <c r="C197" s="15"/>
      <c r="D197" s="1">
        <f>SUM(OSRRefD21_18x_0)</f>
        <v>3883.7400000000002</v>
      </c>
      <c r="E197" s="1">
        <f>SUM(OSRRefD21_18x_1)</f>
        <v>421.78</v>
      </c>
      <c r="F197" s="1">
        <f>SUM(OSRRefD21_18x_2)</f>
        <v>4517.25</v>
      </c>
      <c r="G197" s="1">
        <f>SUM(OSRRefD21_18x_3)</f>
        <v>3968.4200000000005</v>
      </c>
      <c r="H197" s="1">
        <f>SUM(OSRRefE21_18x_0)</f>
        <v>4455</v>
      </c>
      <c r="I197" s="1">
        <f>SUM(OSRRefE21_18x_1)</f>
        <v>4510</v>
      </c>
      <c r="J197" s="1">
        <f>SUM(OSRRefE21_18x_2)</f>
        <v>4780</v>
      </c>
      <c r="K197" s="1">
        <f>SUM(OSRRefE21_18x_3)</f>
        <v>4455</v>
      </c>
      <c r="L197" s="1">
        <f>SUM(OSRRefE21_18x_4)</f>
        <v>4510</v>
      </c>
      <c r="M197" s="1">
        <f>SUM(OSRRefE21_18x_5)</f>
        <v>4555</v>
      </c>
      <c r="N197" s="1">
        <f>SUM(OSRRefE21_18x_6)</f>
        <v>4455</v>
      </c>
      <c r="O197" s="1">
        <f>SUM(OSRRefE21_18x_7)</f>
        <v>4510</v>
      </c>
      <c r="Q197" s="2">
        <f>SUM(OSRRefD20_18x)+IFERROR(SUM(OSRRefE20_18x),0)</f>
        <v>49021.19</v>
      </c>
    </row>
    <row r="198" spans="1:17" s="34" customFormat="1" hidden="1" outlineLevel="1" x14ac:dyDescent="0.25">
      <c r="A198" s="35"/>
      <c r="B198" s="13" t="str">
        <f>CONCATENATE("          ","6282", " - ","JANITORIAL/EXTERMINATOR EXPENS")</f>
        <v xml:space="preserve">          6282 - JANITORIAL/EXTERMINATOR EXPENS</v>
      </c>
      <c r="C198" s="15"/>
      <c r="D198" s="2">
        <v>136.5</v>
      </c>
      <c r="E198" s="2">
        <v>339.94</v>
      </c>
      <c r="F198" s="2">
        <v>266.5</v>
      </c>
      <c r="G198" s="2">
        <v>4330.68</v>
      </c>
      <c r="H198" s="2">
        <v>4000</v>
      </c>
      <c r="I198" s="2">
        <v>4000</v>
      </c>
      <c r="J198" s="2">
        <v>4000</v>
      </c>
      <c r="K198" s="2">
        <v>4000</v>
      </c>
      <c r="L198" s="2">
        <v>4000</v>
      </c>
      <c r="M198" s="2">
        <v>4000</v>
      </c>
      <c r="N198" s="2">
        <v>4000</v>
      </c>
      <c r="O198" s="2">
        <v>4000</v>
      </c>
      <c r="P198" s="9"/>
      <c r="Q198" s="2">
        <f>SUM(OSRRefD21_18_0x)+IFERROR(SUM(OSRRefE21_18_0x),0)</f>
        <v>37073.620000000003</v>
      </c>
    </row>
    <row r="199" spans="1:17" s="34" customFormat="1" hidden="1" outlineLevel="1" x14ac:dyDescent="0.25">
      <c r="A199" s="35"/>
      <c r="B199" s="13" t="str">
        <f>CONCATENATE("          ","6283", " - ","PLANT SERVICE")</f>
        <v xml:space="preserve">          6283 - PLANT SERVICE</v>
      </c>
      <c r="C199" s="15"/>
      <c r="D199" s="2">
        <v>130</v>
      </c>
      <c r="E199" s="2"/>
      <c r="F199" s="2"/>
      <c r="G199" s="2"/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9"/>
      <c r="Q199" s="2">
        <f>SUM(OSRRefD21_18_1x)+IFERROR(SUM(OSRRefE21_18_1x),0)</f>
        <v>130</v>
      </c>
    </row>
    <row r="200" spans="1:17" s="34" customFormat="1" hidden="1" outlineLevel="1" x14ac:dyDescent="0.25">
      <c r="A200" s="35"/>
      <c r="B200" s="13" t="str">
        <f>CONCATENATE("          ","6284", " - ","TRASH REMOVAL EXPENSE")</f>
        <v xml:space="preserve">          6284 - TRASH REMOVAL EXPENSE</v>
      </c>
      <c r="C200" s="15"/>
      <c r="D200" s="2">
        <v>142.57</v>
      </c>
      <c r="E200" s="2">
        <v>142.57</v>
      </c>
      <c r="F200" s="2">
        <v>142.57</v>
      </c>
      <c r="G200" s="2">
        <v>157.59</v>
      </c>
      <c r="H200" s="2">
        <v>55</v>
      </c>
      <c r="I200" s="2">
        <v>110</v>
      </c>
      <c r="J200" s="2">
        <v>55</v>
      </c>
      <c r="K200" s="2">
        <v>55</v>
      </c>
      <c r="L200" s="2">
        <v>110</v>
      </c>
      <c r="M200" s="2">
        <v>55</v>
      </c>
      <c r="N200" s="2">
        <v>55</v>
      </c>
      <c r="O200" s="2">
        <v>110</v>
      </c>
      <c r="P200" s="9"/>
      <c r="Q200" s="2">
        <f>SUM(OSRRefD21_18_2x)+IFERROR(SUM(OSRRefE21_18_2x),0)</f>
        <v>1190.3</v>
      </c>
    </row>
    <row r="201" spans="1:17" s="34" customFormat="1" hidden="1" outlineLevel="1" x14ac:dyDescent="0.25">
      <c r="A201" s="35"/>
      <c r="B201" s="13" t="str">
        <f>CONCATENATE("          ","6285", " - ","JANITORIAL SERVICES")</f>
        <v xml:space="preserve">          6285 - JANITORIAL SERVICES</v>
      </c>
      <c r="C201" s="15"/>
      <c r="D201" s="2">
        <v>3474.67</v>
      </c>
      <c r="E201" s="2">
        <v>-60.73</v>
      </c>
      <c r="F201" s="2">
        <v>4108.18</v>
      </c>
      <c r="G201" s="2">
        <v>-519.85</v>
      </c>
      <c r="H201" s="2">
        <v>400</v>
      </c>
      <c r="I201" s="2">
        <v>400</v>
      </c>
      <c r="J201" s="2">
        <v>725</v>
      </c>
      <c r="K201" s="2">
        <v>400</v>
      </c>
      <c r="L201" s="2">
        <v>400</v>
      </c>
      <c r="M201" s="2">
        <v>500</v>
      </c>
      <c r="N201" s="2">
        <v>400</v>
      </c>
      <c r="O201" s="2">
        <v>400</v>
      </c>
      <c r="P201" s="9"/>
      <c r="Q201" s="2">
        <f>SUM(OSRRefD21_18_3x)+IFERROR(SUM(OSRRefE21_18_3x),0)</f>
        <v>10627.27</v>
      </c>
    </row>
    <row r="202" spans="1:17" s="34" customFormat="1" collapsed="1" x14ac:dyDescent="0.25">
      <c r="A202" s="35"/>
      <c r="B202" s="15" t="str">
        <f>CONCATENATE("     ","Subscriptions &amp; Dues                              ")</f>
        <v xml:space="preserve">     Subscriptions &amp; Dues                              </v>
      </c>
      <c r="C202" s="15"/>
      <c r="D202" s="1">
        <f>SUM(OSRRefD21_19x_0)</f>
        <v>365</v>
      </c>
      <c r="E202" s="1">
        <f>SUM(OSRRefD21_19x_1)</f>
        <v>270</v>
      </c>
      <c r="F202" s="1">
        <f>SUM(OSRRefD21_19x_2)</f>
        <v>148.77000000000001</v>
      </c>
      <c r="G202" s="1">
        <f>SUM(OSRRefD21_19x_3)</f>
        <v>865.32</v>
      </c>
      <c r="H202" s="1">
        <f>SUM(OSRRefE21_19x_0)</f>
        <v>1100</v>
      </c>
      <c r="I202" s="1">
        <f>SUM(OSRRefE21_19x_1)</f>
        <v>1100</v>
      </c>
      <c r="J202" s="1">
        <f>SUM(OSRRefE21_19x_2)</f>
        <v>1100</v>
      </c>
      <c r="K202" s="1">
        <f>SUM(OSRRefE21_19x_3)</f>
        <v>1100</v>
      </c>
      <c r="L202" s="1">
        <f>SUM(OSRRefE21_19x_4)</f>
        <v>1100</v>
      </c>
      <c r="M202" s="1">
        <f>SUM(OSRRefE21_19x_5)</f>
        <v>2900</v>
      </c>
      <c r="N202" s="1">
        <f>SUM(OSRRefE21_19x_6)</f>
        <v>1100</v>
      </c>
      <c r="O202" s="1">
        <f>SUM(OSRRefE21_19x_7)</f>
        <v>1300</v>
      </c>
      <c r="Q202" s="2">
        <f>SUM(OSRRefD20_19x)+IFERROR(SUM(OSRRefE20_19x),0)</f>
        <v>12449.09</v>
      </c>
    </row>
    <row r="203" spans="1:17" s="34" customFormat="1" hidden="1" outlineLevel="1" x14ac:dyDescent="0.25">
      <c r="A203" s="35"/>
      <c r="B203" s="13" t="str">
        <f>CONCATENATE("          ","6258", " - ","MEMBERSHIP DUES")</f>
        <v xml:space="preserve">          6258 - MEMBERSHIP DUES</v>
      </c>
      <c r="C203" s="15"/>
      <c r="D203" s="2">
        <v>290</v>
      </c>
      <c r="E203" s="2">
        <v>270</v>
      </c>
      <c r="F203" s="2">
        <v>73.040000000000006</v>
      </c>
      <c r="G203" s="2">
        <v>790.32</v>
      </c>
      <c r="H203" s="2">
        <v>1100</v>
      </c>
      <c r="I203" s="2">
        <v>1100</v>
      </c>
      <c r="J203" s="2">
        <v>1100</v>
      </c>
      <c r="K203" s="2">
        <v>1100</v>
      </c>
      <c r="L203" s="2">
        <v>1100</v>
      </c>
      <c r="M203" s="2">
        <v>1100</v>
      </c>
      <c r="N203" s="2">
        <v>1100</v>
      </c>
      <c r="O203" s="2">
        <v>1300</v>
      </c>
      <c r="P203" s="9"/>
      <c r="Q203" s="2">
        <f>SUM(OSRRefD21_19_0x)+IFERROR(SUM(OSRRefE21_19_0x),0)</f>
        <v>10423.36</v>
      </c>
    </row>
    <row r="204" spans="1:17" s="34" customFormat="1" hidden="1" outlineLevel="1" x14ac:dyDescent="0.25">
      <c r="A204" s="35"/>
      <c r="B204" s="13" t="str">
        <f>CONCATENATE("          ","6275", " - ","SUBSCRIPTIONS")</f>
        <v xml:space="preserve">          6275 - SUBSCRIPTIONS</v>
      </c>
      <c r="C204" s="15"/>
      <c r="D204" s="2">
        <v>75</v>
      </c>
      <c r="E204" s="2"/>
      <c r="F204" s="2">
        <v>75.73</v>
      </c>
      <c r="G204" s="2">
        <v>75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1800</v>
      </c>
      <c r="N204" s="2">
        <v>0</v>
      </c>
      <c r="O204" s="2">
        <v>0</v>
      </c>
      <c r="P204" s="9"/>
      <c r="Q204" s="2">
        <f>SUM(OSRRefD21_19_1x)+IFERROR(SUM(OSRRefE21_19_1x),0)</f>
        <v>2025.73</v>
      </c>
    </row>
    <row r="205" spans="1:17" s="34" customFormat="1" collapsed="1" x14ac:dyDescent="0.25">
      <c r="A205" s="35"/>
      <c r="B205" s="15" t="str">
        <f>CONCATENATE("     ","Supplies                                          ")</f>
        <v xml:space="preserve">     Supplies                                          </v>
      </c>
      <c r="C205" s="15"/>
      <c r="D205" s="1">
        <f>SUM(OSRRefD21_20x_0)</f>
        <v>12188.04</v>
      </c>
      <c r="E205" s="1">
        <f>SUM(OSRRefD21_20x_1)</f>
        <v>8805.4500000000007</v>
      </c>
      <c r="F205" s="1">
        <f>SUM(OSRRefD21_20x_2)</f>
        <v>13891.560000000001</v>
      </c>
      <c r="G205" s="1">
        <f>SUM(OSRRefD21_20x_3)</f>
        <v>23238.389999999996</v>
      </c>
      <c r="H205" s="1">
        <f>SUM(OSRRefE21_20x_0)</f>
        <v>3910</v>
      </c>
      <c r="I205" s="1">
        <f>SUM(OSRRefE21_20x_1)</f>
        <v>6560</v>
      </c>
      <c r="J205" s="1">
        <f>SUM(OSRRefE21_20x_2)</f>
        <v>7045</v>
      </c>
      <c r="K205" s="1">
        <f>SUM(OSRRefE21_20x_3)</f>
        <v>5060</v>
      </c>
      <c r="L205" s="1">
        <f>SUM(OSRRefE21_20x_4)</f>
        <v>4420</v>
      </c>
      <c r="M205" s="1">
        <f>SUM(OSRRefE21_20x_5)</f>
        <v>4095</v>
      </c>
      <c r="N205" s="1">
        <f>SUM(OSRRefE21_20x_6)</f>
        <v>6420</v>
      </c>
      <c r="O205" s="1">
        <f>SUM(OSRRefE21_20x_7)</f>
        <v>3970</v>
      </c>
      <c r="Q205" s="2">
        <f>SUM(OSRRefD20_20x)+IFERROR(SUM(OSRRefE20_20x),0)</f>
        <v>99603.44</v>
      </c>
    </row>
    <row r="206" spans="1:17" s="34" customFormat="1" hidden="1" outlineLevel="1" x14ac:dyDescent="0.25">
      <c r="A206" s="35"/>
      <c r="B206" s="13" t="str">
        <f>CONCATENATE("          ","6234", " - ","EXPENDABLE SUPPLIES &amp; EQUIPMEN")</f>
        <v xml:space="preserve">          6234 - EXPENDABLE SUPPLIES &amp; EQUIPMEN</v>
      </c>
      <c r="C206" s="15"/>
      <c r="D206" s="2"/>
      <c r="E206" s="2"/>
      <c r="F206" s="2"/>
      <c r="G206" s="2">
        <v>101.34</v>
      </c>
      <c r="H206" s="2">
        <v>100</v>
      </c>
      <c r="I206" s="2">
        <v>100</v>
      </c>
      <c r="J206" s="2">
        <v>100</v>
      </c>
      <c r="K206" s="2">
        <v>100</v>
      </c>
      <c r="L206" s="2">
        <v>100</v>
      </c>
      <c r="M206" s="2">
        <v>100</v>
      </c>
      <c r="N206" s="2">
        <v>100</v>
      </c>
      <c r="O206" s="2">
        <v>100</v>
      </c>
      <c r="P206" s="9"/>
      <c r="Q206" s="2">
        <f>SUM(OSRRefD21_20_0x)+IFERROR(SUM(OSRRefE21_20_0x),0)</f>
        <v>901.34</v>
      </c>
    </row>
    <row r="207" spans="1:17" s="34" customFormat="1" hidden="1" outlineLevel="1" x14ac:dyDescent="0.25">
      <c r="A207" s="35"/>
      <c r="B207" s="13" t="str">
        <f>CONCATENATE("          ","6235", " - ","COVID-19 EXPENSES")</f>
        <v xml:space="preserve">          6235 - COVID-19 EXPENSES</v>
      </c>
      <c r="C207" s="15"/>
      <c r="D207" s="2">
        <v>6680.23</v>
      </c>
      <c r="E207" s="2">
        <v>621.78</v>
      </c>
      <c r="F207" s="2">
        <v>2460.7800000000002</v>
      </c>
      <c r="G207" s="2">
        <v>16805.12</v>
      </c>
      <c r="H207" s="2">
        <v>300</v>
      </c>
      <c r="I207" s="2">
        <v>300</v>
      </c>
      <c r="J207" s="2">
        <v>300</v>
      </c>
      <c r="K207" s="2">
        <v>300</v>
      </c>
      <c r="L207" s="2">
        <v>300</v>
      </c>
      <c r="M207" s="2">
        <v>300</v>
      </c>
      <c r="N207" s="2">
        <v>300</v>
      </c>
      <c r="O207" s="2">
        <v>300</v>
      </c>
      <c r="P207" s="9"/>
      <c r="Q207" s="2">
        <f>SUM(OSRRefD21_20_1x)+IFERROR(SUM(OSRRefE21_20_1x),0)</f>
        <v>28967.909999999996</v>
      </c>
    </row>
    <row r="208" spans="1:17" s="34" customFormat="1" hidden="1" outlineLevel="1" x14ac:dyDescent="0.25">
      <c r="A208" s="35"/>
      <c r="B208" s="13" t="str">
        <f>CONCATENATE("          ","6237", " - ","JANITORIAL SUPPLIES")</f>
        <v xml:space="preserve">          6237 - JANITORIAL SUPPLIES</v>
      </c>
      <c r="C208" s="15"/>
      <c r="D208" s="2">
        <v>139.31</v>
      </c>
      <c r="E208" s="2"/>
      <c r="F208" s="2"/>
      <c r="G208" s="2">
        <v>1109.05</v>
      </c>
      <c r="H208" s="2">
        <v>210</v>
      </c>
      <c r="I208" s="2">
        <v>210</v>
      </c>
      <c r="J208" s="2">
        <v>220</v>
      </c>
      <c r="K208" s="2">
        <v>210</v>
      </c>
      <c r="L208" s="2">
        <v>220</v>
      </c>
      <c r="M208" s="2">
        <v>220</v>
      </c>
      <c r="N208" s="2">
        <v>220</v>
      </c>
      <c r="O208" s="2">
        <v>220</v>
      </c>
      <c r="P208" s="9"/>
      <c r="Q208" s="2">
        <f>SUM(OSRRefD21_20_2x)+IFERROR(SUM(OSRRefE21_20_2x),0)</f>
        <v>2978.3599999999997</v>
      </c>
    </row>
    <row r="209" spans="1:17" s="34" customFormat="1" hidden="1" outlineLevel="1" x14ac:dyDescent="0.25">
      <c r="A209" s="35"/>
      <c r="B209" s="13" t="str">
        <f>CONCATENATE("          ","6241", " - ","OFFICE EXPENSE")</f>
        <v xml:space="preserve">          6241 - OFFICE EXPENSE</v>
      </c>
      <c r="C209" s="15"/>
      <c r="D209" s="2">
        <v>430.41</v>
      </c>
      <c r="E209" s="2">
        <v>3080.94</v>
      </c>
      <c r="F209" s="2">
        <v>4794.93</v>
      </c>
      <c r="G209" s="2">
        <v>359.78</v>
      </c>
      <c r="H209" s="2">
        <v>525</v>
      </c>
      <c r="I209" s="2">
        <v>1000</v>
      </c>
      <c r="J209" s="2">
        <v>725</v>
      </c>
      <c r="K209" s="2">
        <v>700</v>
      </c>
      <c r="L209" s="2">
        <v>525</v>
      </c>
      <c r="M209" s="2">
        <v>500</v>
      </c>
      <c r="N209" s="2">
        <v>525</v>
      </c>
      <c r="O209" s="2">
        <v>400</v>
      </c>
      <c r="P209" s="9"/>
      <c r="Q209" s="2">
        <f>SUM(OSRRefD21_20_3x)+IFERROR(SUM(OSRRefE21_20_3x),0)</f>
        <v>13566.060000000001</v>
      </c>
    </row>
    <row r="210" spans="1:17" s="34" customFormat="1" hidden="1" outlineLevel="1" x14ac:dyDescent="0.25">
      <c r="A210" s="35"/>
      <c r="B210" s="13" t="str">
        <f>CONCATENATE("          ","6243", " - ","PAPER SUPPLIES")</f>
        <v xml:space="preserve">          6243 - PAPER SUPPLIES</v>
      </c>
      <c r="C210" s="15"/>
      <c r="D210" s="2">
        <v>1080</v>
      </c>
      <c r="E210" s="2">
        <v>2044.69</v>
      </c>
      <c r="F210" s="2"/>
      <c r="G210" s="2">
        <v>449.01</v>
      </c>
      <c r="H210" s="2">
        <v>100</v>
      </c>
      <c r="I210" s="2">
        <v>2000</v>
      </c>
      <c r="J210" s="2">
        <v>2000</v>
      </c>
      <c r="K210" s="2">
        <v>100</v>
      </c>
      <c r="L210" s="2">
        <v>100</v>
      </c>
      <c r="M210" s="2">
        <v>100</v>
      </c>
      <c r="N210" s="2">
        <v>2000</v>
      </c>
      <c r="O210" s="2">
        <v>100</v>
      </c>
      <c r="P210" s="9"/>
      <c r="Q210" s="2">
        <f>SUM(OSRRefD21_20_4x)+IFERROR(SUM(OSRRefE21_20_4x),0)</f>
        <v>10073.700000000001</v>
      </c>
    </row>
    <row r="211" spans="1:17" s="34" customFormat="1" hidden="1" outlineLevel="1" x14ac:dyDescent="0.25">
      <c r="A211" s="35"/>
      <c r="B211" s="13" t="str">
        <f>CONCATENATE("          ","6244", " - ","SAFETY SUPPLY EXPENSE")</f>
        <v xml:space="preserve">          6244 - SAFETY SUPPLY EXPENSE</v>
      </c>
      <c r="C211" s="15"/>
      <c r="D211" s="2"/>
      <c r="E211" s="2"/>
      <c r="F211" s="2"/>
      <c r="G211" s="2"/>
      <c r="H211" s="2">
        <v>0</v>
      </c>
      <c r="I211" s="2">
        <v>0</v>
      </c>
      <c r="J211" s="2">
        <v>25</v>
      </c>
      <c r="K211" s="2">
        <v>0</v>
      </c>
      <c r="L211" s="2">
        <v>0</v>
      </c>
      <c r="M211" s="2">
        <v>25</v>
      </c>
      <c r="N211" s="2">
        <v>0</v>
      </c>
      <c r="O211" s="2">
        <v>0</v>
      </c>
      <c r="P211" s="9"/>
      <c r="Q211" s="2">
        <f>SUM(OSRRefD21_20_5x)+IFERROR(SUM(OSRRefE21_20_5x),0)</f>
        <v>50</v>
      </c>
    </row>
    <row r="212" spans="1:17" s="34" customFormat="1" hidden="1" outlineLevel="1" x14ac:dyDescent="0.25">
      <c r="A212" s="35"/>
      <c r="B212" s="13" t="str">
        <f>CONCATENATE("          ","6245", " - ","PRINTING")</f>
        <v xml:space="preserve">          6245 - PRINTING</v>
      </c>
      <c r="C212" s="15"/>
      <c r="D212" s="2">
        <v>-1543.5</v>
      </c>
      <c r="E212" s="2">
        <v>1248</v>
      </c>
      <c r="F212" s="2">
        <v>356.96</v>
      </c>
      <c r="G212" s="2">
        <v>353.09</v>
      </c>
      <c r="H212" s="2">
        <v>125</v>
      </c>
      <c r="I212" s="2">
        <v>425</v>
      </c>
      <c r="J212" s="2">
        <v>525</v>
      </c>
      <c r="K212" s="2">
        <v>125</v>
      </c>
      <c r="L212" s="2">
        <v>125</v>
      </c>
      <c r="M212" s="2">
        <v>125</v>
      </c>
      <c r="N212" s="2">
        <v>525</v>
      </c>
      <c r="O212" s="2">
        <v>125</v>
      </c>
      <c r="P212" s="9"/>
      <c r="Q212" s="2">
        <f>SUM(OSRRefD21_20_6x)+IFERROR(SUM(OSRRefE21_20_6x),0)</f>
        <v>2514.5500000000002</v>
      </c>
    </row>
    <row r="213" spans="1:17" s="34" customFormat="1" hidden="1" outlineLevel="1" x14ac:dyDescent="0.25">
      <c r="A213" s="35"/>
      <c r="B213" s="13" t="str">
        <f>CONCATENATE("          ","6247", " - ","STORE SUPPLIES")</f>
        <v xml:space="preserve">          6247 - STORE SUPPLIES</v>
      </c>
      <c r="C213" s="15"/>
      <c r="D213" s="2">
        <v>5401.59</v>
      </c>
      <c r="E213" s="2">
        <v>1810.04</v>
      </c>
      <c r="F213" s="2">
        <v>6278.89</v>
      </c>
      <c r="G213" s="2">
        <v>4061</v>
      </c>
      <c r="H213" s="2">
        <v>1550</v>
      </c>
      <c r="I213" s="2">
        <v>1525</v>
      </c>
      <c r="J213" s="2">
        <v>2150</v>
      </c>
      <c r="K213" s="2">
        <v>2525</v>
      </c>
      <c r="L213" s="2">
        <v>2050</v>
      </c>
      <c r="M213" s="2">
        <v>1725</v>
      </c>
      <c r="N213" s="2">
        <v>1750</v>
      </c>
      <c r="O213" s="2">
        <v>1725</v>
      </c>
      <c r="P213" s="9"/>
      <c r="Q213" s="2">
        <f>SUM(OSRRefD21_20_7x)+IFERROR(SUM(OSRRefE21_20_7x),0)</f>
        <v>32551.52</v>
      </c>
    </row>
    <row r="214" spans="1:17" s="34" customFormat="1" hidden="1" outlineLevel="1" x14ac:dyDescent="0.25">
      <c r="A214" s="35"/>
      <c r="B214" s="13" t="str">
        <f>CONCATENATE("          ","6248", " - ","UNIFORMS")</f>
        <v xml:space="preserve">          6248 - UNIFORMS</v>
      </c>
      <c r="C214" s="15"/>
      <c r="D214" s="2"/>
      <c r="E214" s="2"/>
      <c r="F214" s="2"/>
      <c r="G214" s="2"/>
      <c r="H214" s="2">
        <v>1000</v>
      </c>
      <c r="I214" s="2">
        <v>1000</v>
      </c>
      <c r="J214" s="2">
        <v>1000</v>
      </c>
      <c r="K214" s="2">
        <v>1000</v>
      </c>
      <c r="L214" s="2">
        <v>1000</v>
      </c>
      <c r="M214" s="2">
        <v>1000</v>
      </c>
      <c r="N214" s="2">
        <v>1000</v>
      </c>
      <c r="O214" s="2">
        <v>1000</v>
      </c>
      <c r="P214" s="9"/>
      <c r="Q214" s="2">
        <f>SUM(OSRRefD21_20_8x)+IFERROR(SUM(OSRRefE21_20_8x),0)</f>
        <v>8000</v>
      </c>
    </row>
    <row r="215" spans="1:17" s="34" customFormat="1" collapsed="1" x14ac:dyDescent="0.25">
      <c r="A215" s="35"/>
      <c r="B215" s="15" t="str">
        <f>CONCATENATE("     ","Telephone/Data Lines                              ")</f>
        <v xml:space="preserve">     Telephone/Data Lines                              </v>
      </c>
      <c r="C215" s="15"/>
      <c r="D215" s="1">
        <f>SUM(OSRRefD21_21x_0)</f>
        <v>2678.05</v>
      </c>
      <c r="E215" s="1">
        <f>SUM(OSRRefD21_21x_1)</f>
        <v>2403.75</v>
      </c>
      <c r="F215" s="1">
        <f>SUM(OSRRefD21_21x_2)</f>
        <v>5360.54</v>
      </c>
      <c r="G215" s="1">
        <f>SUM(OSRRefD21_21x_3)</f>
        <v>1203.6300000000001</v>
      </c>
      <c r="H215" s="1">
        <f>SUM(OSRRefE21_21x_0)</f>
        <v>2505</v>
      </c>
      <c r="I215" s="1">
        <f>SUM(OSRRefE21_21x_1)</f>
        <v>2805</v>
      </c>
      <c r="J215" s="1">
        <f>SUM(OSRRefE21_21x_2)</f>
        <v>3005</v>
      </c>
      <c r="K215" s="1">
        <f>SUM(OSRRefE21_21x_3)</f>
        <v>2505</v>
      </c>
      <c r="L215" s="1">
        <f>SUM(OSRRefE21_21x_4)</f>
        <v>2505</v>
      </c>
      <c r="M215" s="1">
        <f>SUM(OSRRefE21_21x_5)</f>
        <v>2505</v>
      </c>
      <c r="N215" s="1">
        <f>SUM(OSRRefE21_21x_6)</f>
        <v>2505</v>
      </c>
      <c r="O215" s="1">
        <f>SUM(OSRRefE21_21x_7)</f>
        <v>2505</v>
      </c>
      <c r="Q215" s="2">
        <f>SUM(OSRRefD20_21x)+IFERROR(SUM(OSRRefE20_21x),0)</f>
        <v>32485.97</v>
      </c>
    </row>
    <row r="216" spans="1:17" s="34" customFormat="1" hidden="1" outlineLevel="1" x14ac:dyDescent="0.25">
      <c r="A216" s="35"/>
      <c r="B216" s="13" t="str">
        <f>CONCATENATE("          ","6303", " - ","DATA PHONE LINES")</f>
        <v xml:space="preserve">          6303 - DATA PHONE LINES</v>
      </c>
      <c r="C216" s="15"/>
      <c r="D216" s="2">
        <v>295</v>
      </c>
      <c r="E216" s="2"/>
      <c r="F216" s="2">
        <v>885</v>
      </c>
      <c r="G216" s="2"/>
      <c r="H216" s="2">
        <v>530</v>
      </c>
      <c r="I216" s="2">
        <v>530</v>
      </c>
      <c r="J216" s="2">
        <v>530</v>
      </c>
      <c r="K216" s="2">
        <v>530</v>
      </c>
      <c r="L216" s="2">
        <v>530</v>
      </c>
      <c r="M216" s="2">
        <v>530</v>
      </c>
      <c r="N216" s="2">
        <v>530</v>
      </c>
      <c r="O216" s="2">
        <v>530</v>
      </c>
      <c r="P216" s="9"/>
      <c r="Q216" s="2">
        <f>SUM(OSRRefD21_21_0x)+IFERROR(SUM(OSRRefE21_21_0x),0)</f>
        <v>5420</v>
      </c>
    </row>
    <row r="217" spans="1:17" s="34" customFormat="1" hidden="1" outlineLevel="1" x14ac:dyDescent="0.25">
      <c r="A217" s="35"/>
      <c r="B217" s="13" t="str">
        <f>CONCATENATE("          ","6309", " - ","TELEPHONE")</f>
        <v xml:space="preserve">          6309 - TELEPHONE</v>
      </c>
      <c r="C217" s="15"/>
      <c r="D217" s="2">
        <v>2383.0500000000002</v>
      </c>
      <c r="E217" s="2">
        <v>2403.75</v>
      </c>
      <c r="F217" s="2">
        <v>4475.54</v>
      </c>
      <c r="G217" s="2">
        <v>1203.6300000000001</v>
      </c>
      <c r="H217" s="2">
        <v>1975</v>
      </c>
      <c r="I217" s="2">
        <v>2275</v>
      </c>
      <c r="J217" s="2">
        <v>2475</v>
      </c>
      <c r="K217" s="2">
        <v>1975</v>
      </c>
      <c r="L217" s="2">
        <v>1975</v>
      </c>
      <c r="M217" s="2">
        <v>1975</v>
      </c>
      <c r="N217" s="2">
        <v>1975</v>
      </c>
      <c r="O217" s="2">
        <v>1975</v>
      </c>
      <c r="P217" s="9"/>
      <c r="Q217" s="2">
        <f>SUM(OSRRefD21_21_1x)+IFERROR(SUM(OSRRefE21_21_1x),0)</f>
        <v>27065.97</v>
      </c>
    </row>
    <row r="218" spans="1:17" s="34" customFormat="1" collapsed="1" x14ac:dyDescent="0.25">
      <c r="A218" s="35"/>
      <c r="B218" s="15" t="str">
        <f>CONCATENATE("     ","Training                                          ")</f>
        <v xml:space="preserve">     Training                                          </v>
      </c>
      <c r="C218" s="15"/>
      <c r="D218" s="1">
        <f>SUM(OSRRefD21_22x_0)</f>
        <v>131.63</v>
      </c>
      <c r="E218" s="1">
        <f>SUM(OSRRefD21_22x_1)</f>
        <v>0</v>
      </c>
      <c r="F218" s="1">
        <f>SUM(OSRRefD21_22x_2)</f>
        <v>0</v>
      </c>
      <c r="G218" s="1">
        <f>SUM(OSRRefD21_22x_3)</f>
        <v>114</v>
      </c>
      <c r="H218" s="1">
        <f>SUM(OSRRefE21_22x_0)</f>
        <v>750</v>
      </c>
      <c r="I218" s="1">
        <f>SUM(OSRRefE21_22x_1)</f>
        <v>0</v>
      </c>
      <c r="J218" s="1">
        <f>SUM(OSRRefE21_22x_2)</f>
        <v>1500</v>
      </c>
      <c r="K218" s="1">
        <f>SUM(OSRRefE21_22x_3)</f>
        <v>6000</v>
      </c>
      <c r="L218" s="1">
        <f>SUM(OSRRefE21_22x_4)</f>
        <v>0</v>
      </c>
      <c r="M218" s="1">
        <f>SUM(OSRRefE21_22x_5)</f>
        <v>0</v>
      </c>
      <c r="N218" s="1">
        <f>SUM(OSRRefE21_22x_6)</f>
        <v>0</v>
      </c>
      <c r="O218" s="1">
        <f>SUM(OSRRefE21_22x_7)</f>
        <v>0</v>
      </c>
      <c r="Q218" s="2">
        <f>SUM(OSRRefD20_22x)+IFERROR(SUM(OSRRefE20_22x),0)</f>
        <v>8495.6299999999992</v>
      </c>
    </row>
    <row r="219" spans="1:17" s="34" customFormat="1" hidden="1" outlineLevel="1" x14ac:dyDescent="0.25">
      <c r="A219" s="35"/>
      <c r="B219" s="13" t="str">
        <f>CONCATENATE("          ","6376", " - ","TRAINING")</f>
        <v xml:space="preserve">          6376 - TRAINING</v>
      </c>
      <c r="C219" s="15"/>
      <c r="D219" s="2">
        <v>131.63</v>
      </c>
      <c r="E219" s="2"/>
      <c r="F219" s="2"/>
      <c r="G219" s="2">
        <v>114</v>
      </c>
      <c r="H219" s="2">
        <v>750</v>
      </c>
      <c r="I219" s="2">
        <v>0</v>
      </c>
      <c r="J219" s="2">
        <v>1500</v>
      </c>
      <c r="K219" s="2">
        <v>6000</v>
      </c>
      <c r="L219" s="2">
        <v>0</v>
      </c>
      <c r="M219" s="2">
        <v>0</v>
      </c>
      <c r="N219" s="2">
        <v>0</v>
      </c>
      <c r="O219" s="2">
        <v>0</v>
      </c>
      <c r="P219" s="9"/>
      <c r="Q219" s="2">
        <f>SUM(OSRRefD21_22_0x)+IFERROR(SUM(OSRRefE21_22_0x),0)</f>
        <v>8495.6299999999992</v>
      </c>
    </row>
    <row r="220" spans="1:17" s="34" customFormat="1" collapsed="1" x14ac:dyDescent="0.25">
      <c r="A220" s="35"/>
      <c r="B220" s="15" t="str">
        <f>CONCATENATE("     ","Travel                                            ")</f>
        <v xml:space="preserve">     Travel                                            </v>
      </c>
      <c r="C220" s="15"/>
      <c r="D220" s="1">
        <f>SUM(OSRRefD21_23x_0)</f>
        <v>275.20999999999998</v>
      </c>
      <c r="E220" s="1">
        <f>SUM(OSRRefD21_23x_1)</f>
        <v>25.76</v>
      </c>
      <c r="F220" s="1">
        <f>SUM(OSRRefD21_23x_2)</f>
        <v>0</v>
      </c>
      <c r="G220" s="1">
        <f>SUM(OSRRefD21_23x_3)</f>
        <v>80.959999999999994</v>
      </c>
      <c r="H220" s="1">
        <f>SUM(OSRRefE21_23x_0)</f>
        <v>25</v>
      </c>
      <c r="I220" s="1">
        <f>SUM(OSRRefE21_23x_1)</f>
        <v>25</v>
      </c>
      <c r="J220" s="1">
        <f>SUM(OSRRefE21_23x_2)</f>
        <v>25</v>
      </c>
      <c r="K220" s="1">
        <f>SUM(OSRRefE21_23x_3)</f>
        <v>25</v>
      </c>
      <c r="L220" s="1">
        <f>SUM(OSRRefE21_23x_4)</f>
        <v>25</v>
      </c>
      <c r="M220" s="1">
        <f>SUM(OSRRefE21_23x_5)</f>
        <v>25</v>
      </c>
      <c r="N220" s="1">
        <f>SUM(OSRRefE21_23x_6)</f>
        <v>25</v>
      </c>
      <c r="O220" s="1">
        <f>SUM(OSRRefE21_23x_7)</f>
        <v>25</v>
      </c>
      <c r="Q220" s="2">
        <f>SUM(OSRRefD20_23x)+IFERROR(SUM(OSRRefE20_23x),0)</f>
        <v>581.92999999999995</v>
      </c>
    </row>
    <row r="221" spans="1:17" s="34" customFormat="1" hidden="1" outlineLevel="1" x14ac:dyDescent="0.25">
      <c r="A221" s="35"/>
      <c r="B221" s="13" t="str">
        <f>CONCATENATE("          ","6292", " - ","TRAVEL/CONFERENCE")</f>
        <v xml:space="preserve">          6292 - TRAVEL/CONFERENCE</v>
      </c>
      <c r="C221" s="15"/>
      <c r="D221" s="2">
        <v>0.16</v>
      </c>
      <c r="E221" s="2"/>
      <c r="F221" s="2"/>
      <c r="G221" s="2"/>
      <c r="H221" s="2">
        <v>0</v>
      </c>
      <c r="I221" s="2"/>
      <c r="J221" s="2"/>
      <c r="K221" s="2"/>
      <c r="L221" s="2"/>
      <c r="M221" s="2"/>
      <c r="N221" s="2"/>
      <c r="O221" s="2"/>
      <c r="P221" s="9"/>
      <c r="Q221" s="2">
        <f>SUM(OSRRefD21_23_0x)+IFERROR(SUM(OSRRefE21_23_0x),0)</f>
        <v>0.16</v>
      </c>
    </row>
    <row r="222" spans="1:17" s="34" customFormat="1" hidden="1" outlineLevel="1" x14ac:dyDescent="0.25">
      <c r="A222" s="35"/>
      <c r="B222" s="13" t="str">
        <f>CONCATENATE("          ","6294", " - ","TRAVEL OPERATIONAL")</f>
        <v xml:space="preserve">          6294 - TRAVEL OPERATIONAL</v>
      </c>
      <c r="C222" s="15"/>
      <c r="D222" s="2">
        <v>215.16</v>
      </c>
      <c r="E222" s="2">
        <v>25.76</v>
      </c>
      <c r="F222" s="2"/>
      <c r="G222" s="2">
        <v>80.959999999999994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9"/>
      <c r="Q222" s="2">
        <f>SUM(OSRRefD21_23_1x)+IFERROR(SUM(OSRRefE21_23_1x),0)</f>
        <v>321.88</v>
      </c>
    </row>
    <row r="223" spans="1:17" s="34" customFormat="1" hidden="1" outlineLevel="1" x14ac:dyDescent="0.25">
      <c r="A223" s="35"/>
      <c r="B223" s="13" t="str">
        <f>CONCATENATE("          ","6298", " - ","VEHICLE MILEAGE")</f>
        <v xml:space="preserve">          6298 - VEHICLE MILEAGE</v>
      </c>
      <c r="C223" s="15"/>
      <c r="D223" s="2">
        <v>59.89</v>
      </c>
      <c r="E223" s="2"/>
      <c r="F223" s="2"/>
      <c r="G223" s="2"/>
      <c r="H223" s="2">
        <v>25</v>
      </c>
      <c r="I223" s="2">
        <v>25</v>
      </c>
      <c r="J223" s="2">
        <v>25</v>
      </c>
      <c r="K223" s="2">
        <v>25</v>
      </c>
      <c r="L223" s="2">
        <v>25</v>
      </c>
      <c r="M223" s="2">
        <v>25</v>
      </c>
      <c r="N223" s="2">
        <v>25</v>
      </c>
      <c r="O223" s="2">
        <v>25</v>
      </c>
      <c r="P223" s="9"/>
      <c r="Q223" s="2">
        <f>SUM(OSRRefD21_23_2x)+IFERROR(SUM(OSRRefE21_23_2x),0)</f>
        <v>259.89</v>
      </c>
    </row>
    <row r="224" spans="1:17" s="34" customFormat="1" collapsed="1" x14ac:dyDescent="0.25">
      <c r="A224" s="35"/>
      <c r="B224" s="15" t="str">
        <f>CONCATENATE("     ","Utilities                                         ")</f>
        <v xml:space="preserve">     Utilities                                         </v>
      </c>
      <c r="C224" s="15"/>
      <c r="D224" s="1">
        <f>SUM(OSRRefD21_24x_0)</f>
        <v>6161.46</v>
      </c>
      <c r="E224" s="1">
        <f>SUM(OSRRefD21_24x_1)</f>
        <v>6159.91</v>
      </c>
      <c r="F224" s="1">
        <f>SUM(OSRRefD21_24x_2)</f>
        <v>6161.01</v>
      </c>
      <c r="G224" s="1">
        <f>SUM(OSRRefD21_24x_3)</f>
        <v>5953.05</v>
      </c>
      <c r="H224" s="1">
        <f>SUM(OSRRefE21_24x_0)</f>
        <v>6105</v>
      </c>
      <c r="I224" s="1">
        <f>SUM(OSRRefE21_24x_1)</f>
        <v>6225</v>
      </c>
      <c r="J224" s="1">
        <f>SUM(OSRRefE21_24x_2)</f>
        <v>6225</v>
      </c>
      <c r="K224" s="1">
        <f>SUM(OSRRefE21_24x_3)</f>
        <v>8800</v>
      </c>
      <c r="L224" s="1">
        <f>SUM(OSRRefE21_24x_4)</f>
        <v>6150</v>
      </c>
      <c r="M224" s="1">
        <f>SUM(OSRRefE21_24x_5)</f>
        <v>6105</v>
      </c>
      <c r="N224" s="1">
        <f>SUM(OSRRefE21_24x_6)</f>
        <v>6105</v>
      </c>
      <c r="O224" s="1">
        <f>SUM(OSRRefE21_24x_7)</f>
        <v>6105</v>
      </c>
      <c r="Q224" s="2">
        <f>SUM(OSRRefD20_24x)+IFERROR(SUM(OSRRefE20_24x),0)</f>
        <v>76255.429999999993</v>
      </c>
    </row>
    <row r="225" spans="1:17" s="34" customFormat="1" hidden="1" outlineLevel="1" x14ac:dyDescent="0.25">
      <c r="A225" s="35"/>
      <c r="B225" s="13" t="str">
        <f>CONCATENATE("          ","6274", " - ","UTILITIES")</f>
        <v xml:space="preserve">          6274 - UTILITIES</v>
      </c>
      <c r="C225" s="15"/>
      <c r="D225" s="2">
        <v>6161.46</v>
      </c>
      <c r="E225" s="2">
        <v>6159.91</v>
      </c>
      <c r="F225" s="2">
        <v>6161.01</v>
      </c>
      <c r="G225" s="2">
        <v>5953.05</v>
      </c>
      <c r="H225" s="2">
        <v>6105</v>
      </c>
      <c r="I225" s="2">
        <v>6225</v>
      </c>
      <c r="J225" s="2">
        <v>6225</v>
      </c>
      <c r="K225" s="2">
        <v>8800</v>
      </c>
      <c r="L225" s="2">
        <v>6150</v>
      </c>
      <c r="M225" s="2">
        <v>6105</v>
      </c>
      <c r="N225" s="2">
        <v>6105</v>
      </c>
      <c r="O225" s="2">
        <v>6105</v>
      </c>
      <c r="P225" s="9"/>
      <c r="Q225" s="2">
        <f>SUM(OSRRefD21_24_0x)+IFERROR(SUM(OSRRefE21_24_0x),0)</f>
        <v>76255.429999999993</v>
      </c>
    </row>
    <row r="226" spans="1:17" s="28" customFormat="1" x14ac:dyDescent="0.25">
      <c r="A226" s="20"/>
      <c r="B226" s="20"/>
      <c r="C226" s="20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Q226" s="1"/>
    </row>
    <row r="227" spans="1:17" s="9" customFormat="1" x14ac:dyDescent="0.25">
      <c r="A227" s="22"/>
      <c r="B227" s="16" t="s">
        <v>0</v>
      </c>
      <c r="C227" s="23"/>
      <c r="D227" s="3">
        <f>--197497.19</f>
        <v>197497.19</v>
      </c>
      <c r="E227" s="3">
        <f>--56729.3</f>
        <v>56729.3</v>
      </c>
      <c r="F227" s="3">
        <f>--166946.43</f>
        <v>166946.43</v>
      </c>
      <c r="G227" s="3">
        <f>--31945.74</f>
        <v>31945.74</v>
      </c>
      <c r="H227" s="3">
        <v>33559</v>
      </c>
      <c r="I227" s="3">
        <v>209140</v>
      </c>
      <c r="J227" s="3">
        <v>40111</v>
      </c>
      <c r="K227" s="3">
        <v>125713.99999999999</v>
      </c>
      <c r="L227" s="3">
        <v>208281</v>
      </c>
      <c r="M227" s="3">
        <v>35766</v>
      </c>
      <c r="N227" s="3">
        <v>37271</v>
      </c>
      <c r="O227" s="3">
        <v>252527</v>
      </c>
      <c r="Q227" s="2">
        <f>SUM(OSRRefD23_0x)+IFERROR(SUM(OSRRefE23_0x),0)</f>
        <v>1395487.66</v>
      </c>
    </row>
    <row r="228" spans="1:17" x14ac:dyDescent="0.25">
      <c r="A228" s="5"/>
      <c r="B228" s="8"/>
      <c r="C228" s="8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Q228" s="3"/>
    </row>
    <row r="229" spans="1:17" s="14" customFormat="1" x14ac:dyDescent="0.25">
      <c r="A229" s="8"/>
      <c r="B229" s="17" t="s">
        <v>3</v>
      </c>
      <c r="C229" s="17"/>
      <c r="D229" s="6">
        <f t="shared" ref="D229:O229" si="14">IFERROR(+D128-D131+D227, 0)</f>
        <v>-22600.220000000147</v>
      </c>
      <c r="E229" s="6">
        <f t="shared" si="14"/>
        <v>346578.76000000065</v>
      </c>
      <c r="F229" s="6">
        <f t="shared" si="14"/>
        <v>34339.07000000024</v>
      </c>
      <c r="G229" s="6">
        <f t="shared" si="14"/>
        <v>-213918.01000000015</v>
      </c>
      <c r="H229" s="6">
        <f t="shared" si="14"/>
        <v>-119977.07663173077</v>
      </c>
      <c r="I229" s="6">
        <f t="shared" si="14"/>
        <v>25668.647717300046</v>
      </c>
      <c r="J229" s="6">
        <f t="shared" si="14"/>
        <v>-19963.118421162362</v>
      </c>
      <c r="K229" s="6">
        <f t="shared" si="14"/>
        <v>-49923.14009412007</v>
      </c>
      <c r="L229" s="6">
        <f t="shared" si="14"/>
        <v>38670.371613879979</v>
      </c>
      <c r="M229" s="6">
        <f t="shared" si="14"/>
        <v>-189082.42901096249</v>
      </c>
      <c r="N229" s="6">
        <f t="shared" si="14"/>
        <v>-112932.81235162</v>
      </c>
      <c r="O229" s="6">
        <f t="shared" si="14"/>
        <v>84762.611848055036</v>
      </c>
      <c r="Q229" s="6">
        <f>IFERROR(+Q128-Q131+Q227, 0)</f>
        <v>-198377.34533036291</v>
      </c>
    </row>
    <row r="230" spans="1:17" s="8" customFormat="1" x14ac:dyDescent="0.25">
      <c r="B230" s="16"/>
      <c r="C230" s="16"/>
      <c r="D230" s="4">
        <f t="shared" ref="D230:O230" si="15">IFERROR(D229/D10, 0)</f>
        <v>-5.1878878597076884E-2</v>
      </c>
      <c r="E230" s="4">
        <f t="shared" si="15"/>
        <v>0.16592558352185807</v>
      </c>
      <c r="F230" s="4">
        <f t="shared" si="15"/>
        <v>5.4266017928404284E-2</v>
      </c>
      <c r="G230" s="4">
        <f t="shared" si="15"/>
        <v>-0.64250094377214517</v>
      </c>
      <c r="H230" s="4">
        <f t="shared" si="15"/>
        <v>-0.27637852071399166</v>
      </c>
      <c r="I230" s="4">
        <f t="shared" si="15"/>
        <v>6.7255626024608536E-2</v>
      </c>
      <c r="J230" s="4">
        <f t="shared" si="15"/>
        <v>-1.5157663227438891E-2</v>
      </c>
      <c r="K230" s="4">
        <f t="shared" si="15"/>
        <v>-0.10058361846173575</v>
      </c>
      <c r="L230" s="4">
        <f t="shared" si="15"/>
        <v>0.10348628375382646</v>
      </c>
      <c r="M230" s="4">
        <f t="shared" si="15"/>
        <v>-0.36784350045821779</v>
      </c>
      <c r="N230" s="4">
        <f t="shared" si="15"/>
        <v>-0.23773236871285855</v>
      </c>
      <c r="O230" s="4">
        <f t="shared" si="15"/>
        <v>0.1460525615324898</v>
      </c>
      <c r="P230" s="18"/>
      <c r="Q230" s="4">
        <f>IFERROR(Q229/Q10, 0)</f>
        <v>-2.4605355151781253E-2</v>
      </c>
    </row>
    <row r="231" spans="1:17" x14ac:dyDescent="0.25">
      <c r="A231" s="5"/>
      <c r="B231" s="8"/>
      <c r="C231" s="5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Q231" s="3"/>
    </row>
    <row r="232" spans="1:17" s="14" customFormat="1" x14ac:dyDescent="0.25">
      <c r="A232" s="25"/>
      <c r="B232" s="8" t="s">
        <v>8</v>
      </c>
      <c r="C232" s="8"/>
      <c r="D232" s="3">
        <v>214852.73</v>
      </c>
      <c r="E232" s="3">
        <v>211357.75</v>
      </c>
      <c r="F232" s="3">
        <v>158673.97</v>
      </c>
      <c r="G232" s="3">
        <v>171153.26</v>
      </c>
      <c r="H232" s="3">
        <v>164148</v>
      </c>
      <c r="I232" s="3">
        <v>153475</v>
      </c>
      <c r="J232" s="3">
        <v>270049</v>
      </c>
      <c r="K232" s="3">
        <v>119556</v>
      </c>
      <c r="L232" s="3">
        <v>134822</v>
      </c>
      <c r="M232" s="3">
        <v>173619</v>
      </c>
      <c r="N232" s="3">
        <v>161259</v>
      </c>
      <c r="O232" s="3">
        <v>-58487</v>
      </c>
      <c r="Q232" s="2">
        <f>SUM(OSRRefD28_0x)+IFERROR(SUM(OSRRefE28_0x),0)</f>
        <v>1874478.71</v>
      </c>
    </row>
    <row r="233" spans="1:17" x14ac:dyDescent="0.25">
      <c r="A233" s="5"/>
      <c r="B233" s="8"/>
      <c r="C233" s="8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Q233" s="3"/>
    </row>
    <row r="234" spans="1:17" s="14" customFormat="1" ht="15.75" thickBot="1" x14ac:dyDescent="0.3">
      <c r="A234" s="8"/>
      <c r="B234" s="17" t="s">
        <v>4</v>
      </c>
      <c r="C234" s="17"/>
      <c r="D234" s="7">
        <f t="shared" ref="D234:O234" si="16">IFERROR(+D229-D232, 0)</f>
        <v>-237452.95000000016</v>
      </c>
      <c r="E234" s="7">
        <f t="shared" si="16"/>
        <v>135221.01000000065</v>
      </c>
      <c r="F234" s="7">
        <f t="shared" si="16"/>
        <v>-124334.89999999976</v>
      </c>
      <c r="G234" s="7">
        <f t="shared" si="16"/>
        <v>-385071.27000000014</v>
      </c>
      <c r="H234" s="7">
        <f t="shared" si="16"/>
        <v>-284125.07663173077</v>
      </c>
      <c r="I234" s="7">
        <f t="shared" si="16"/>
        <v>-127806.35228269995</v>
      </c>
      <c r="J234" s="7">
        <f t="shared" si="16"/>
        <v>-290012.11842116236</v>
      </c>
      <c r="K234" s="7">
        <f t="shared" si="16"/>
        <v>-169479.14009412006</v>
      </c>
      <c r="L234" s="7">
        <f t="shared" si="16"/>
        <v>-96151.628386120021</v>
      </c>
      <c r="M234" s="7">
        <f t="shared" si="16"/>
        <v>-362701.42901096249</v>
      </c>
      <c r="N234" s="7">
        <f t="shared" si="16"/>
        <v>-274191.81235162</v>
      </c>
      <c r="O234" s="7">
        <f t="shared" si="16"/>
        <v>143249.61184805504</v>
      </c>
      <c r="Q234" s="7">
        <f>IFERROR(+Q229-Q232, 0)</f>
        <v>-2072856.0553303629</v>
      </c>
    </row>
    <row r="235" spans="1:17" ht="15.75" thickTop="1" x14ac:dyDescent="0.25">
      <c r="A235" s="5"/>
      <c r="B235" s="5"/>
      <c r="C235" s="5"/>
      <c r="D235" s="4">
        <f t="shared" ref="D235:O235" si="17">IFERROR(D234/D10, 0)</f>
        <v>-0.54507401987979309</v>
      </c>
      <c r="E235" s="4">
        <f t="shared" si="17"/>
        <v>6.4737449544412573E-2</v>
      </c>
      <c r="F235" s="4">
        <f t="shared" si="17"/>
        <v>-0.19648639035728963</v>
      </c>
      <c r="G235" s="4">
        <f t="shared" si="17"/>
        <v>-1.156558320613297</v>
      </c>
      <c r="H235" s="4">
        <f t="shared" si="17"/>
        <v>-0.6545089327210627</v>
      </c>
      <c r="I235" s="4">
        <f t="shared" si="17"/>
        <v>-0.33487140917444402</v>
      </c>
      <c r="J235" s="4">
        <f t="shared" si="17"/>
        <v>-0.2202013698543272</v>
      </c>
      <c r="K235" s="4">
        <f t="shared" si="17"/>
        <v>-0.34146139710586437</v>
      </c>
      <c r="L235" s="4">
        <f t="shared" si="17"/>
        <v>-0.25731262160891666</v>
      </c>
      <c r="M235" s="4">
        <f t="shared" si="17"/>
        <v>-0.70560423814343454</v>
      </c>
      <c r="N235" s="4">
        <f t="shared" si="17"/>
        <v>-0.57719512756902658</v>
      </c>
      <c r="O235" s="4">
        <f t="shared" si="17"/>
        <v>0.24683020370405698</v>
      </c>
      <c r="P235" s="18"/>
      <c r="Q235" s="4">
        <f>IFERROR(Q234/Q10, 0)</f>
        <v>-0.25710274192341215</v>
      </c>
    </row>
    <row r="236" spans="1:17" x14ac:dyDescent="0.25">
      <c r="A236" s="5"/>
      <c r="B236" s="5"/>
      <c r="C236" s="5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Q236" s="3"/>
    </row>
    <row r="237" spans="1:17" x14ac:dyDescent="0.25">
      <c r="A237" s="5"/>
      <c r="B237" s="5"/>
      <c r="C237" s="5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Q237" s="3"/>
    </row>
    <row r="238" spans="1:17" s="14" customFormat="1" ht="15.75" thickBot="1" x14ac:dyDescent="0.3">
      <c r="A238" s="8"/>
      <c r="B238" s="17" t="s">
        <v>5</v>
      </c>
      <c r="C238" s="17"/>
      <c r="D238" s="7">
        <f t="shared" ref="D238:O238" si="18">IFERROR(SUM(D234:D237), 0)</f>
        <v>-237453.49507402003</v>
      </c>
      <c r="E238" s="7">
        <f t="shared" si="18"/>
        <v>135221.0747374502</v>
      </c>
      <c r="F238" s="7">
        <f t="shared" si="18"/>
        <v>-124335.09648639012</v>
      </c>
      <c r="G238" s="7">
        <f t="shared" si="18"/>
        <v>-385072.42655832076</v>
      </c>
      <c r="H238" s="7">
        <f t="shared" si="18"/>
        <v>-284125.7311406635</v>
      </c>
      <c r="I238" s="7">
        <f t="shared" si="18"/>
        <v>-127806.68715410912</v>
      </c>
      <c r="J238" s="7">
        <f t="shared" si="18"/>
        <v>-290012.3386225322</v>
      </c>
      <c r="K238" s="7">
        <f t="shared" si="18"/>
        <v>-169479.48155551715</v>
      </c>
      <c r="L238" s="7">
        <f t="shared" si="18"/>
        <v>-96151.885698741637</v>
      </c>
      <c r="M238" s="7">
        <f t="shared" si="18"/>
        <v>-362702.13461520063</v>
      </c>
      <c r="N238" s="7">
        <f t="shared" si="18"/>
        <v>-274192.38954674755</v>
      </c>
      <c r="O238" s="7">
        <f t="shared" si="18"/>
        <v>143249.85867825875</v>
      </c>
      <c r="Q238" s="7">
        <f>IFERROR(SUM(Q234:Q237), 0)</f>
        <v>-2072856.3124331047</v>
      </c>
    </row>
    <row r="239" spans="1:17" ht="15.75" thickTop="1" x14ac:dyDescent="0.25">
      <c r="A239" s="5"/>
      <c r="C239" s="5"/>
      <c r="D239" s="4">
        <f t="shared" ref="D239:O239" si="19">IFERROR(D238/D10, 0)</f>
        <v>-0.54507527109898046</v>
      </c>
      <c r="E239" s="4">
        <f t="shared" si="19"/>
        <v>6.4737480537653727E-2</v>
      </c>
      <c r="F239" s="4">
        <f t="shared" si="19"/>
        <v>-0.19648670086464995</v>
      </c>
      <c r="G239" s="4">
        <f t="shared" si="19"/>
        <v>-1.1565617943264852</v>
      </c>
      <c r="H239" s="4">
        <f t="shared" si="19"/>
        <v>-0.65451044044416873</v>
      </c>
      <c r="I239" s="4">
        <f t="shared" si="19"/>
        <v>-0.3348722865867062</v>
      </c>
      <c r="J239" s="4">
        <f t="shared" si="19"/>
        <v>-0.22020153704955869</v>
      </c>
      <c r="K239" s="4">
        <f t="shared" si="19"/>
        <v>-0.34146208507186215</v>
      </c>
      <c r="L239" s="4">
        <f t="shared" si="19"/>
        <v>-0.2573133102065655</v>
      </c>
      <c r="M239" s="4">
        <f t="shared" si="19"/>
        <v>-0.7056056108354094</v>
      </c>
      <c r="N239" s="4">
        <f t="shared" si="19"/>
        <v>-0.57719634260973995</v>
      </c>
      <c r="O239" s="4">
        <f t="shared" si="19"/>
        <v>0.24683062901166292</v>
      </c>
      <c r="P239" s="18"/>
      <c r="Q239" s="4">
        <f>IFERROR(Q238/Q10, 0)</f>
        <v>-0.25710277381265972</v>
      </c>
    </row>
    <row r="240" spans="1:17" x14ac:dyDescent="0.25">
      <c r="A240" s="5"/>
      <c r="B240" s="26">
        <v>44151.564578124999</v>
      </c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Q240" s="12"/>
    </row>
    <row r="241" spans="1:17" x14ac:dyDescent="0.25">
      <c r="A241" s="5"/>
      <c r="B241" s="30" t="s">
        <v>311</v>
      </c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Q241" s="12"/>
    </row>
    <row r="242" spans="1:17" x14ac:dyDescent="0.25">
      <c r="A242" s="5"/>
      <c r="B242" s="31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Q242" s="12"/>
    </row>
    <row r="243" spans="1:17" x14ac:dyDescent="0.25"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Q243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0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","301", " - ", "Bookstore Operations")</f>
        <v>Department 301 - Bookstore Operations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0">
        <f>SUM(OSRRefD20x_0)</f>
        <v>165416.69999999998</v>
      </c>
      <c r="E17" s="10">
        <f>SUM(OSRRefD20x_1)</f>
        <v>141962.65999999997</v>
      </c>
      <c r="F17" s="10">
        <f>SUM(OSRRefD20x_2)</f>
        <v>109225.67999999996</v>
      </c>
      <c r="G17" s="10">
        <f>SUM(OSRRefD20x_3)</f>
        <v>118485.46999999997</v>
      </c>
      <c r="H17" s="10">
        <f>SUM(OSRRefE20x_0)</f>
        <v>104569.31482013848</v>
      </c>
      <c r="I17" s="10">
        <f>SUM(OSRRefE20x_1)</f>
        <v>124752.50601826154</v>
      </c>
      <c r="J17" s="10">
        <f>SUM(OSRRefE20x_2)</f>
        <v>173182.23557550192</v>
      </c>
      <c r="K17" s="10">
        <f>SUM(OSRRefE20x_3)</f>
        <v>116733.56407800154</v>
      </c>
      <c r="L17" s="10">
        <f>SUM(OSRRefE20x_4)</f>
        <v>110788.72824600154</v>
      </c>
      <c r="M17" s="10">
        <f>SUM(OSRRefE20x_5)</f>
        <v>122985.36342650192</v>
      </c>
      <c r="N17" s="10">
        <f>SUM(OSRRefE20x_6)</f>
        <v>110477.21212300155</v>
      </c>
      <c r="O17" s="10">
        <f>SUM(OSRRefE20x_7)</f>
        <v>97767.27460480154</v>
      </c>
      <c r="Q17" s="10">
        <f>SUM(OSRRefG20x)</f>
        <v>1496346.7088922099</v>
      </c>
    </row>
    <row r="18" spans="1:17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8516.33</v>
      </c>
      <c r="E18" s="1">
        <f>SUM(OSRRefD21_0x_1)</f>
        <v>9570.6299999999992</v>
      </c>
      <c r="F18" s="1">
        <f>SUM(OSRRefD21_0x_2)</f>
        <v>7682.21</v>
      </c>
      <c r="G18" s="1">
        <f>SUM(OSRRefD21_0x_3)</f>
        <v>9035.86</v>
      </c>
      <c r="H18" s="1">
        <f>SUM(OSRRefE21_0x_0)</f>
        <v>8362.5692816769297</v>
      </c>
      <c r="I18" s="1">
        <f>SUM(OSRRefE21_0x_1)</f>
        <v>4296.5060182615398</v>
      </c>
      <c r="J18" s="1">
        <f>SUM(OSRRefE21_0x_2)</f>
        <v>11661.295325501918</v>
      </c>
      <c r="K18" s="1">
        <f>SUM(OSRRefE21_0x_3)</f>
        <v>8700.7958780015397</v>
      </c>
      <c r="L18" s="1">
        <f>SUM(OSRRefE21_0x_4)</f>
        <v>8492.0800460015398</v>
      </c>
      <c r="M18" s="1">
        <f>SUM(OSRRefE21_0x_5)</f>
        <v>10148.01317650192</v>
      </c>
      <c r="N18" s="1">
        <f>SUM(OSRRefE21_0x_6)</f>
        <v>8633.4939230015389</v>
      </c>
      <c r="O18" s="1">
        <f>SUM(OSRRefE21_0x_7)</f>
        <v>9228.2664048015395</v>
      </c>
      <c r="Q18" s="2">
        <f>SUM(OSRRefD20_0x)+IFERROR(SUM(OSRRefE20_0x),0)</f>
        <v>104328.05005374846</v>
      </c>
    </row>
    <row r="19" spans="1:17" s="34" customFormat="1" hidden="1" outlineLevel="1" x14ac:dyDescent="0.25">
      <c r="A19" s="35"/>
      <c r="B19" s="13" t="str">
        <f>CONCATENATE("          ","6111", " - ","F.I.C.A.")</f>
        <v xml:space="preserve">          6111 - F.I.C.A.</v>
      </c>
      <c r="C19" s="15"/>
      <c r="D19" s="2">
        <v>2247.02</v>
      </c>
      <c r="E19" s="2">
        <v>4014.83</v>
      </c>
      <c r="F19" s="2">
        <v>2054.27</v>
      </c>
      <c r="G19" s="2">
        <v>3527.98</v>
      </c>
      <c r="H19" s="2">
        <v>1840.2454427538501</v>
      </c>
      <c r="I19" s="2">
        <v>1189.0818138</v>
      </c>
      <c r="J19" s="2">
        <v>2341.4313321750001</v>
      </c>
      <c r="K19" s="2">
        <v>1873.1450657400001</v>
      </c>
      <c r="L19" s="2">
        <v>1873.1450657400001</v>
      </c>
      <c r="M19" s="2">
        <v>2341.4313321750001</v>
      </c>
      <c r="N19" s="2">
        <v>1873.1450657400001</v>
      </c>
      <c r="O19" s="2">
        <v>2682.1253285400003</v>
      </c>
      <c r="P19" s="9"/>
      <c r="Q19" s="2">
        <f>SUM(OSRRefD21_0_0x)+IFERROR(SUM(OSRRefE21_0_0x),0)</f>
        <v>27857.850446663848</v>
      </c>
    </row>
    <row r="20" spans="1:17" s="34" customFormat="1" hidden="1" outlineLevel="1" x14ac:dyDescent="0.2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747.02</v>
      </c>
      <c r="E20" s="2">
        <v>831.57</v>
      </c>
      <c r="F20" s="2">
        <v>859.27</v>
      </c>
      <c r="G20" s="2">
        <v>508.93</v>
      </c>
      <c r="H20" s="2">
        <v>657.23222384615406</v>
      </c>
      <c r="I20" s="2">
        <v>752.47751000000005</v>
      </c>
      <c r="J20" s="2">
        <v>1795.8704337500001</v>
      </c>
      <c r="K20" s="2">
        <v>815.82184299999994</v>
      </c>
      <c r="L20" s="2">
        <v>691.66612299999997</v>
      </c>
      <c r="M20" s="2">
        <v>895.68651875</v>
      </c>
      <c r="N20" s="2">
        <v>775.78691800000001</v>
      </c>
      <c r="O20" s="2">
        <v>648.364283</v>
      </c>
      <c r="P20" s="9"/>
      <c r="Q20" s="2">
        <f>SUM(OSRRefD21_0_1x)+IFERROR(SUM(OSRRefE21_0_1x),0)</f>
        <v>9979.6958533461529</v>
      </c>
    </row>
    <row r="21" spans="1:17" s="34" customFormat="1" hidden="1" outlineLevel="1" x14ac:dyDescent="0.25">
      <c r="A21" s="35"/>
      <c r="B21" s="13" t="str">
        <f>CONCATENATE("          ","6113", " - ","GROUP INSURANCE")</f>
        <v xml:space="preserve">          6113 - GROUP INSURANCE</v>
      </c>
      <c r="C21" s="15"/>
      <c r="D21" s="2">
        <v>1657.39</v>
      </c>
      <c r="E21" s="2">
        <v>1722.33</v>
      </c>
      <c r="F21" s="2">
        <v>1567.82</v>
      </c>
      <c r="G21" s="2">
        <v>1588.12</v>
      </c>
      <c r="H21" s="2">
        <v>3355.9615384615399</v>
      </c>
      <c r="I21" s="2">
        <v>1278.4615384615399</v>
      </c>
      <c r="J21" s="2">
        <v>3675.5769230769201</v>
      </c>
      <c r="K21" s="2">
        <v>3355.9615384615399</v>
      </c>
      <c r="L21" s="2">
        <v>3355.9615384615399</v>
      </c>
      <c r="M21" s="2">
        <v>3675.5769230769201</v>
      </c>
      <c r="N21" s="2">
        <v>3355.9615384615399</v>
      </c>
      <c r="O21" s="2">
        <v>3355.9615384615399</v>
      </c>
      <c r="P21" s="9"/>
      <c r="Q21" s="2">
        <f>SUM(OSRRefD21_0_2x)+IFERROR(SUM(OSRRefE21_0_2x),0)</f>
        <v>31945.083076923078</v>
      </c>
    </row>
    <row r="22" spans="1:17" s="34" customFormat="1" hidden="1" outlineLevel="1" x14ac:dyDescent="0.2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105</v>
      </c>
      <c r="E22" s="2">
        <v>140.86000000000001</v>
      </c>
      <c r="F22" s="2">
        <v>128.83000000000001</v>
      </c>
      <c r="G22" s="2">
        <v>80.37</v>
      </c>
      <c r="H22" s="2">
        <v>92.367772000000002</v>
      </c>
      <c r="I22" s="2">
        <v>105.753596</v>
      </c>
      <c r="J22" s="2">
        <v>252.39260150000001</v>
      </c>
      <c r="K22" s="2">
        <v>114.65604279999999</v>
      </c>
      <c r="L22" s="2">
        <v>97.207130800000002</v>
      </c>
      <c r="M22" s="2">
        <v>125.8802675</v>
      </c>
      <c r="N22" s="2">
        <v>109.02951280000001</v>
      </c>
      <c r="O22" s="2">
        <v>91.121466799999993</v>
      </c>
      <c r="P22" s="9"/>
      <c r="Q22" s="2">
        <f>SUM(OSRRefD21_0_3x)+IFERROR(SUM(OSRRefE21_0_3x),0)</f>
        <v>1443.4683902000002</v>
      </c>
    </row>
    <row r="23" spans="1:17" s="34" customFormat="1" hidden="1" outlineLevel="1" x14ac:dyDescent="0.25">
      <c r="A23" s="35"/>
      <c r="B23" s="13" t="str">
        <f>CONCATENATE("          ","6115", " - ","P.E.R.S.")</f>
        <v xml:space="preserve">          6115 - P.E.R.S.</v>
      </c>
      <c r="C23" s="15"/>
      <c r="D23" s="2">
        <v>1359.34</v>
      </c>
      <c r="E23" s="2">
        <v>1171.6300000000001</v>
      </c>
      <c r="F23" s="2">
        <v>1171.6300000000001</v>
      </c>
      <c r="G23" s="2">
        <v>983.12</v>
      </c>
      <c r="H23" s="2">
        <v>1151.2016892307699</v>
      </c>
      <c r="I23" s="2">
        <v>419.46156000000002</v>
      </c>
      <c r="J23" s="2">
        <v>1461.9954849999999</v>
      </c>
      <c r="K23" s="2">
        <v>1169.5963879999999</v>
      </c>
      <c r="L23" s="2">
        <v>1169.5963879999999</v>
      </c>
      <c r="M23" s="2">
        <v>1461.9954849999999</v>
      </c>
      <c r="N23" s="2">
        <v>1169.5963879999999</v>
      </c>
      <c r="O23" s="2">
        <v>1169.5963879999999</v>
      </c>
      <c r="P23" s="9"/>
      <c r="Q23" s="2">
        <f>SUM(OSRRefD21_0_4x)+IFERROR(SUM(OSRRefE21_0_4x),0)</f>
        <v>13858.759771230769</v>
      </c>
    </row>
    <row r="24" spans="1:17" s="34" customFormat="1" hidden="1" outlineLevel="1" x14ac:dyDescent="0.25">
      <c r="A24" s="35"/>
      <c r="B24" s="13" t="str">
        <f>CONCATENATE("          ","6116", " - ","EDUCATIONAL BENEFITS")</f>
        <v xml:space="preserve">          6116 - EDUCATIONAL BENEFITS</v>
      </c>
      <c r="C24" s="15"/>
      <c r="D24" s="2">
        <v>401.9</v>
      </c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401.9</v>
      </c>
    </row>
    <row r="25" spans="1:17" s="34" customFormat="1" hidden="1" outlineLevel="1" x14ac:dyDescent="0.25">
      <c r="A25" s="35"/>
      <c r="B25" s="13" t="str">
        <f>CONCATENATE("          ","6118", " - ","VACATION")</f>
        <v xml:space="preserve">          6118 - VACATION</v>
      </c>
      <c r="C25" s="15"/>
      <c r="D25" s="2">
        <v>1161.98</v>
      </c>
      <c r="E25" s="2">
        <v>982.38</v>
      </c>
      <c r="F25" s="2">
        <v>982.38</v>
      </c>
      <c r="G25" s="2">
        <v>1208.8800000000001</v>
      </c>
      <c r="H25" s="2">
        <v>545.43030769230802</v>
      </c>
      <c r="I25" s="2">
        <v>120</v>
      </c>
      <c r="J25" s="2">
        <v>695.15612499999997</v>
      </c>
      <c r="K25" s="2">
        <v>556.12490000000003</v>
      </c>
      <c r="L25" s="2">
        <v>556.12490000000003</v>
      </c>
      <c r="M25" s="2">
        <v>695.15612499999997</v>
      </c>
      <c r="N25" s="2">
        <v>556.12490000000003</v>
      </c>
      <c r="O25" s="2">
        <v>556.12490000000003</v>
      </c>
      <c r="P25" s="9"/>
      <c r="Q25" s="2">
        <f>SUM(OSRRefD21_0_6x)+IFERROR(SUM(OSRRefE21_0_6x),0)</f>
        <v>8615.8621576923088</v>
      </c>
    </row>
    <row r="26" spans="1:17" s="34" customFormat="1" hidden="1" outlineLevel="1" x14ac:dyDescent="0.25">
      <c r="A26" s="35"/>
      <c r="B26" s="13" t="str">
        <f>CONCATENATE("          ","6119", " - ","SICK LEAVE")</f>
        <v xml:space="preserve">          6119 - SICK LEAVE</v>
      </c>
      <c r="C26" s="15"/>
      <c r="D26" s="2">
        <v>758.33</v>
      </c>
      <c r="E26" s="2">
        <v>616.29</v>
      </c>
      <c r="F26" s="2">
        <v>616.29</v>
      </c>
      <c r="G26" s="2">
        <v>924.44</v>
      </c>
      <c r="H26" s="2">
        <v>720.13030769230795</v>
      </c>
      <c r="I26" s="2">
        <v>431.27</v>
      </c>
      <c r="J26" s="2">
        <v>1438.8724249999998</v>
      </c>
      <c r="K26" s="2">
        <v>815.49009999999998</v>
      </c>
      <c r="L26" s="2">
        <v>748.37890000000004</v>
      </c>
      <c r="M26" s="2">
        <v>952.28652499999987</v>
      </c>
      <c r="N26" s="2">
        <v>793.84960000000001</v>
      </c>
      <c r="O26" s="2">
        <v>724.97249999999997</v>
      </c>
      <c r="P26" s="9"/>
      <c r="Q26" s="2">
        <f>SUM(OSRRefD21_0_7x)+IFERROR(SUM(OSRRefE21_0_7x),0)</f>
        <v>9540.6003576923067</v>
      </c>
    </row>
    <row r="27" spans="1:17" s="34" customFormat="1" hidden="1" outlineLevel="1" x14ac:dyDescent="0.25">
      <c r="A27" s="35"/>
      <c r="B27" s="13" t="str">
        <f>CONCATENATE("          ","6156", " - ","EMPLOYEE MEALS")</f>
        <v xml:space="preserve">          6156 - EMPLOYEE MEALS</v>
      </c>
      <c r="C27" s="15"/>
      <c r="D27" s="2">
        <v>78.349999999999994</v>
      </c>
      <c r="E27" s="2">
        <v>90.74</v>
      </c>
      <c r="F27" s="2">
        <v>301.72000000000003</v>
      </c>
      <c r="G27" s="2">
        <v>214.02</v>
      </c>
      <c r="H27" s="2"/>
      <c r="I27" s="2"/>
      <c r="J27" s="2"/>
      <c r="K27" s="2"/>
      <c r="L27" s="2"/>
      <c r="M27" s="2"/>
      <c r="N27" s="2"/>
      <c r="O27" s="2"/>
      <c r="P27" s="9"/>
      <c r="Q27" s="2">
        <f>SUM(OSRRefD21_0_8x)+IFERROR(SUM(OSRRefE21_0_8x),0)</f>
        <v>684.83</v>
      </c>
    </row>
    <row r="28" spans="1:17" s="34" customFormat="1" collapsed="1" x14ac:dyDescent="0.25">
      <c r="A28" s="35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43822.61</v>
      </c>
      <c r="E28" s="1">
        <f>SUM(OSRRefD21_1x_1)</f>
        <v>65252.41</v>
      </c>
      <c r="F28" s="1">
        <f>SUM(OSRRefD21_1x_2)</f>
        <v>38537.11</v>
      </c>
      <c r="G28" s="1">
        <f>SUM(OSRRefD21_1x_3)</f>
        <v>34017.49</v>
      </c>
      <c r="H28" s="1">
        <f>SUM(OSRRefE21_1x_0)</f>
        <v>29597.745538461539</v>
      </c>
      <c r="I28" s="1">
        <f>SUM(OSRRefE21_1x_1)</f>
        <v>35597</v>
      </c>
      <c r="J28" s="1">
        <f>SUM(OSRRefE21_1x_2)</f>
        <v>89636.940250000014</v>
      </c>
      <c r="K28" s="1">
        <f>SUM(OSRRefE21_1x_3)</f>
        <v>38148.768200000006</v>
      </c>
      <c r="L28" s="1">
        <f>SUM(OSRRefE21_1x_4)</f>
        <v>31437.648200000003</v>
      </c>
      <c r="M28" s="1">
        <f>SUM(OSRRefE21_1x_5)</f>
        <v>40978.35025000001</v>
      </c>
      <c r="N28" s="1">
        <f>SUM(OSRRefE21_1x_6)</f>
        <v>35984.718200000003</v>
      </c>
      <c r="O28" s="1">
        <f>SUM(OSRRefE21_1x_7)</f>
        <v>29097.008200000004</v>
      </c>
      <c r="Q28" s="2">
        <f>SUM(OSRRefD20_1x)+IFERROR(SUM(OSRRefE20_1x),0)</f>
        <v>512107.79883846157</v>
      </c>
    </row>
    <row r="29" spans="1:17" s="34" customFormat="1" hidden="1" outlineLevel="1" x14ac:dyDescent="0.25">
      <c r="A29" s="35"/>
      <c r="B29" s="13" t="str">
        <f>CONCATENATE("          ","6001", " - ","ADMINISTRATIVE SALARIES")</f>
        <v xml:space="preserve">          6001 - ADMINISTRATIVE SALARIES</v>
      </c>
      <c r="C29" s="15"/>
      <c r="D29" s="2">
        <v>4837.17</v>
      </c>
      <c r="E29" s="2">
        <v>4205.74</v>
      </c>
      <c r="F29" s="2">
        <v>4205.74</v>
      </c>
      <c r="G29" s="2">
        <v>4205.17</v>
      </c>
      <c r="H29" s="2">
        <v>3807.6923076923099</v>
      </c>
      <c r="I29" s="2">
        <v>0</v>
      </c>
      <c r="J29" s="2">
        <v>4759.6153846153902</v>
      </c>
      <c r="K29" s="2">
        <v>3807.6923076923099</v>
      </c>
      <c r="L29" s="2">
        <v>3807.6923076923099</v>
      </c>
      <c r="M29" s="2">
        <v>4759.6153846153902</v>
      </c>
      <c r="N29" s="2">
        <v>3807.6923076923099</v>
      </c>
      <c r="O29" s="2">
        <v>3807.6923076923099</v>
      </c>
      <c r="P29" s="9"/>
      <c r="Q29" s="2">
        <f>SUM(OSRRefD21_1_0x)+IFERROR(SUM(OSRRefE21_1_0x),0)</f>
        <v>46011.512307692326</v>
      </c>
    </row>
    <row r="30" spans="1:17" s="34" customFormat="1" hidden="1" outlineLevel="1" x14ac:dyDescent="0.25">
      <c r="A30" s="35"/>
      <c r="B30" s="13" t="str">
        <f>CONCATENATE("          ","6002", " - ","STAFF SALARIES")</f>
        <v xml:space="preserve">          6002 - STAFF SALARIES</v>
      </c>
      <c r="C30" s="15"/>
      <c r="D30" s="2">
        <v>8856.2999999999993</v>
      </c>
      <c r="E30" s="2">
        <v>9219.92</v>
      </c>
      <c r="F30" s="2">
        <v>8712.9599999999991</v>
      </c>
      <c r="G30" s="2">
        <v>8985.19</v>
      </c>
      <c r="H30" s="2">
        <v>3850.0532307692297</v>
      </c>
      <c r="I30" s="2">
        <v>0</v>
      </c>
      <c r="J30" s="2">
        <v>5053.1948653846202</v>
      </c>
      <c r="K30" s="2">
        <v>4042.5558923076901</v>
      </c>
      <c r="L30" s="2">
        <v>4042.5558923076901</v>
      </c>
      <c r="M30" s="2">
        <v>5053.1948653846202</v>
      </c>
      <c r="N30" s="2">
        <v>4042.5558923076901</v>
      </c>
      <c r="O30" s="2">
        <v>4042.5558923076901</v>
      </c>
      <c r="P30" s="9"/>
      <c r="Q30" s="2">
        <f>SUM(OSRRefD21_1_1x)+IFERROR(SUM(OSRRefE21_1_1x),0)</f>
        <v>65901.036530769226</v>
      </c>
    </row>
    <row r="31" spans="1:17" s="34" customFormat="1" hidden="1" outlineLevel="1" x14ac:dyDescent="0.25">
      <c r="A31" s="35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25">
      <c r="A32" s="35"/>
      <c r="B32" s="13" t="str">
        <f>CONCATENATE("          ","6004", " - ","STAFF HOURLY")</f>
        <v xml:space="preserve">          6004 - STAFF HOURLY</v>
      </c>
      <c r="C32" s="15"/>
      <c r="D32" s="2">
        <v>3465.6</v>
      </c>
      <c r="E32" s="2"/>
      <c r="F32" s="2"/>
      <c r="G32" s="2"/>
      <c r="H32" s="2">
        <v>10460</v>
      </c>
      <c r="I32" s="2">
        <v>10460</v>
      </c>
      <c r="J32" s="2">
        <v>13345</v>
      </c>
      <c r="K32" s="2">
        <v>10676</v>
      </c>
      <c r="L32" s="2">
        <v>10676</v>
      </c>
      <c r="M32" s="2">
        <v>13345</v>
      </c>
      <c r="N32" s="2">
        <v>10676</v>
      </c>
      <c r="O32" s="2">
        <v>10676</v>
      </c>
      <c r="P32" s="9"/>
      <c r="Q32" s="2">
        <f>SUM(OSRRefD21_1_3x)+IFERROR(SUM(OSRRefE21_1_3x),0)</f>
        <v>93779.6</v>
      </c>
    </row>
    <row r="33" spans="1:17" s="34" customFormat="1" hidden="1" outlineLevel="1" x14ac:dyDescent="0.25">
      <c r="A33" s="35"/>
      <c r="B33" s="13" t="str">
        <f>CONCATENATE("          ","6005", " - ","TEMPORARY WAGES-HOURLY")</f>
        <v xml:space="preserve">          6005 - TEMPORARY WAGES-HOURLY</v>
      </c>
      <c r="C33" s="15"/>
      <c r="D33" s="2">
        <v>8462.1</v>
      </c>
      <c r="E33" s="2">
        <v>11519.7</v>
      </c>
      <c r="F33" s="2">
        <v>11632.72</v>
      </c>
      <c r="G33" s="2">
        <v>9472.0499999999993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41086.570000000007</v>
      </c>
    </row>
    <row r="34" spans="1:17" s="34" customFormat="1" hidden="1" outlineLevel="1" x14ac:dyDescent="0.25">
      <c r="A34" s="35"/>
      <c r="B34" s="13" t="str">
        <f>CONCATENATE("          ","6006", " - ","TEMPORARY PART TIME")</f>
        <v xml:space="preserve">          6006 - TEMPORARY PART TIME</v>
      </c>
      <c r="C34" s="15"/>
      <c r="D34" s="2">
        <v>1545.92</v>
      </c>
      <c r="E34" s="2">
        <v>1927.34</v>
      </c>
      <c r="F34" s="2">
        <v>1728.86</v>
      </c>
      <c r="G34" s="2">
        <v>1802.76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7004.88</v>
      </c>
    </row>
    <row r="35" spans="1:17" s="34" customFormat="1" hidden="1" outlineLevel="1" x14ac:dyDescent="0.25">
      <c r="A35" s="35"/>
      <c r="B35" s="13" t="str">
        <f>CONCATENATE("          ","6007", " - ","STUDENT HOURLY")</f>
        <v xml:space="preserve">          6007 - STUDENT HOURLY</v>
      </c>
      <c r="C35" s="15"/>
      <c r="D35" s="2">
        <v>16655.52</v>
      </c>
      <c r="E35" s="2">
        <v>38379.71</v>
      </c>
      <c r="F35" s="2">
        <v>12256.83</v>
      </c>
      <c r="G35" s="2">
        <v>9552.32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10570.76</v>
      </c>
      <c r="P35" s="9"/>
      <c r="Q35" s="2">
        <f>SUM(OSRRefD21_1_6x)+IFERROR(SUM(OSRRefE21_1_6x),0)</f>
        <v>87415.14</v>
      </c>
    </row>
    <row r="36" spans="1:17" s="34" customFormat="1" hidden="1" outlineLevel="1" x14ac:dyDescent="0.25">
      <c r="A36" s="35"/>
      <c r="B36" s="13" t="str">
        <f>CONCATENATE("          ","6008", " - ","STUDENT HOURLY-FICA EXEMPT")</f>
        <v xml:space="preserve">          6008 - STUDENT HOURLY-FICA EXEMPT</v>
      </c>
      <c r="C36" s="15"/>
      <c r="D36" s="2"/>
      <c r="E36" s="2"/>
      <c r="F36" s="2"/>
      <c r="G36" s="2"/>
      <c r="H36" s="2">
        <v>11480</v>
      </c>
      <c r="I36" s="2">
        <v>25137</v>
      </c>
      <c r="J36" s="2">
        <v>66479.13</v>
      </c>
      <c r="K36" s="2">
        <v>19622.52</v>
      </c>
      <c r="L36" s="2">
        <v>12911.4</v>
      </c>
      <c r="M36" s="2">
        <v>17820.54</v>
      </c>
      <c r="N36" s="2">
        <v>17458.47</v>
      </c>
      <c r="O36" s="2">
        <v>0</v>
      </c>
      <c r="P36" s="9"/>
      <c r="Q36" s="2">
        <f>SUM(OSRRefD21_1_7x)+IFERROR(SUM(OSRRefE21_1_7x),0)</f>
        <v>170909.06000000003</v>
      </c>
    </row>
    <row r="37" spans="1:17" s="34" customFormat="1" hidden="1" outlineLevel="1" x14ac:dyDescent="0.25">
      <c r="A37" s="35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25">
      <c r="A38" s="35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25">
      <c r="A39" s="35"/>
      <c r="B39" s="15" t="str">
        <f>CONCATENATE("     ","Bad Debts/Over/Short                              ")</f>
        <v xml:space="preserve">     Bad Debts/Over/Short                              </v>
      </c>
      <c r="C39" s="15"/>
      <c r="D39" s="1">
        <f>SUM(OSRRefD21_2x_0)</f>
        <v>5.88</v>
      </c>
      <c r="E39" s="1">
        <f>SUM(OSRRefD21_2x_1)</f>
        <v>61.95</v>
      </c>
      <c r="F39" s="1">
        <f>SUM(OSRRefD21_2x_2)</f>
        <v>10.38</v>
      </c>
      <c r="G39" s="1">
        <f>SUM(OSRRefD21_2x_3)</f>
        <v>-28.22</v>
      </c>
      <c r="H39" s="1">
        <f>SUM(OSRRefE21_2x_0)</f>
        <v>80</v>
      </c>
      <c r="I39" s="1">
        <f>SUM(OSRRefE21_2x_1)</f>
        <v>80</v>
      </c>
      <c r="J39" s="1">
        <f>SUM(OSRRefE21_2x_2)</f>
        <v>80</v>
      </c>
      <c r="K39" s="1">
        <f>SUM(OSRRefE21_2x_3)</f>
        <v>80</v>
      </c>
      <c r="L39" s="1">
        <f>SUM(OSRRefE21_2x_4)</f>
        <v>80</v>
      </c>
      <c r="M39" s="1">
        <f>SUM(OSRRefE21_2x_5)</f>
        <v>80</v>
      </c>
      <c r="N39" s="1">
        <f>SUM(OSRRefE21_2x_6)</f>
        <v>80</v>
      </c>
      <c r="O39" s="1">
        <f>SUM(OSRRefE21_2x_7)</f>
        <v>80</v>
      </c>
      <c r="Q39" s="2">
        <f>SUM(OSRRefD20_2x)+IFERROR(SUM(OSRRefE20_2x),0)</f>
        <v>689.99</v>
      </c>
    </row>
    <row r="40" spans="1:17" s="34" customFormat="1" hidden="1" outlineLevel="1" x14ac:dyDescent="0.25">
      <c r="A40" s="35"/>
      <c r="B40" s="13" t="str">
        <f>CONCATENATE("          ","6272", " - ","CASH (OVER/SHORT)")</f>
        <v xml:space="preserve">          6272 - CASH (OVER/SHORT)</v>
      </c>
      <c r="C40" s="15"/>
      <c r="D40" s="2">
        <v>5.88</v>
      </c>
      <c r="E40" s="2">
        <v>61.95</v>
      </c>
      <c r="F40" s="2">
        <v>10.38</v>
      </c>
      <c r="G40" s="2">
        <v>-28.22</v>
      </c>
      <c r="H40" s="2">
        <v>50</v>
      </c>
      <c r="I40" s="2">
        <v>50</v>
      </c>
      <c r="J40" s="2">
        <v>50</v>
      </c>
      <c r="K40" s="2">
        <v>50</v>
      </c>
      <c r="L40" s="2">
        <v>50</v>
      </c>
      <c r="M40" s="2">
        <v>50</v>
      </c>
      <c r="N40" s="2">
        <v>50</v>
      </c>
      <c r="O40" s="2">
        <v>50</v>
      </c>
      <c r="P40" s="9"/>
      <c r="Q40" s="2">
        <f>SUM(OSRRefD21_2_0x)+IFERROR(SUM(OSRRefE21_2_0x),0)</f>
        <v>449.99</v>
      </c>
    </row>
    <row r="41" spans="1:17" s="34" customFormat="1" hidden="1" outlineLevel="1" x14ac:dyDescent="0.25">
      <c r="A41" s="35"/>
      <c r="B41" s="13" t="str">
        <f>CONCATENATE("          ","6342", " - ","BAD DEBT")</f>
        <v xml:space="preserve">          6342 - BAD DEBT</v>
      </c>
      <c r="C41" s="15"/>
      <c r="D41" s="2"/>
      <c r="E41" s="2"/>
      <c r="F41" s="2"/>
      <c r="G41" s="2"/>
      <c r="H41" s="2">
        <v>30</v>
      </c>
      <c r="I41" s="2">
        <v>30</v>
      </c>
      <c r="J41" s="2">
        <v>30</v>
      </c>
      <c r="K41" s="2">
        <v>30</v>
      </c>
      <c r="L41" s="2">
        <v>30</v>
      </c>
      <c r="M41" s="2">
        <v>30</v>
      </c>
      <c r="N41" s="2">
        <v>30</v>
      </c>
      <c r="O41" s="2">
        <v>30</v>
      </c>
      <c r="P41" s="9"/>
      <c r="Q41" s="2">
        <f>SUM(OSRRefD21_2_1x)+IFERROR(SUM(OSRRefE21_2_1x),0)</f>
        <v>240</v>
      </c>
    </row>
    <row r="42" spans="1:17" s="34" customFormat="1" collapsed="1" x14ac:dyDescent="0.25">
      <c r="A42" s="35"/>
      <c r="B42" s="15" t="str">
        <f>CONCATENATE("     ","Bank/card Fees                                    ")</f>
        <v xml:space="preserve">     Bank/card Fees                                    </v>
      </c>
      <c r="C42" s="15"/>
      <c r="D42" s="1">
        <f>SUM(OSRRefD21_3x_0)</f>
        <v>2810.32</v>
      </c>
      <c r="E42" s="1">
        <f>SUM(OSRRefD21_3x_1)</f>
        <v>21627.510000000002</v>
      </c>
      <c r="F42" s="1">
        <f>SUM(OSRRefD21_3x_2)</f>
        <v>8743.77</v>
      </c>
      <c r="G42" s="1">
        <f>SUM(OSRRefD21_3x_3)</f>
        <v>4600.4799999999996</v>
      </c>
      <c r="H42" s="1">
        <f>SUM(OSRRefE21_3x_0)</f>
        <v>6000</v>
      </c>
      <c r="I42" s="1">
        <f>SUM(OSRRefE21_3x_1)</f>
        <v>25000</v>
      </c>
      <c r="J42" s="1">
        <f>SUM(OSRRefE21_3x_2)</f>
        <v>12000</v>
      </c>
      <c r="K42" s="1">
        <f>SUM(OSRRefE21_3x_3)</f>
        <v>10000</v>
      </c>
      <c r="L42" s="1">
        <f>SUM(OSRRefE21_3x_4)</f>
        <v>11000</v>
      </c>
      <c r="M42" s="1">
        <f>SUM(OSRRefE21_3x_5)</f>
        <v>12000</v>
      </c>
      <c r="N42" s="1">
        <f>SUM(OSRRefE21_3x_6)</f>
        <v>6000</v>
      </c>
      <c r="O42" s="1">
        <f>SUM(OSRRefE21_3x_7)</f>
        <v>0</v>
      </c>
      <c r="Q42" s="2">
        <f>SUM(OSRRefD20_3x)+IFERROR(SUM(OSRRefE20_3x),0)</f>
        <v>119782.08</v>
      </c>
    </row>
    <row r="43" spans="1:17" s="34" customFormat="1" hidden="1" outlineLevel="1" x14ac:dyDescent="0.25">
      <c r="A43" s="35"/>
      <c r="B43" s="13" t="str">
        <f>CONCATENATE("          ","6381", " - ","BANK/CREDIT CARD FEES")</f>
        <v xml:space="preserve">          6381 - BANK/CREDIT CARD FEES</v>
      </c>
      <c r="C43" s="15"/>
      <c r="D43" s="2">
        <v>2810.32</v>
      </c>
      <c r="E43" s="2">
        <v>21627.510000000002</v>
      </c>
      <c r="F43" s="2">
        <v>8743.77</v>
      </c>
      <c r="G43" s="2">
        <v>4600.4799999999996</v>
      </c>
      <c r="H43" s="2">
        <v>6000</v>
      </c>
      <c r="I43" s="2">
        <v>25000</v>
      </c>
      <c r="J43" s="2">
        <v>12000</v>
      </c>
      <c r="K43" s="2">
        <v>10000</v>
      </c>
      <c r="L43" s="2">
        <v>11000</v>
      </c>
      <c r="M43" s="2">
        <v>12000</v>
      </c>
      <c r="N43" s="2">
        <v>6000</v>
      </c>
      <c r="O43" s="2"/>
      <c r="P43" s="9"/>
      <c r="Q43" s="2">
        <f>SUM(OSRRefD21_3_0x)+IFERROR(SUM(OSRRefE21_3_0x),0)</f>
        <v>119782.08</v>
      </c>
    </row>
    <row r="44" spans="1:17" s="34" customFormat="1" collapsed="1" x14ac:dyDescent="0.25">
      <c r="A44" s="35"/>
      <c r="B44" s="15" t="str">
        <f>CONCATENATE("     ","Depreciation                                      ")</f>
        <v xml:space="preserve">     Depreciation                                      </v>
      </c>
      <c r="C44" s="15"/>
      <c r="D44" s="1">
        <f>SUM(OSRRefD21_4x_0)</f>
        <v>30176.98</v>
      </c>
      <c r="E44" s="1">
        <f>SUM(OSRRefD21_4x_1)</f>
        <v>30919.45</v>
      </c>
      <c r="F44" s="1">
        <f>SUM(OSRRefD21_4x_2)</f>
        <v>30896.959999999999</v>
      </c>
      <c r="G44" s="1">
        <f>SUM(OSRRefD21_4x_3)</f>
        <v>30565.98</v>
      </c>
      <c r="H44" s="1">
        <f>SUM(OSRRefE21_4x_0)</f>
        <v>30124</v>
      </c>
      <c r="I44" s="1">
        <f>SUM(OSRRefE21_4x_1)</f>
        <v>30124</v>
      </c>
      <c r="J44" s="1">
        <f>SUM(OSRRefE21_4x_2)</f>
        <v>30124</v>
      </c>
      <c r="K44" s="1">
        <f>SUM(OSRRefE21_4x_3)</f>
        <v>30124</v>
      </c>
      <c r="L44" s="1">
        <f>SUM(OSRRefE21_4x_4)</f>
        <v>30124</v>
      </c>
      <c r="M44" s="1">
        <f>SUM(OSRRefE21_4x_5)</f>
        <v>30124</v>
      </c>
      <c r="N44" s="1">
        <f>SUM(OSRRefE21_4x_6)</f>
        <v>30124</v>
      </c>
      <c r="O44" s="1">
        <f>SUM(OSRRefE21_4x_7)</f>
        <v>29707</v>
      </c>
      <c r="Q44" s="2">
        <f>SUM(OSRRefD20_4x)+IFERROR(SUM(OSRRefE20_4x),0)</f>
        <v>363134.37</v>
      </c>
    </row>
    <row r="45" spans="1:17" s="34" customFormat="1" hidden="1" outlineLevel="1" x14ac:dyDescent="0.25">
      <c r="A45" s="35"/>
      <c r="B45" s="13" t="str">
        <f>CONCATENATE("          ","6321", " - ","BUILDING DEPRECIATION")</f>
        <v xml:space="preserve">          6321 - BUILDING DEPRECIATION</v>
      </c>
      <c r="C45" s="15"/>
      <c r="D45" s="2">
        <v>16396.52</v>
      </c>
      <c r="E45" s="2">
        <v>16396.52</v>
      </c>
      <c r="F45" s="2">
        <v>16396.52</v>
      </c>
      <c r="G45" s="2">
        <v>16396.52</v>
      </c>
      <c r="H45" s="2"/>
      <c r="I45" s="2"/>
      <c r="J45" s="2"/>
      <c r="K45" s="2"/>
      <c r="L45" s="2"/>
      <c r="M45" s="2"/>
      <c r="N45" s="2"/>
      <c r="O45" s="2"/>
      <c r="P45" s="9"/>
      <c r="Q45" s="2">
        <f>SUM(OSRRefD21_4_0x)+IFERROR(SUM(OSRRefE21_4_0x),0)</f>
        <v>65586.080000000002</v>
      </c>
    </row>
    <row r="46" spans="1:17" s="34" customFormat="1" hidden="1" outlineLevel="1" x14ac:dyDescent="0.25">
      <c r="A46" s="35"/>
      <c r="B46" s="13" t="str">
        <f>CONCATENATE("          ","6322", " - ","EQUIPMENT DEPRECIATION EXPENSE")</f>
        <v xml:space="preserve">          6322 - EQUIPMENT DEPRECIATION EXPENSE</v>
      </c>
      <c r="C46" s="15"/>
      <c r="D46" s="2">
        <v>13780.46</v>
      </c>
      <c r="E46" s="2">
        <v>14522.93</v>
      </c>
      <c r="F46" s="2">
        <v>14500.44</v>
      </c>
      <c r="G46" s="2">
        <v>14169.46</v>
      </c>
      <c r="H46" s="2">
        <v>30124</v>
      </c>
      <c r="I46" s="2">
        <v>30124</v>
      </c>
      <c r="J46" s="2">
        <v>30124</v>
      </c>
      <c r="K46" s="2">
        <v>30124</v>
      </c>
      <c r="L46" s="2">
        <v>30124</v>
      </c>
      <c r="M46" s="2">
        <v>30124</v>
      </c>
      <c r="N46" s="2">
        <v>30124</v>
      </c>
      <c r="O46" s="2">
        <v>29707</v>
      </c>
      <c r="P46" s="9"/>
      <c r="Q46" s="2">
        <f>SUM(OSRRefD21_4_1x)+IFERROR(SUM(OSRRefE21_4_1x),0)</f>
        <v>297548.28999999998</v>
      </c>
    </row>
    <row r="47" spans="1:17" s="34" customFormat="1" collapsed="1" x14ac:dyDescent="0.25">
      <c r="A47" s="35"/>
      <c r="B47" s="15" t="str">
        <f>CONCATENATE("     ","Donations                                         ")</f>
        <v xml:space="preserve">     Donations                                         </v>
      </c>
      <c r="C47" s="15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SUM(OSRRefE21_5x_0)</f>
        <v>0</v>
      </c>
      <c r="I47" s="1">
        <f>SUM(OSRRefE21_5x_1)</f>
        <v>0</v>
      </c>
      <c r="J47" s="1">
        <f>SUM(OSRRefE21_5x_2)</f>
        <v>0</v>
      </c>
      <c r="K47" s="1">
        <f>SUM(OSRRefE21_5x_3)</f>
        <v>0</v>
      </c>
      <c r="L47" s="1">
        <f>SUM(OSRRefE21_5x_4)</f>
        <v>0</v>
      </c>
      <c r="M47" s="1">
        <f>SUM(OSRRefE21_5x_5)</f>
        <v>0</v>
      </c>
      <c r="N47" s="1">
        <f>SUM(OSRRefE21_5x_6)</f>
        <v>0</v>
      </c>
      <c r="O47" s="1">
        <f>SUM(OSRRefE21_5x_7)</f>
        <v>0</v>
      </c>
      <c r="Q47" s="2">
        <f>SUM(OSRRefD20_5x)+IFERROR(SUM(OSRRefE20_5x),0)</f>
        <v>0</v>
      </c>
    </row>
    <row r="48" spans="1:17" s="34" customFormat="1" hidden="1" outlineLevel="1" x14ac:dyDescent="0.25">
      <c r="A48" s="35"/>
      <c r="B48" s="13" t="str">
        <f>CONCATENATE("          ","6399", " - ","DONATION-ON CAMPUS")</f>
        <v xml:space="preserve">          6399 - DONATION-ON CAMPUS</v>
      </c>
      <c r="C48" s="15"/>
      <c r="D48" s="2"/>
      <c r="E48" s="2"/>
      <c r="F48" s="2"/>
      <c r="G48" s="2"/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SUM(OSRRefD21_5_0x)+IFERROR(SUM(OSRRefE21_5_0x),0)</f>
        <v>0</v>
      </c>
    </row>
    <row r="49" spans="1:17" s="34" customFormat="1" collapsed="1" x14ac:dyDescent="0.25">
      <c r="A49" s="35"/>
      <c r="B49" s="15" t="str">
        <f>CONCATENATE("     ","Employees' Appreciation                           ")</f>
        <v xml:space="preserve">     Employees' Appreciation                           </v>
      </c>
      <c r="C49" s="15"/>
      <c r="D49" s="1">
        <f>SUM(OSRRefD21_6x_0)</f>
        <v>0</v>
      </c>
      <c r="E49" s="1">
        <f>SUM(OSRRefD21_6x_1)</f>
        <v>0</v>
      </c>
      <c r="F49" s="1">
        <f>SUM(OSRRefD21_6x_2)</f>
        <v>0</v>
      </c>
      <c r="G49" s="1">
        <f>SUM(OSRRefD21_6x_3)</f>
        <v>0</v>
      </c>
      <c r="H49" s="1">
        <f>SUM(OSRRefE21_6x_0)</f>
        <v>125</v>
      </c>
      <c r="I49" s="1">
        <f>SUM(OSRRefE21_6x_1)</f>
        <v>125</v>
      </c>
      <c r="J49" s="1">
        <f>SUM(OSRRefE21_6x_2)</f>
        <v>150</v>
      </c>
      <c r="K49" s="1">
        <f>SUM(OSRRefE21_6x_3)</f>
        <v>150</v>
      </c>
      <c r="L49" s="1">
        <f>SUM(OSRRefE21_6x_4)</f>
        <v>125</v>
      </c>
      <c r="M49" s="1">
        <f>SUM(OSRRefE21_6x_5)</f>
        <v>125</v>
      </c>
      <c r="N49" s="1">
        <f>SUM(OSRRefE21_6x_6)</f>
        <v>125</v>
      </c>
      <c r="O49" s="1">
        <f>SUM(OSRRefE21_6x_7)</f>
        <v>125</v>
      </c>
      <c r="Q49" s="2">
        <f>SUM(OSRRefD20_6x)+IFERROR(SUM(OSRRefE20_6x),0)</f>
        <v>1050</v>
      </c>
    </row>
    <row r="50" spans="1:17" s="34" customFormat="1" hidden="1" outlineLevel="1" x14ac:dyDescent="0.25">
      <c r="A50" s="35"/>
      <c r="B50" s="13" t="str">
        <f>CONCATENATE("          ","6277", " - ","EMPLOYEE APPRECIATION")</f>
        <v xml:space="preserve">          6277 - EMPLOYEE APPRECIATION</v>
      </c>
      <c r="C50" s="15"/>
      <c r="D50" s="2"/>
      <c r="E50" s="2"/>
      <c r="F50" s="2"/>
      <c r="G50" s="2"/>
      <c r="H50" s="2">
        <v>125</v>
      </c>
      <c r="I50" s="2">
        <v>125</v>
      </c>
      <c r="J50" s="2">
        <v>150</v>
      </c>
      <c r="K50" s="2">
        <v>150</v>
      </c>
      <c r="L50" s="2">
        <v>125</v>
      </c>
      <c r="M50" s="2">
        <v>125</v>
      </c>
      <c r="N50" s="2">
        <v>125</v>
      </c>
      <c r="O50" s="2">
        <v>125</v>
      </c>
      <c r="P50" s="9"/>
      <c r="Q50" s="2">
        <f>SUM(OSRRefD21_6_0x)+IFERROR(SUM(OSRRefE21_6_0x),0)</f>
        <v>1050</v>
      </c>
    </row>
    <row r="51" spans="1:17" s="34" customFormat="1" collapsed="1" x14ac:dyDescent="0.25">
      <c r="A51" s="35"/>
      <c r="B51" s="15" t="str">
        <f>CONCATENATE("     ","Equipment Rental                                  ")</f>
        <v xml:space="preserve">     Equipment Rental                                  </v>
      </c>
      <c r="C51" s="15"/>
      <c r="D51" s="1">
        <f>SUM(OSRRefD21_7x_0)</f>
        <v>91.26</v>
      </c>
      <c r="E51" s="1">
        <f>SUM(OSRRefD21_7x_1)</f>
        <v>91.26</v>
      </c>
      <c r="F51" s="1">
        <f>SUM(OSRRefD21_7x_2)</f>
        <v>415.15</v>
      </c>
      <c r="G51" s="1">
        <f>SUM(OSRRefD21_7x_3)</f>
        <v>91.26</v>
      </c>
      <c r="H51" s="1">
        <f>SUM(OSRRefE21_7x_0)</f>
        <v>1700</v>
      </c>
      <c r="I51" s="1">
        <f>SUM(OSRRefE21_7x_1)</f>
        <v>1700</v>
      </c>
      <c r="J51" s="1">
        <f>SUM(OSRRefE21_7x_2)</f>
        <v>1700</v>
      </c>
      <c r="K51" s="1">
        <f>SUM(OSRRefE21_7x_3)</f>
        <v>1700</v>
      </c>
      <c r="L51" s="1">
        <f>SUM(OSRRefE21_7x_4)</f>
        <v>1700</v>
      </c>
      <c r="M51" s="1">
        <f>SUM(OSRRefE21_7x_5)</f>
        <v>1700</v>
      </c>
      <c r="N51" s="1">
        <f>SUM(OSRRefE21_7x_6)</f>
        <v>1700</v>
      </c>
      <c r="O51" s="1">
        <f>SUM(OSRRefE21_7x_7)</f>
        <v>1700</v>
      </c>
      <c r="Q51" s="2">
        <f>SUM(OSRRefD20_7x)+IFERROR(SUM(OSRRefE20_7x),0)</f>
        <v>14288.93</v>
      </c>
    </row>
    <row r="52" spans="1:17" s="34" customFormat="1" hidden="1" outlineLevel="1" x14ac:dyDescent="0.25">
      <c r="A52" s="35"/>
      <c r="B52" s="13" t="str">
        <f>CONCATENATE("          ","6351", " - ","EQUIPMENT RENTAL")</f>
        <v xml:space="preserve">          6351 - EQUIPMENT RENTAL</v>
      </c>
      <c r="C52" s="15"/>
      <c r="D52" s="2">
        <v>91.26</v>
      </c>
      <c r="E52" s="2">
        <v>91.26</v>
      </c>
      <c r="F52" s="2">
        <v>415.15</v>
      </c>
      <c r="G52" s="2">
        <v>91.26</v>
      </c>
      <c r="H52" s="2">
        <v>1700</v>
      </c>
      <c r="I52" s="2">
        <v>1700</v>
      </c>
      <c r="J52" s="2">
        <v>1700</v>
      </c>
      <c r="K52" s="2">
        <v>1700</v>
      </c>
      <c r="L52" s="2">
        <v>1700</v>
      </c>
      <c r="M52" s="2">
        <v>1700</v>
      </c>
      <c r="N52" s="2">
        <v>1700</v>
      </c>
      <c r="O52" s="2">
        <v>1700</v>
      </c>
      <c r="P52" s="9"/>
      <c r="Q52" s="2">
        <f>SUM(OSRRefD21_7_0x)+IFERROR(SUM(OSRRefE21_7_0x),0)</f>
        <v>14288.93</v>
      </c>
    </row>
    <row r="53" spans="1:17" s="34" customFormat="1" collapsed="1" x14ac:dyDescent="0.25">
      <c r="A53" s="35"/>
      <c r="B53" s="15" t="str">
        <f>CONCATENATE("     ","Freight out/Postage                               ")</f>
        <v xml:space="preserve">     Freight out/Postage                               </v>
      </c>
      <c r="C53" s="15"/>
      <c r="D53" s="1">
        <f>SUM(OSRRefD21_8x_0)</f>
        <v>0</v>
      </c>
      <c r="E53" s="1">
        <f>SUM(OSRRefD21_8x_1)</f>
        <v>315.95</v>
      </c>
      <c r="F53" s="1">
        <f>SUM(OSRRefD21_8x_2)</f>
        <v>315.95</v>
      </c>
      <c r="G53" s="1">
        <f>SUM(OSRRefD21_8x_3)</f>
        <v>15.95</v>
      </c>
      <c r="H53" s="1">
        <f>SUM(OSRRefE21_8x_0)</f>
        <v>10</v>
      </c>
      <c r="I53" s="1">
        <f>SUM(OSRRefE21_8x_1)</f>
        <v>10</v>
      </c>
      <c r="J53" s="1">
        <f>SUM(OSRRefE21_8x_2)</f>
        <v>10</v>
      </c>
      <c r="K53" s="1">
        <f>SUM(OSRRefE21_8x_3)</f>
        <v>10</v>
      </c>
      <c r="L53" s="1">
        <f>SUM(OSRRefE21_8x_4)</f>
        <v>10</v>
      </c>
      <c r="M53" s="1">
        <f>SUM(OSRRefE21_8x_5)</f>
        <v>10</v>
      </c>
      <c r="N53" s="1">
        <f>SUM(OSRRefE21_8x_6)</f>
        <v>10</v>
      </c>
      <c r="O53" s="1">
        <f>SUM(OSRRefE21_8x_7)</f>
        <v>10</v>
      </c>
      <c r="Q53" s="2">
        <f>SUM(OSRRefD20_8x)+IFERROR(SUM(OSRRefE20_8x),0)</f>
        <v>727.85</v>
      </c>
    </row>
    <row r="54" spans="1:17" s="34" customFormat="1" hidden="1" outlineLevel="1" x14ac:dyDescent="0.25">
      <c r="A54" s="35"/>
      <c r="B54" s="13" t="str">
        <f>CONCATENATE("          ","6307", " - ","POSTAGE")</f>
        <v xml:space="preserve">          6307 - POSTAGE</v>
      </c>
      <c r="C54" s="15"/>
      <c r="D54" s="2"/>
      <c r="E54" s="2">
        <v>315.95</v>
      </c>
      <c r="F54" s="2">
        <v>315.95</v>
      </c>
      <c r="G54" s="2">
        <v>15.95</v>
      </c>
      <c r="H54" s="2">
        <v>10</v>
      </c>
      <c r="I54" s="2">
        <v>10</v>
      </c>
      <c r="J54" s="2">
        <v>10</v>
      </c>
      <c r="K54" s="2">
        <v>10</v>
      </c>
      <c r="L54" s="2">
        <v>10</v>
      </c>
      <c r="M54" s="2">
        <v>10</v>
      </c>
      <c r="N54" s="2">
        <v>10</v>
      </c>
      <c r="O54" s="2">
        <v>10</v>
      </c>
      <c r="P54" s="9"/>
      <c r="Q54" s="2">
        <f>SUM(OSRRefD21_8_0x)+IFERROR(SUM(OSRRefE21_8_0x),0)</f>
        <v>727.85</v>
      </c>
    </row>
    <row r="55" spans="1:17" s="34" customFormat="1" collapsed="1" x14ac:dyDescent="0.25">
      <c r="A55" s="35"/>
      <c r="B55" s="15" t="str">
        <f>CONCATENATE("     ","General                                           ")</f>
        <v xml:space="preserve">     General                                           </v>
      </c>
      <c r="C55" s="15"/>
      <c r="D55" s="1">
        <f>SUM(OSRRefD21_9x_0)</f>
        <v>754.55</v>
      </c>
      <c r="E55" s="1">
        <f>SUM(OSRRefD21_9x_1)</f>
        <v>113.26</v>
      </c>
      <c r="F55" s="1">
        <f>SUM(OSRRefD21_9x_2)</f>
        <v>0</v>
      </c>
      <c r="G55" s="1">
        <f>SUM(OSRRefD21_9x_3)</f>
        <v>0</v>
      </c>
      <c r="H55" s="1">
        <f>SUM(OSRRefE21_9x_0)</f>
        <v>250</v>
      </c>
      <c r="I55" s="1">
        <f>SUM(OSRRefE21_9x_1)</f>
        <v>250</v>
      </c>
      <c r="J55" s="1">
        <f>SUM(OSRRefE21_9x_2)</f>
        <v>250</v>
      </c>
      <c r="K55" s="1">
        <f>SUM(OSRRefE21_9x_3)</f>
        <v>250</v>
      </c>
      <c r="L55" s="1">
        <f>SUM(OSRRefE21_9x_4)</f>
        <v>250</v>
      </c>
      <c r="M55" s="1">
        <f>SUM(OSRRefE21_9x_5)</f>
        <v>250</v>
      </c>
      <c r="N55" s="1">
        <f>SUM(OSRRefE21_9x_6)</f>
        <v>250</v>
      </c>
      <c r="O55" s="1">
        <f>SUM(OSRRefE21_9x_7)</f>
        <v>250</v>
      </c>
      <c r="Q55" s="2">
        <f>SUM(OSRRefD20_9x)+IFERROR(SUM(OSRRefE20_9x),0)</f>
        <v>2867.81</v>
      </c>
    </row>
    <row r="56" spans="1:17" s="34" customFormat="1" hidden="1" outlineLevel="1" x14ac:dyDescent="0.25">
      <c r="A56" s="35"/>
      <c r="B56" s="13" t="str">
        <f>CONCATENATE("          ","6279", " - ","GENERAL EXPENSE")</f>
        <v xml:space="preserve">          6279 - GENERAL EXPENSE</v>
      </c>
      <c r="C56" s="15"/>
      <c r="D56" s="2">
        <v>754.55</v>
      </c>
      <c r="E56" s="2">
        <v>113.26</v>
      </c>
      <c r="F56" s="2"/>
      <c r="G56" s="2"/>
      <c r="H56" s="2">
        <v>250</v>
      </c>
      <c r="I56" s="2">
        <v>250</v>
      </c>
      <c r="J56" s="2">
        <v>250</v>
      </c>
      <c r="K56" s="2">
        <v>250</v>
      </c>
      <c r="L56" s="2">
        <v>250</v>
      </c>
      <c r="M56" s="2">
        <v>250</v>
      </c>
      <c r="N56" s="2">
        <v>250</v>
      </c>
      <c r="O56" s="2">
        <v>250</v>
      </c>
      <c r="P56" s="9"/>
      <c r="Q56" s="2">
        <f>SUM(OSRRefD21_9_0x)+IFERROR(SUM(OSRRefE21_9_0x),0)</f>
        <v>2867.81</v>
      </c>
    </row>
    <row r="57" spans="1:17" s="34" customFormat="1" collapsed="1" x14ac:dyDescent="0.25">
      <c r="A57" s="35"/>
      <c r="B57" s="15" t="str">
        <f>CONCATENATE("     ","Insurance                                         ")</f>
        <v xml:space="preserve">     Insurance                                         </v>
      </c>
      <c r="C57" s="15"/>
      <c r="D57" s="1">
        <f>SUM(OSRRefD21_10x_0)</f>
        <v>3883.56</v>
      </c>
      <c r="E57" s="1">
        <f>SUM(OSRRefD21_10x_1)</f>
        <v>3883.56</v>
      </c>
      <c r="F57" s="1">
        <f>SUM(OSRRefD21_10x_2)</f>
        <v>3883.56</v>
      </c>
      <c r="G57" s="1">
        <f>SUM(OSRRefD21_10x_3)</f>
        <v>3883.56</v>
      </c>
      <c r="H57" s="1">
        <f>SUM(OSRRefE21_10x_0)</f>
        <v>4270</v>
      </c>
      <c r="I57" s="1">
        <f>SUM(OSRRefE21_10x_1)</f>
        <v>4270</v>
      </c>
      <c r="J57" s="1">
        <f>SUM(OSRRefE21_10x_2)</f>
        <v>4270</v>
      </c>
      <c r="K57" s="1">
        <f>SUM(OSRRefE21_10x_3)</f>
        <v>4270</v>
      </c>
      <c r="L57" s="1">
        <f>SUM(OSRRefE21_10x_4)</f>
        <v>4270</v>
      </c>
      <c r="M57" s="1">
        <f>SUM(OSRRefE21_10x_5)</f>
        <v>4270</v>
      </c>
      <c r="N57" s="1">
        <f>SUM(OSRRefE21_10x_6)</f>
        <v>4270</v>
      </c>
      <c r="O57" s="1">
        <f>SUM(OSRRefE21_10x_7)</f>
        <v>4270</v>
      </c>
      <c r="Q57" s="2">
        <f>SUM(OSRRefD20_10x)+IFERROR(SUM(OSRRefE20_10x),0)</f>
        <v>49694.239999999998</v>
      </c>
    </row>
    <row r="58" spans="1:17" s="34" customFormat="1" hidden="1" outlineLevel="1" x14ac:dyDescent="0.25">
      <c r="A58" s="35"/>
      <c r="B58" s="13" t="str">
        <f>CONCATENATE("          ","6314", " - ","LIABILITY INSURANCE")</f>
        <v xml:space="preserve">          6314 - LIABILITY INSURANCE</v>
      </c>
      <c r="C58" s="15"/>
      <c r="D58" s="2">
        <v>3883.56</v>
      </c>
      <c r="E58" s="2">
        <v>3883.56</v>
      </c>
      <c r="F58" s="2">
        <v>3883.56</v>
      </c>
      <c r="G58" s="2">
        <v>3883.56</v>
      </c>
      <c r="H58" s="2">
        <v>4270</v>
      </c>
      <c r="I58" s="2">
        <v>4270</v>
      </c>
      <c r="J58" s="2">
        <v>4270</v>
      </c>
      <c r="K58" s="2">
        <v>4270</v>
      </c>
      <c r="L58" s="2">
        <v>4270</v>
      </c>
      <c r="M58" s="2">
        <v>4270</v>
      </c>
      <c r="N58" s="2">
        <v>4270</v>
      </c>
      <c r="O58" s="2">
        <v>4270</v>
      </c>
      <c r="P58" s="9"/>
      <c r="Q58" s="2">
        <f>SUM(OSRRefD21_10_0x)+IFERROR(SUM(OSRRefE21_10_0x),0)</f>
        <v>49694.239999999998</v>
      </c>
    </row>
    <row r="59" spans="1:17" s="34" customFormat="1" collapsed="1" x14ac:dyDescent="0.25">
      <c r="A59" s="35"/>
      <c r="B59" s="15" t="str">
        <f>CONCATENATE("     ","Inventory Adjustment                              ")</f>
        <v xml:space="preserve">     Inventory Adjustment                              </v>
      </c>
      <c r="C59" s="15"/>
      <c r="D59" s="1">
        <f>SUM(OSRRefD21_11x_0)</f>
        <v>0</v>
      </c>
      <c r="E59" s="1">
        <f>SUM(OSRRefD21_11x_1)</f>
        <v>0</v>
      </c>
      <c r="F59" s="1">
        <f>SUM(OSRRefD21_11x_2)</f>
        <v>0</v>
      </c>
      <c r="G59" s="1">
        <f>SUM(OSRRefD21_11x_3)</f>
        <v>0</v>
      </c>
      <c r="H59" s="1">
        <f>SUM(OSRRefE21_11x_0)</f>
        <v>1000</v>
      </c>
      <c r="I59" s="1">
        <f>SUM(OSRRefE21_11x_1)</f>
        <v>1000</v>
      </c>
      <c r="J59" s="1">
        <f>SUM(OSRRefE21_11x_2)</f>
        <v>1000</v>
      </c>
      <c r="K59" s="1">
        <f>SUM(OSRRefE21_11x_3)</f>
        <v>1000</v>
      </c>
      <c r="L59" s="1">
        <f>SUM(OSRRefE21_11x_4)</f>
        <v>1000</v>
      </c>
      <c r="M59" s="1">
        <f>SUM(OSRRefE21_11x_5)</f>
        <v>1000</v>
      </c>
      <c r="N59" s="1">
        <f>SUM(OSRRefE21_11x_6)</f>
        <v>1000</v>
      </c>
      <c r="O59" s="1">
        <f>SUM(OSRRefE21_11x_7)</f>
        <v>1000</v>
      </c>
      <c r="Q59" s="2">
        <f>SUM(OSRRefD20_11x)+IFERROR(SUM(OSRRefE20_11x),0)</f>
        <v>8000</v>
      </c>
    </row>
    <row r="60" spans="1:17" s="34" customFormat="1" hidden="1" outlineLevel="1" x14ac:dyDescent="0.25">
      <c r="A60" s="35"/>
      <c r="B60" s="13" t="str">
        <f>CONCATENATE("          ","6408", " - ","INVENTORY ADJUSTMENT")</f>
        <v xml:space="preserve">          6408 - INVENTORY ADJUSTMENT</v>
      </c>
      <c r="C60" s="15"/>
      <c r="D60" s="2"/>
      <c r="E60" s="2"/>
      <c r="F60" s="2"/>
      <c r="G60" s="2"/>
      <c r="H60" s="2">
        <v>1000</v>
      </c>
      <c r="I60" s="2">
        <v>1000</v>
      </c>
      <c r="J60" s="2">
        <v>1000</v>
      </c>
      <c r="K60" s="2">
        <v>1000</v>
      </c>
      <c r="L60" s="2">
        <v>1000</v>
      </c>
      <c r="M60" s="2">
        <v>1000</v>
      </c>
      <c r="N60" s="2">
        <v>1000</v>
      </c>
      <c r="O60" s="2">
        <v>1000</v>
      </c>
      <c r="P60" s="9"/>
      <c r="Q60" s="2">
        <f>SUM(OSRRefD21_11_0x)+IFERROR(SUM(OSRRefE21_11_0x),0)</f>
        <v>8000</v>
      </c>
    </row>
    <row r="61" spans="1:17" s="34" customFormat="1" collapsed="1" x14ac:dyDescent="0.25">
      <c r="A61" s="35"/>
      <c r="B61" s="15" t="str">
        <f>CONCATENATE("     ","Rent                                              ")</f>
        <v xml:space="preserve">     Rent                                              </v>
      </c>
      <c r="C61" s="15"/>
      <c r="D61" s="1">
        <f>SUM(OSRRefD21_12x_0)</f>
        <v>-800</v>
      </c>
      <c r="E61" s="1">
        <f>SUM(OSRRefD21_12x_1)</f>
        <v>-800</v>
      </c>
      <c r="F61" s="1">
        <f>SUM(OSRRefD21_12x_2)</f>
        <v>-800</v>
      </c>
      <c r="G61" s="1">
        <f>SUM(OSRRefD21_12x_3)</f>
        <v>-800</v>
      </c>
      <c r="H61" s="1">
        <f>SUM(OSRRefE21_12x_0)</f>
        <v>-800</v>
      </c>
      <c r="I61" s="1">
        <f>SUM(OSRRefE21_12x_1)</f>
        <v>-800</v>
      </c>
      <c r="J61" s="1">
        <f>SUM(OSRRefE21_12x_2)</f>
        <v>-800</v>
      </c>
      <c r="K61" s="1">
        <f>SUM(OSRRefE21_12x_3)</f>
        <v>-800</v>
      </c>
      <c r="L61" s="1">
        <f>SUM(OSRRefE21_12x_4)</f>
        <v>-800</v>
      </c>
      <c r="M61" s="1">
        <f>SUM(OSRRefE21_12x_5)</f>
        <v>-800</v>
      </c>
      <c r="N61" s="1">
        <f>SUM(OSRRefE21_12x_6)</f>
        <v>-800</v>
      </c>
      <c r="O61" s="1">
        <f>SUM(OSRRefE21_12x_7)</f>
        <v>-800</v>
      </c>
      <c r="Q61" s="2">
        <f>SUM(OSRRefD20_12x)+IFERROR(SUM(OSRRefE20_12x),0)</f>
        <v>-9600</v>
      </c>
    </row>
    <row r="62" spans="1:17" s="34" customFormat="1" hidden="1" outlineLevel="1" x14ac:dyDescent="0.25">
      <c r="A62" s="35"/>
      <c r="B62" s="13" t="str">
        <f>CONCATENATE("          ","6273", " - ","RENT")</f>
        <v xml:space="preserve">          6273 - RENT</v>
      </c>
      <c r="C62" s="15"/>
      <c r="D62" s="2">
        <v>-800</v>
      </c>
      <c r="E62" s="2">
        <v>-800</v>
      </c>
      <c r="F62" s="2">
        <v>-800</v>
      </c>
      <c r="G62" s="2">
        <v>-800</v>
      </c>
      <c r="H62" s="2">
        <v>-800</v>
      </c>
      <c r="I62" s="2">
        <v>-800</v>
      </c>
      <c r="J62" s="2">
        <v>-800</v>
      </c>
      <c r="K62" s="2">
        <v>-800</v>
      </c>
      <c r="L62" s="2">
        <v>-800</v>
      </c>
      <c r="M62" s="2">
        <v>-800</v>
      </c>
      <c r="N62" s="2">
        <v>-800</v>
      </c>
      <c r="O62" s="2">
        <v>-800</v>
      </c>
      <c r="P62" s="9"/>
      <c r="Q62" s="2">
        <f>SUM(OSRRefD21_12_0x)+IFERROR(SUM(OSRRefE21_12_0x),0)</f>
        <v>-9600</v>
      </c>
    </row>
    <row r="63" spans="1:17" s="34" customFormat="1" collapsed="1" x14ac:dyDescent="0.25">
      <c r="A63" s="35"/>
      <c r="B63" s="15" t="str">
        <f>CONCATENATE("     ","Repair and Maintenance                            ")</f>
        <v xml:space="preserve">     Repair and Maintenance                            </v>
      </c>
      <c r="C63" s="15"/>
      <c r="D63" s="1">
        <f>SUM(OSRRefD21_13x_0)</f>
        <v>59946.810000000012</v>
      </c>
      <c r="E63" s="1">
        <f>SUM(OSRRefD21_13x_1)</f>
        <v>1401.3999999999999</v>
      </c>
      <c r="F63" s="1">
        <f>SUM(OSRRefD21_13x_2)</f>
        <v>5917.67</v>
      </c>
      <c r="G63" s="1">
        <f>SUM(OSRRefD21_13x_3)</f>
        <v>6258.34</v>
      </c>
      <c r="H63" s="1">
        <f>SUM(OSRRefE21_13x_0)</f>
        <v>9000</v>
      </c>
      <c r="I63" s="1">
        <f>SUM(OSRRefE21_13x_1)</f>
        <v>9000</v>
      </c>
      <c r="J63" s="1">
        <f>SUM(OSRRefE21_13x_2)</f>
        <v>9000</v>
      </c>
      <c r="K63" s="1">
        <f>SUM(OSRRefE21_13x_3)</f>
        <v>9000</v>
      </c>
      <c r="L63" s="1">
        <f>SUM(OSRRefE21_13x_4)</f>
        <v>9000</v>
      </c>
      <c r="M63" s="1">
        <f>SUM(OSRRefE21_13x_5)</f>
        <v>9000</v>
      </c>
      <c r="N63" s="1">
        <f>SUM(OSRRefE21_13x_6)</f>
        <v>9000</v>
      </c>
      <c r="O63" s="1">
        <f>SUM(OSRRefE21_13x_7)</f>
        <v>9000</v>
      </c>
      <c r="Q63" s="2">
        <f>SUM(OSRRefD20_13x)+IFERROR(SUM(OSRRefE20_13x),0)</f>
        <v>145524.22000000003</v>
      </c>
    </row>
    <row r="64" spans="1:17" s="34" customFormat="1" hidden="1" outlineLevel="1" x14ac:dyDescent="0.25">
      <c r="A64" s="35"/>
      <c r="B64" s="13" t="str">
        <f>CONCATENATE("          ","6371", " - ","COMPUTER SOFTWARE MAINTENANCE")</f>
        <v xml:space="preserve">          6371 - COMPUTER SOFTWARE MAINTENANCE</v>
      </c>
      <c r="C64" s="15"/>
      <c r="D64" s="2">
        <v>58428.780000000006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9"/>
      <c r="Q64" s="2">
        <f>SUM(OSRRefD21_13_0x)+IFERROR(SUM(OSRRefE21_13_0x),0)</f>
        <v>58428.780000000006</v>
      </c>
    </row>
    <row r="65" spans="1:17" s="34" customFormat="1" hidden="1" outlineLevel="1" x14ac:dyDescent="0.25">
      <c r="A65" s="35"/>
      <c r="B65" s="13" t="str">
        <f>CONCATENATE("          ","6372", " - ","COMPUTER HARDWARE MAINTENANCE")</f>
        <v xml:space="preserve">          6372 - COMPUTER HARDWARE MAINTENANCE</v>
      </c>
      <c r="C65" s="15"/>
      <c r="D65" s="2"/>
      <c r="E65" s="2">
        <v>0.98</v>
      </c>
      <c r="F65" s="2">
        <v>-9.09</v>
      </c>
      <c r="G65" s="2">
        <v>8.11</v>
      </c>
      <c r="H65" s="2"/>
      <c r="I65" s="2"/>
      <c r="J65" s="2"/>
      <c r="K65" s="2"/>
      <c r="L65" s="2"/>
      <c r="M65" s="2"/>
      <c r="N65" s="2"/>
      <c r="O65" s="2"/>
      <c r="P65" s="9"/>
      <c r="Q65" s="2">
        <f>SUM(OSRRefD21_13_1x)+IFERROR(SUM(OSRRefE21_13_1x),0)</f>
        <v>0</v>
      </c>
    </row>
    <row r="66" spans="1:17" s="34" customFormat="1" hidden="1" outlineLevel="1" x14ac:dyDescent="0.25">
      <c r="A66" s="35"/>
      <c r="B66" s="13" t="str">
        <f>CONCATENATE("          ","6373", " - ","MAINTENANCE CONTRACTS")</f>
        <v xml:space="preserve">          6373 - MAINTENANCE CONTRACTS</v>
      </c>
      <c r="C66" s="15"/>
      <c r="D66" s="2">
        <v>15.05</v>
      </c>
      <c r="E66" s="2">
        <v>1066.5999999999999</v>
      </c>
      <c r="F66" s="2">
        <v>5006.12</v>
      </c>
      <c r="G66" s="2">
        <v>110.6</v>
      </c>
      <c r="H66" s="2">
        <v>1000</v>
      </c>
      <c r="I66" s="2">
        <v>1000</v>
      </c>
      <c r="J66" s="2">
        <v>1000</v>
      </c>
      <c r="K66" s="2">
        <v>1000</v>
      </c>
      <c r="L66" s="2">
        <v>1000</v>
      </c>
      <c r="M66" s="2">
        <v>1000</v>
      </c>
      <c r="N66" s="2">
        <v>1000</v>
      </c>
      <c r="O66" s="2">
        <v>1000</v>
      </c>
      <c r="P66" s="9"/>
      <c r="Q66" s="2">
        <f>SUM(OSRRefD21_13_2x)+IFERROR(SUM(OSRRefE21_13_2x),0)</f>
        <v>14198.369999999999</v>
      </c>
    </row>
    <row r="67" spans="1:17" s="34" customFormat="1" hidden="1" outlineLevel="1" x14ac:dyDescent="0.25">
      <c r="A67" s="35"/>
      <c r="B67" s="13" t="str">
        <f>CONCATENATE("          ","6375", " - ","OUTSIDE REPAIRS &amp; MAINTENANCE")</f>
        <v xml:space="preserve">          6375 - OUTSIDE REPAIRS &amp; MAINTENANCE</v>
      </c>
      <c r="C67" s="15"/>
      <c r="D67" s="2">
        <v>1502.98</v>
      </c>
      <c r="E67" s="2">
        <v>333.82</v>
      </c>
      <c r="F67" s="2">
        <v>920.64</v>
      </c>
      <c r="G67" s="2">
        <v>6139.63</v>
      </c>
      <c r="H67" s="2">
        <v>8000</v>
      </c>
      <c r="I67" s="2">
        <v>8000</v>
      </c>
      <c r="J67" s="2">
        <v>8000</v>
      </c>
      <c r="K67" s="2">
        <v>8000</v>
      </c>
      <c r="L67" s="2">
        <v>8000</v>
      </c>
      <c r="M67" s="2">
        <v>8000</v>
      </c>
      <c r="N67" s="2">
        <v>8000</v>
      </c>
      <c r="O67" s="2">
        <v>8000</v>
      </c>
      <c r="P67" s="9"/>
      <c r="Q67" s="2">
        <f>SUM(OSRRefD21_13_3x)+IFERROR(SUM(OSRRefE21_13_3x),0)</f>
        <v>72897.070000000007</v>
      </c>
    </row>
    <row r="68" spans="1:17" s="34" customFormat="1" collapsed="1" x14ac:dyDescent="0.25">
      <c r="A68" s="35"/>
      <c r="B68" s="15" t="str">
        <f>CONCATENATE("     ","Services                                          ")</f>
        <v xml:space="preserve">     Services                                          </v>
      </c>
      <c r="C68" s="15"/>
      <c r="D68" s="1">
        <f>SUM(OSRRefD21_14x_0)</f>
        <v>4330.68</v>
      </c>
      <c r="E68" s="1">
        <f>SUM(OSRRefD21_14x_1)</f>
        <v>295.94</v>
      </c>
      <c r="F68" s="1">
        <f>SUM(OSRRefD21_14x_2)</f>
        <v>4330.68</v>
      </c>
      <c r="G68" s="1">
        <f>SUM(OSRRefD21_14x_3)</f>
        <v>3871.5600000000004</v>
      </c>
      <c r="H68" s="1">
        <f>SUM(OSRRefE21_14x_0)</f>
        <v>4300</v>
      </c>
      <c r="I68" s="1">
        <f>SUM(OSRRefE21_14x_1)</f>
        <v>4300</v>
      </c>
      <c r="J68" s="1">
        <f>SUM(OSRRefE21_14x_2)</f>
        <v>4300</v>
      </c>
      <c r="K68" s="1">
        <f>SUM(OSRRefE21_14x_3)</f>
        <v>4300</v>
      </c>
      <c r="L68" s="1">
        <f>SUM(OSRRefE21_14x_4)</f>
        <v>4300</v>
      </c>
      <c r="M68" s="1">
        <f>SUM(OSRRefE21_14x_5)</f>
        <v>4300</v>
      </c>
      <c r="N68" s="1">
        <f>SUM(OSRRefE21_14x_6)</f>
        <v>4300</v>
      </c>
      <c r="O68" s="1">
        <f>SUM(OSRRefE21_14x_7)</f>
        <v>4300</v>
      </c>
      <c r="Q68" s="2">
        <f>SUM(OSRRefD20_14x)+IFERROR(SUM(OSRRefE20_14x),0)</f>
        <v>47228.86</v>
      </c>
    </row>
    <row r="69" spans="1:17" s="34" customFormat="1" hidden="1" outlineLevel="1" x14ac:dyDescent="0.25">
      <c r="A69" s="35"/>
      <c r="B69" s="13" t="str">
        <f>CONCATENATE("          ","6282", " - ","JANITORIAL/EXTERMINATOR EXPENS")</f>
        <v xml:space="preserve">          6282 - JANITORIAL/EXTERMINATOR EXPENS</v>
      </c>
      <c r="C69" s="15"/>
      <c r="D69" s="2">
        <v>92.5</v>
      </c>
      <c r="E69" s="2">
        <v>295.94</v>
      </c>
      <c r="F69" s="2">
        <v>222.5</v>
      </c>
      <c r="G69" s="2">
        <v>4330.68</v>
      </c>
      <c r="H69" s="2">
        <v>4000</v>
      </c>
      <c r="I69" s="2">
        <v>4000</v>
      </c>
      <c r="J69" s="2">
        <v>4000</v>
      </c>
      <c r="K69" s="2">
        <v>4000</v>
      </c>
      <c r="L69" s="2">
        <v>4000</v>
      </c>
      <c r="M69" s="2">
        <v>4000</v>
      </c>
      <c r="N69" s="2">
        <v>4000</v>
      </c>
      <c r="O69" s="2">
        <v>4000</v>
      </c>
      <c r="P69" s="9"/>
      <c r="Q69" s="2">
        <f>SUM(OSRRefD21_14_0x)+IFERROR(SUM(OSRRefE21_14_0x),0)</f>
        <v>36941.620000000003</v>
      </c>
    </row>
    <row r="70" spans="1:17" s="34" customFormat="1" hidden="1" outlineLevel="1" x14ac:dyDescent="0.25">
      <c r="A70" s="35"/>
      <c r="B70" s="13" t="str">
        <f>CONCATENATE("          ","6283", " - ","PLANT SERVICE")</f>
        <v xml:space="preserve">          6283 - PLANT SERVICE</v>
      </c>
      <c r="C70" s="15"/>
      <c r="D70" s="2">
        <v>130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9"/>
      <c r="Q70" s="2">
        <f>SUM(OSRRefD21_14_1x)+IFERROR(SUM(OSRRefE21_14_1x),0)</f>
        <v>130</v>
      </c>
    </row>
    <row r="71" spans="1:17" s="34" customFormat="1" hidden="1" outlineLevel="1" x14ac:dyDescent="0.25">
      <c r="A71" s="35"/>
      <c r="B71" s="13" t="str">
        <f>CONCATENATE("          ","6285", " - ","JANITORIAL SERVICES")</f>
        <v xml:space="preserve">          6285 - JANITORIAL SERVICES</v>
      </c>
      <c r="C71" s="15"/>
      <c r="D71" s="2">
        <v>4108.18</v>
      </c>
      <c r="E71" s="2"/>
      <c r="F71" s="2">
        <v>4108.18</v>
      </c>
      <c r="G71" s="2">
        <v>-459.12</v>
      </c>
      <c r="H71" s="2">
        <v>300</v>
      </c>
      <c r="I71" s="2">
        <v>300</v>
      </c>
      <c r="J71" s="2">
        <v>300</v>
      </c>
      <c r="K71" s="2">
        <v>300</v>
      </c>
      <c r="L71" s="2">
        <v>300</v>
      </c>
      <c r="M71" s="2">
        <v>300</v>
      </c>
      <c r="N71" s="2">
        <v>300</v>
      </c>
      <c r="O71" s="2">
        <v>300</v>
      </c>
      <c r="P71" s="9"/>
      <c r="Q71" s="2">
        <f>SUM(OSRRefD21_14_2x)+IFERROR(SUM(OSRRefE21_14_2x),0)</f>
        <v>10157.240000000002</v>
      </c>
    </row>
    <row r="72" spans="1:17" s="34" customFormat="1" collapsed="1" x14ac:dyDescent="0.25">
      <c r="A72" s="35"/>
      <c r="B72" s="15" t="str">
        <f>CONCATENATE("     ","Subscriptions &amp; Dues                              ")</f>
        <v xml:space="preserve">     Subscriptions &amp; Dues                              </v>
      </c>
      <c r="C72" s="15"/>
      <c r="D72" s="1">
        <f>SUM(OSRRefD21_15x_0)</f>
        <v>0</v>
      </c>
      <c r="E72" s="1">
        <f>SUM(OSRRefD21_15x_1)</f>
        <v>0</v>
      </c>
      <c r="F72" s="1">
        <f>SUM(OSRRefD21_15x_2)</f>
        <v>0</v>
      </c>
      <c r="G72" s="1">
        <f>SUM(OSRRefD21_15x_3)</f>
        <v>0</v>
      </c>
      <c r="H72" s="1">
        <f>SUM(OSRRefE21_15x_0)</f>
        <v>800</v>
      </c>
      <c r="I72" s="1">
        <f>SUM(OSRRefE21_15x_1)</f>
        <v>800</v>
      </c>
      <c r="J72" s="1">
        <f>SUM(OSRRefE21_15x_2)</f>
        <v>800</v>
      </c>
      <c r="K72" s="1">
        <f>SUM(OSRRefE21_15x_3)</f>
        <v>800</v>
      </c>
      <c r="L72" s="1">
        <f>SUM(OSRRefE21_15x_4)</f>
        <v>800</v>
      </c>
      <c r="M72" s="1">
        <f>SUM(OSRRefE21_15x_5)</f>
        <v>800</v>
      </c>
      <c r="N72" s="1">
        <f>SUM(OSRRefE21_15x_6)</f>
        <v>800</v>
      </c>
      <c r="O72" s="1">
        <f>SUM(OSRRefE21_15x_7)</f>
        <v>800</v>
      </c>
      <c r="Q72" s="2">
        <f>SUM(OSRRefD20_15x)+IFERROR(SUM(OSRRefE20_15x),0)</f>
        <v>6400</v>
      </c>
    </row>
    <row r="73" spans="1:17" s="34" customFormat="1" hidden="1" outlineLevel="1" x14ac:dyDescent="0.25">
      <c r="A73" s="35"/>
      <c r="B73" s="13" t="str">
        <f>CONCATENATE("          ","6258", " - ","MEMBERSHIP DUES")</f>
        <v xml:space="preserve">          6258 - MEMBERSHIP DUES</v>
      </c>
      <c r="C73" s="15"/>
      <c r="D73" s="2"/>
      <c r="E73" s="2"/>
      <c r="F73" s="2"/>
      <c r="G73" s="2"/>
      <c r="H73" s="2">
        <v>800</v>
      </c>
      <c r="I73" s="2">
        <v>800</v>
      </c>
      <c r="J73" s="2">
        <v>800</v>
      </c>
      <c r="K73" s="2">
        <v>800</v>
      </c>
      <c r="L73" s="2">
        <v>800</v>
      </c>
      <c r="M73" s="2">
        <v>800</v>
      </c>
      <c r="N73" s="2">
        <v>800</v>
      </c>
      <c r="O73" s="2">
        <v>800</v>
      </c>
      <c r="P73" s="9"/>
      <c r="Q73" s="2">
        <f>SUM(OSRRefD21_15_0x)+IFERROR(SUM(OSRRefE21_15_0x),0)</f>
        <v>6400</v>
      </c>
    </row>
    <row r="74" spans="1:17" s="34" customFormat="1" collapsed="1" x14ac:dyDescent="0.25">
      <c r="A74" s="35"/>
      <c r="B74" s="15" t="str">
        <f>CONCATENATE("     ","Supplies                                          ")</f>
        <v xml:space="preserve">     Supplies                                          </v>
      </c>
      <c r="C74" s="15"/>
      <c r="D74" s="1">
        <f>SUM(OSRRefD21_16x_0)</f>
        <v>4985.9900000000007</v>
      </c>
      <c r="E74" s="1">
        <f>SUM(OSRRefD21_16x_1)</f>
        <v>2488.9299999999998</v>
      </c>
      <c r="F74" s="1">
        <f>SUM(OSRRefD21_16x_2)</f>
        <v>2360.1799999999998</v>
      </c>
      <c r="G74" s="1">
        <f>SUM(OSRRefD21_16x_3)</f>
        <v>20355.759999999998</v>
      </c>
      <c r="H74" s="1">
        <f>SUM(OSRRefE21_16x_0)</f>
        <v>2400</v>
      </c>
      <c r="I74" s="1">
        <f>SUM(OSRRefE21_16x_1)</f>
        <v>2400</v>
      </c>
      <c r="J74" s="1">
        <f>SUM(OSRRefE21_16x_2)</f>
        <v>2400</v>
      </c>
      <c r="K74" s="1">
        <f>SUM(OSRRefE21_16x_3)</f>
        <v>2400</v>
      </c>
      <c r="L74" s="1">
        <f>SUM(OSRRefE21_16x_4)</f>
        <v>2400</v>
      </c>
      <c r="M74" s="1">
        <f>SUM(OSRRefE21_16x_5)</f>
        <v>2400</v>
      </c>
      <c r="N74" s="1">
        <f>SUM(OSRRefE21_16x_6)</f>
        <v>2400</v>
      </c>
      <c r="O74" s="1">
        <f>SUM(OSRRefE21_16x_7)</f>
        <v>2400</v>
      </c>
      <c r="Q74" s="2">
        <f>SUM(OSRRefD20_16x)+IFERROR(SUM(OSRRefE20_16x),0)</f>
        <v>49390.86</v>
      </c>
    </row>
    <row r="75" spans="1:17" s="34" customFormat="1" hidden="1" outlineLevel="1" x14ac:dyDescent="0.25">
      <c r="A75" s="35"/>
      <c r="B75" s="13" t="str">
        <f>CONCATENATE("          ","6234", " - ","EXPENDABLE SUPPLIES &amp; EQUIPMEN")</f>
        <v xml:space="preserve">          6234 - EXPENDABLE SUPPLIES &amp; EQUIPMEN</v>
      </c>
      <c r="C75" s="15"/>
      <c r="D75" s="2"/>
      <c r="E75" s="2"/>
      <c r="F75" s="2"/>
      <c r="G75" s="2">
        <v>101.34</v>
      </c>
      <c r="H75" s="2">
        <v>100</v>
      </c>
      <c r="I75" s="2">
        <v>100</v>
      </c>
      <c r="J75" s="2">
        <v>100</v>
      </c>
      <c r="K75" s="2">
        <v>100</v>
      </c>
      <c r="L75" s="2">
        <v>100</v>
      </c>
      <c r="M75" s="2">
        <v>100</v>
      </c>
      <c r="N75" s="2">
        <v>100</v>
      </c>
      <c r="O75" s="2">
        <v>100</v>
      </c>
      <c r="P75" s="9"/>
      <c r="Q75" s="2">
        <f>SUM(OSRRefD21_16_0x)+IFERROR(SUM(OSRRefE21_16_0x),0)</f>
        <v>901.34</v>
      </c>
    </row>
    <row r="76" spans="1:17" s="34" customFormat="1" hidden="1" outlineLevel="1" x14ac:dyDescent="0.25">
      <c r="A76" s="35"/>
      <c r="B76" s="13" t="str">
        <f>CONCATENATE("          ","6235", " - ","COVID-19 EXPENSES")</f>
        <v xml:space="preserve">          6235 - COVID-19 EXPENSES</v>
      </c>
      <c r="C76" s="15"/>
      <c r="D76" s="2">
        <v>4295.5200000000004</v>
      </c>
      <c r="E76" s="2">
        <v>621.78</v>
      </c>
      <c r="F76" s="2">
        <v>2195.08</v>
      </c>
      <c r="G76" s="2">
        <v>16805.12</v>
      </c>
      <c r="H76" s="2">
        <v>100</v>
      </c>
      <c r="I76" s="2">
        <v>100</v>
      </c>
      <c r="J76" s="2">
        <v>100</v>
      </c>
      <c r="K76" s="2">
        <v>100</v>
      </c>
      <c r="L76" s="2">
        <v>100</v>
      </c>
      <c r="M76" s="2">
        <v>100</v>
      </c>
      <c r="N76" s="2">
        <v>100</v>
      </c>
      <c r="O76" s="2">
        <v>100</v>
      </c>
      <c r="P76" s="9"/>
      <c r="Q76" s="2">
        <f>SUM(OSRRefD21_16_1x)+IFERROR(SUM(OSRRefE21_16_1x),0)</f>
        <v>24717.5</v>
      </c>
    </row>
    <row r="77" spans="1:17" s="34" customFormat="1" hidden="1" outlineLevel="1" x14ac:dyDescent="0.25">
      <c r="A77" s="35"/>
      <c r="B77" s="13" t="str">
        <f>CONCATENATE("          ","6237", " - ","JANITORIAL SUPPLIES")</f>
        <v xml:space="preserve">          6237 - JANITORIAL SUPPLIES</v>
      </c>
      <c r="C77" s="15"/>
      <c r="D77" s="2"/>
      <c r="E77" s="2"/>
      <c r="F77" s="2"/>
      <c r="G77" s="2">
        <v>1056.6199999999999</v>
      </c>
      <c r="H77" s="2">
        <v>200</v>
      </c>
      <c r="I77" s="2">
        <v>200</v>
      </c>
      <c r="J77" s="2">
        <v>200</v>
      </c>
      <c r="K77" s="2">
        <v>200</v>
      </c>
      <c r="L77" s="2">
        <v>200</v>
      </c>
      <c r="M77" s="2">
        <v>200</v>
      </c>
      <c r="N77" s="2">
        <v>200</v>
      </c>
      <c r="O77" s="2">
        <v>200</v>
      </c>
      <c r="P77" s="9"/>
      <c r="Q77" s="2">
        <f>SUM(OSRRefD21_16_2x)+IFERROR(SUM(OSRRefE21_16_2x),0)</f>
        <v>2656.62</v>
      </c>
    </row>
    <row r="78" spans="1:17" s="34" customFormat="1" hidden="1" outlineLevel="1" x14ac:dyDescent="0.25">
      <c r="A78" s="35"/>
      <c r="B78" s="13" t="str">
        <f>CONCATENATE("          ","6241", " - ","OFFICE EXPENSE")</f>
        <v xml:space="preserve">          6241 - OFFICE EXPENSE</v>
      </c>
      <c r="C78" s="15"/>
      <c r="D78" s="2">
        <v>222.37</v>
      </c>
      <c r="E78" s="2">
        <v>1807.76</v>
      </c>
      <c r="F78" s="2">
        <v>34.67</v>
      </c>
      <c r="G78" s="2">
        <v>157.15</v>
      </c>
      <c r="H78" s="2"/>
      <c r="I78" s="2"/>
      <c r="J78" s="2"/>
      <c r="K78" s="2"/>
      <c r="L78" s="2"/>
      <c r="M78" s="2"/>
      <c r="N78" s="2"/>
      <c r="O78" s="2"/>
      <c r="P78" s="9"/>
      <c r="Q78" s="2">
        <f>SUM(OSRRefD21_16_3x)+IFERROR(SUM(OSRRefE21_16_3x),0)</f>
        <v>2221.9500000000003</v>
      </c>
    </row>
    <row r="79" spans="1:17" s="34" customFormat="1" hidden="1" outlineLevel="1" x14ac:dyDescent="0.25">
      <c r="A79" s="35"/>
      <c r="B79" s="13" t="str">
        <f>CONCATENATE("          ","6245", " - ","PRINTING")</f>
        <v xml:space="preserve">          6245 - PRINTING</v>
      </c>
      <c r="C79" s="15"/>
      <c r="D79" s="2"/>
      <c r="E79" s="2"/>
      <c r="F79" s="2">
        <v>68.66</v>
      </c>
      <c r="G79" s="2"/>
      <c r="H79" s="2"/>
      <c r="I79" s="2"/>
      <c r="J79" s="2"/>
      <c r="K79" s="2"/>
      <c r="L79" s="2"/>
      <c r="M79" s="2"/>
      <c r="N79" s="2"/>
      <c r="O79" s="2"/>
      <c r="P79" s="9"/>
      <c r="Q79" s="2">
        <f>SUM(OSRRefD21_16_4x)+IFERROR(SUM(OSRRefE21_16_4x),0)</f>
        <v>68.66</v>
      </c>
    </row>
    <row r="80" spans="1:17" s="34" customFormat="1" hidden="1" outlineLevel="1" x14ac:dyDescent="0.25">
      <c r="A80" s="35"/>
      <c r="B80" s="13" t="str">
        <f>CONCATENATE("          ","6247", " - ","STORE SUPPLIES")</f>
        <v xml:space="preserve">          6247 - STORE SUPPLIES</v>
      </c>
      <c r="C80" s="15"/>
      <c r="D80" s="2">
        <v>468.1</v>
      </c>
      <c r="E80" s="2">
        <v>59.39</v>
      </c>
      <c r="F80" s="2">
        <v>61.77</v>
      </c>
      <c r="G80" s="2">
        <v>2235.5300000000002</v>
      </c>
      <c r="H80" s="2">
        <v>1000</v>
      </c>
      <c r="I80" s="2">
        <v>1000</v>
      </c>
      <c r="J80" s="2">
        <v>1000</v>
      </c>
      <c r="K80" s="2">
        <v>1000</v>
      </c>
      <c r="L80" s="2">
        <v>1000</v>
      </c>
      <c r="M80" s="2">
        <v>1000</v>
      </c>
      <c r="N80" s="2">
        <v>1000</v>
      </c>
      <c r="O80" s="2">
        <v>1000</v>
      </c>
      <c r="P80" s="9"/>
      <c r="Q80" s="2">
        <f>SUM(OSRRefD21_16_5x)+IFERROR(SUM(OSRRefE21_16_5x),0)</f>
        <v>10824.79</v>
      </c>
    </row>
    <row r="81" spans="1:17" s="34" customFormat="1" hidden="1" outlineLevel="1" x14ac:dyDescent="0.25">
      <c r="A81" s="35"/>
      <c r="B81" s="13" t="str">
        <f>CONCATENATE("          ","6248", " - ","UNIFORMS")</f>
        <v xml:space="preserve">          6248 - UNIFORMS</v>
      </c>
      <c r="C81" s="15"/>
      <c r="D81" s="2"/>
      <c r="E81" s="2"/>
      <c r="F81" s="2"/>
      <c r="G81" s="2"/>
      <c r="H81" s="2">
        <v>1000</v>
      </c>
      <c r="I81" s="2">
        <v>1000</v>
      </c>
      <c r="J81" s="2">
        <v>1000</v>
      </c>
      <c r="K81" s="2">
        <v>1000</v>
      </c>
      <c r="L81" s="2">
        <v>1000</v>
      </c>
      <c r="M81" s="2">
        <v>1000</v>
      </c>
      <c r="N81" s="2">
        <v>1000</v>
      </c>
      <c r="O81" s="2">
        <v>1000</v>
      </c>
      <c r="P81" s="9"/>
      <c r="Q81" s="2">
        <f>SUM(OSRRefD21_16_6x)+IFERROR(SUM(OSRRefE21_16_6x),0)</f>
        <v>8000</v>
      </c>
    </row>
    <row r="82" spans="1:17" s="34" customFormat="1" collapsed="1" x14ac:dyDescent="0.25">
      <c r="A82" s="35"/>
      <c r="B82" s="15" t="str">
        <f>CONCATENATE("     ","Telephone/Data Lines                              ")</f>
        <v xml:space="preserve">     Telephone/Data Lines                              </v>
      </c>
      <c r="C82" s="15"/>
      <c r="D82" s="1">
        <f>SUM(OSRRefD21_17x_0)</f>
        <v>567.21</v>
      </c>
      <c r="E82" s="1">
        <f>SUM(OSRRefD21_17x_1)</f>
        <v>607.41</v>
      </c>
      <c r="F82" s="1">
        <f>SUM(OSRRefD21_17x_2)</f>
        <v>799.06</v>
      </c>
      <c r="G82" s="1">
        <f>SUM(OSRRefD21_17x_3)</f>
        <v>680.45</v>
      </c>
      <c r="H82" s="1">
        <f>SUM(OSRRefE21_17x_0)</f>
        <v>600</v>
      </c>
      <c r="I82" s="1">
        <f>SUM(OSRRefE21_17x_1)</f>
        <v>600</v>
      </c>
      <c r="J82" s="1">
        <f>SUM(OSRRefE21_17x_2)</f>
        <v>600</v>
      </c>
      <c r="K82" s="1">
        <f>SUM(OSRRefE21_17x_3)</f>
        <v>600</v>
      </c>
      <c r="L82" s="1">
        <f>SUM(OSRRefE21_17x_4)</f>
        <v>600</v>
      </c>
      <c r="M82" s="1">
        <f>SUM(OSRRefE21_17x_5)</f>
        <v>600</v>
      </c>
      <c r="N82" s="1">
        <f>SUM(OSRRefE21_17x_6)</f>
        <v>600</v>
      </c>
      <c r="O82" s="1">
        <f>SUM(OSRRefE21_17x_7)</f>
        <v>600</v>
      </c>
      <c r="Q82" s="2">
        <f>SUM(OSRRefD20_17x)+IFERROR(SUM(OSRRefE20_17x),0)</f>
        <v>7454.13</v>
      </c>
    </row>
    <row r="83" spans="1:17" s="34" customFormat="1" hidden="1" outlineLevel="1" x14ac:dyDescent="0.25">
      <c r="A83" s="35"/>
      <c r="B83" s="13" t="str">
        <f>CONCATENATE("          ","6309", " - ","TELEPHONE")</f>
        <v xml:space="preserve">          6309 - TELEPHONE</v>
      </c>
      <c r="C83" s="15"/>
      <c r="D83" s="2">
        <v>567.21</v>
      </c>
      <c r="E83" s="2">
        <v>607.41</v>
      </c>
      <c r="F83" s="2">
        <v>799.06</v>
      </c>
      <c r="G83" s="2">
        <v>680.45</v>
      </c>
      <c r="H83" s="2">
        <v>600</v>
      </c>
      <c r="I83" s="2">
        <v>600</v>
      </c>
      <c r="J83" s="2">
        <v>600</v>
      </c>
      <c r="K83" s="2">
        <v>600</v>
      </c>
      <c r="L83" s="2">
        <v>600</v>
      </c>
      <c r="M83" s="2">
        <v>600</v>
      </c>
      <c r="N83" s="2">
        <v>600</v>
      </c>
      <c r="O83" s="2">
        <v>600</v>
      </c>
      <c r="P83" s="9"/>
      <c r="Q83" s="2">
        <f>SUM(OSRRefD21_17_0x)+IFERROR(SUM(OSRRefE21_17_0x),0)</f>
        <v>7454.13</v>
      </c>
    </row>
    <row r="84" spans="1:17" s="34" customFormat="1" collapsed="1" x14ac:dyDescent="0.25">
      <c r="A84" s="35"/>
      <c r="B84" s="15" t="str">
        <f>CONCATENATE("     ","Training                                          ")</f>
        <v xml:space="preserve">     Training                                          </v>
      </c>
      <c r="C84" s="15"/>
      <c r="D84" s="1">
        <f>SUM(OSRRefD21_18x_0)</f>
        <v>131.63</v>
      </c>
      <c r="E84" s="1">
        <f>SUM(OSRRefD21_18x_1)</f>
        <v>0</v>
      </c>
      <c r="F84" s="1">
        <f>SUM(OSRRefD21_18x_2)</f>
        <v>0</v>
      </c>
      <c r="G84" s="1">
        <f>SUM(OSRRefD21_18x_3)</f>
        <v>0</v>
      </c>
      <c r="H84" s="1">
        <f>SUM(OSRRefE21_18x_0)</f>
        <v>750</v>
      </c>
      <c r="I84" s="1">
        <f>SUM(OSRRefE21_18x_1)</f>
        <v>0</v>
      </c>
      <c r="J84" s="1">
        <f>SUM(OSRRefE21_18x_2)</f>
        <v>0</v>
      </c>
      <c r="K84" s="1">
        <f>SUM(OSRRefE21_18x_3)</f>
        <v>0</v>
      </c>
      <c r="L84" s="1">
        <f>SUM(OSRRefE21_18x_4)</f>
        <v>0</v>
      </c>
      <c r="M84" s="1">
        <f>SUM(OSRRefE21_18x_5)</f>
        <v>0</v>
      </c>
      <c r="N84" s="1">
        <f>SUM(OSRRefE21_18x_6)</f>
        <v>0</v>
      </c>
      <c r="O84" s="1">
        <f>SUM(OSRRefE21_18x_7)</f>
        <v>0</v>
      </c>
      <c r="Q84" s="2">
        <f>SUM(OSRRefD20_18x)+IFERROR(SUM(OSRRefE20_18x),0)</f>
        <v>881.63</v>
      </c>
    </row>
    <row r="85" spans="1:17" s="34" customFormat="1" hidden="1" outlineLevel="1" x14ac:dyDescent="0.25">
      <c r="A85" s="35"/>
      <c r="B85" s="13" t="str">
        <f>CONCATENATE("          ","6376", " - ","TRAINING")</f>
        <v xml:space="preserve">          6376 - TRAINING</v>
      </c>
      <c r="C85" s="15"/>
      <c r="D85" s="2">
        <v>131.63</v>
      </c>
      <c r="E85" s="2"/>
      <c r="F85" s="2"/>
      <c r="G85" s="2"/>
      <c r="H85" s="2">
        <v>750</v>
      </c>
      <c r="I85" s="2"/>
      <c r="J85" s="2"/>
      <c r="K85" s="2"/>
      <c r="L85" s="2"/>
      <c r="M85" s="2"/>
      <c r="N85" s="2"/>
      <c r="O85" s="2"/>
      <c r="P85" s="9"/>
      <c r="Q85" s="2">
        <f>SUM(OSRRefD21_18_0x)+IFERROR(SUM(OSRRefE21_18_0x),0)</f>
        <v>881.63</v>
      </c>
    </row>
    <row r="86" spans="1:17" s="34" customFormat="1" collapsed="1" x14ac:dyDescent="0.25">
      <c r="A86" s="35"/>
      <c r="B86" s="15" t="str">
        <f>CONCATENATE("     ","Travel                                            ")</f>
        <v xml:space="preserve">     Travel                                            </v>
      </c>
      <c r="C86" s="15"/>
      <c r="D86" s="1">
        <f>SUM(OSRRefD21_19x_0)</f>
        <v>59.89</v>
      </c>
      <c r="E86" s="1">
        <f>SUM(OSRRefD21_19x_1)</f>
        <v>0</v>
      </c>
      <c r="F86" s="1">
        <f>SUM(OSRRefD21_19x_2)</f>
        <v>0</v>
      </c>
      <c r="G86" s="1">
        <f>SUM(OSRRefD21_19x_3)</f>
        <v>0</v>
      </c>
      <c r="H86" s="1">
        <f>SUM(OSRRefE21_19x_0)</f>
        <v>0</v>
      </c>
      <c r="I86" s="1">
        <f>SUM(OSRRefE21_19x_1)</f>
        <v>0</v>
      </c>
      <c r="J86" s="1">
        <f>SUM(OSRRefE21_19x_2)</f>
        <v>0</v>
      </c>
      <c r="K86" s="1">
        <f>SUM(OSRRefE21_19x_3)</f>
        <v>0</v>
      </c>
      <c r="L86" s="1">
        <f>SUM(OSRRefE21_19x_4)</f>
        <v>0</v>
      </c>
      <c r="M86" s="1">
        <f>SUM(OSRRefE21_19x_5)</f>
        <v>0</v>
      </c>
      <c r="N86" s="1">
        <f>SUM(OSRRefE21_19x_6)</f>
        <v>0</v>
      </c>
      <c r="O86" s="1">
        <f>SUM(OSRRefE21_19x_7)</f>
        <v>0</v>
      </c>
      <c r="Q86" s="2">
        <f>SUM(OSRRefD20_19x)+IFERROR(SUM(OSRRefE20_19x),0)</f>
        <v>59.89</v>
      </c>
    </row>
    <row r="87" spans="1:17" s="34" customFormat="1" hidden="1" outlineLevel="1" x14ac:dyDescent="0.25">
      <c r="A87" s="35"/>
      <c r="B87" s="13" t="str">
        <f>CONCATENATE("          ","6298", " - ","VEHICLE MILEAGE")</f>
        <v xml:space="preserve">          6298 - VEHICLE MILEAGE</v>
      </c>
      <c r="C87" s="15"/>
      <c r="D87" s="2">
        <v>59.89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9"/>
      <c r="Q87" s="2">
        <f>SUM(OSRRefD21_19_0x)+IFERROR(SUM(OSRRefE21_19_0x),0)</f>
        <v>59.89</v>
      </c>
    </row>
    <row r="88" spans="1:17" s="34" customFormat="1" collapsed="1" x14ac:dyDescent="0.25">
      <c r="A88" s="35"/>
      <c r="B88" s="15" t="str">
        <f>CONCATENATE("     ","Utilities                                         ")</f>
        <v xml:space="preserve">     Utilities                                         </v>
      </c>
      <c r="C88" s="15"/>
      <c r="D88" s="1">
        <f>SUM(OSRRefD21_20x_0)</f>
        <v>6133</v>
      </c>
      <c r="E88" s="1">
        <f>SUM(OSRRefD21_20x_1)</f>
        <v>6133</v>
      </c>
      <c r="F88" s="1">
        <f>SUM(OSRRefD21_20x_2)</f>
        <v>6133</v>
      </c>
      <c r="G88" s="1">
        <f>SUM(OSRRefD21_20x_3)</f>
        <v>5937</v>
      </c>
      <c r="H88" s="1">
        <f>SUM(OSRRefE21_20x_0)</f>
        <v>6000</v>
      </c>
      <c r="I88" s="1">
        <f>SUM(OSRRefE21_20x_1)</f>
        <v>6000</v>
      </c>
      <c r="J88" s="1">
        <f>SUM(OSRRefE21_20x_2)</f>
        <v>6000</v>
      </c>
      <c r="K88" s="1">
        <f>SUM(OSRRefE21_20x_3)</f>
        <v>6000</v>
      </c>
      <c r="L88" s="1">
        <f>SUM(OSRRefE21_20x_4)</f>
        <v>6000</v>
      </c>
      <c r="M88" s="1">
        <f>SUM(OSRRefE21_20x_5)</f>
        <v>6000</v>
      </c>
      <c r="N88" s="1">
        <f>SUM(OSRRefE21_20x_6)</f>
        <v>6000</v>
      </c>
      <c r="O88" s="1">
        <f>SUM(OSRRefE21_20x_7)</f>
        <v>6000</v>
      </c>
      <c r="Q88" s="2">
        <f>SUM(OSRRefD20_20x)+IFERROR(SUM(OSRRefE20_20x),0)</f>
        <v>72336</v>
      </c>
    </row>
    <row r="89" spans="1:17" s="34" customFormat="1" hidden="1" outlineLevel="1" x14ac:dyDescent="0.25">
      <c r="A89" s="35"/>
      <c r="B89" s="13" t="str">
        <f>CONCATENATE("          ","6274", " - ","UTILITIES")</f>
        <v xml:space="preserve">          6274 - UTILITIES</v>
      </c>
      <c r="C89" s="15"/>
      <c r="D89" s="2">
        <v>6133</v>
      </c>
      <c r="E89" s="2">
        <v>6133</v>
      </c>
      <c r="F89" s="2">
        <v>6133</v>
      </c>
      <c r="G89" s="2">
        <v>5937</v>
      </c>
      <c r="H89" s="2">
        <v>6000</v>
      </c>
      <c r="I89" s="2">
        <v>6000</v>
      </c>
      <c r="J89" s="2">
        <v>6000</v>
      </c>
      <c r="K89" s="2">
        <v>6000</v>
      </c>
      <c r="L89" s="2">
        <v>6000</v>
      </c>
      <c r="M89" s="2">
        <v>6000</v>
      </c>
      <c r="N89" s="2">
        <v>6000</v>
      </c>
      <c r="O89" s="2">
        <v>6000</v>
      </c>
      <c r="P89" s="9"/>
      <c r="Q89" s="2">
        <f>SUM(OSRRefD21_20_0x)+IFERROR(SUM(OSRRefE21_20_0x),0)</f>
        <v>72336</v>
      </c>
    </row>
    <row r="90" spans="1:17" s="28" customFormat="1" x14ac:dyDescent="0.25">
      <c r="A90" s="20"/>
      <c r="B90" s="20"/>
      <c r="C90" s="20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Q90" s="1"/>
    </row>
    <row r="91" spans="1:17" s="9" customFormat="1" x14ac:dyDescent="0.25">
      <c r="A91" s="22"/>
      <c r="B91" s="16" t="s">
        <v>0</v>
      </c>
      <c r="C91" s="23"/>
      <c r="D91" s="3">
        <f>--17025.31</f>
        <v>17025.310000000001</v>
      </c>
      <c r="E91" s="3">
        <f>--48195.62</f>
        <v>48195.62</v>
      </c>
      <c r="F91" s="3">
        <f>--2929.62</f>
        <v>2929.62</v>
      </c>
      <c r="G91" s="3">
        <f>--2561.17</f>
        <v>2561.17</v>
      </c>
      <c r="H91" s="3">
        <v>17275</v>
      </c>
      <c r="I91" s="3">
        <v>17275</v>
      </c>
      <c r="J91" s="3">
        <v>17275</v>
      </c>
      <c r="K91" s="3">
        <v>18675</v>
      </c>
      <c r="L91" s="3">
        <v>18675</v>
      </c>
      <c r="M91" s="3">
        <v>18675</v>
      </c>
      <c r="N91" s="3">
        <v>18675</v>
      </c>
      <c r="O91" s="3">
        <v>18675</v>
      </c>
      <c r="Q91" s="2">
        <f>SUM(OSRRefD23_0x)+IFERROR(SUM(OSRRefE23_0x),0)</f>
        <v>215911.72</v>
      </c>
    </row>
    <row r="92" spans="1:17" x14ac:dyDescent="0.25">
      <c r="A92" s="5"/>
      <c r="B92" s="8"/>
      <c r="C92" s="8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4" customFormat="1" x14ac:dyDescent="0.25">
      <c r="A93" s="8"/>
      <c r="B93" s="17" t="s">
        <v>3</v>
      </c>
      <c r="C93" s="17"/>
      <c r="D93" s="6">
        <f t="shared" ref="D93:O93" si="4">IFERROR(+D14-D17+D91, 0)</f>
        <v>-148391.38999999998</v>
      </c>
      <c r="E93" s="6">
        <f t="shared" si="4"/>
        <v>-93767.039999999979</v>
      </c>
      <c r="F93" s="6">
        <f t="shared" si="4"/>
        <v>-106296.05999999997</v>
      </c>
      <c r="G93" s="6">
        <f t="shared" si="4"/>
        <v>-115924.29999999997</v>
      </c>
      <c r="H93" s="6">
        <f t="shared" si="4"/>
        <v>-87294.314820138476</v>
      </c>
      <c r="I93" s="6">
        <f t="shared" si="4"/>
        <v>-107477.50601826154</v>
      </c>
      <c r="J93" s="6">
        <f t="shared" si="4"/>
        <v>-155907.23557550192</v>
      </c>
      <c r="K93" s="6">
        <f t="shared" si="4"/>
        <v>-98058.564078001538</v>
      </c>
      <c r="L93" s="6">
        <f t="shared" si="4"/>
        <v>-92113.728246001541</v>
      </c>
      <c r="M93" s="6">
        <f t="shared" si="4"/>
        <v>-104310.36342650192</v>
      </c>
      <c r="N93" s="6">
        <f t="shared" si="4"/>
        <v>-91802.212123001547</v>
      </c>
      <c r="O93" s="6">
        <f t="shared" si="4"/>
        <v>-79092.27460480154</v>
      </c>
      <c r="Q93" s="6">
        <f>IFERROR(+Q14-Q17+Q91, 0)</f>
        <v>-1280434.9888922099</v>
      </c>
    </row>
    <row r="94" spans="1:17" s="8" customFormat="1" x14ac:dyDescent="0.25">
      <c r="B94" s="16"/>
      <c r="C94" s="16"/>
      <c r="D94" s="4">
        <f t="shared" ref="D94:O94" si="5">IFERROR(D93/D10, 0)</f>
        <v>0</v>
      </c>
      <c r="E94" s="4">
        <f t="shared" si="5"/>
        <v>0</v>
      </c>
      <c r="F94" s="4">
        <f t="shared" si="5"/>
        <v>0</v>
      </c>
      <c r="G94" s="4">
        <f t="shared" si="5"/>
        <v>0</v>
      </c>
      <c r="H94" s="4">
        <f t="shared" si="5"/>
        <v>0</v>
      </c>
      <c r="I94" s="4">
        <f t="shared" si="5"/>
        <v>0</v>
      </c>
      <c r="J94" s="4">
        <f t="shared" si="5"/>
        <v>0</v>
      </c>
      <c r="K94" s="4">
        <f t="shared" si="5"/>
        <v>0</v>
      </c>
      <c r="L94" s="4">
        <f t="shared" si="5"/>
        <v>0</v>
      </c>
      <c r="M94" s="4">
        <f t="shared" si="5"/>
        <v>0</v>
      </c>
      <c r="N94" s="4">
        <f t="shared" si="5"/>
        <v>0</v>
      </c>
      <c r="O94" s="4">
        <f t="shared" si="5"/>
        <v>0</v>
      </c>
      <c r="P94" s="18"/>
      <c r="Q94" s="4">
        <f>IFERROR(Q93/Q10, 0)</f>
        <v>0</v>
      </c>
    </row>
    <row r="95" spans="1:17" x14ac:dyDescent="0.25">
      <c r="A95" s="5"/>
      <c r="B95" s="8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4" customFormat="1" x14ac:dyDescent="0.25">
      <c r="A96" s="25"/>
      <c r="B96" s="8" t="s">
        <v>8</v>
      </c>
      <c r="C96" s="8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2">
        <f>SUM(OSRRefD28_0x)+IFERROR(SUM(OSRRefE28_0x),0)</f>
        <v>0</v>
      </c>
    </row>
    <row r="97" spans="1:17" x14ac:dyDescent="0.25">
      <c r="A97" s="5"/>
      <c r="B97" s="8"/>
      <c r="C97" s="8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4" customFormat="1" ht="15.75" thickBot="1" x14ac:dyDescent="0.3">
      <c r="A98" s="8"/>
      <c r="B98" s="17" t="s">
        <v>4</v>
      </c>
      <c r="C98" s="17"/>
      <c r="D98" s="7">
        <f t="shared" ref="D98:O98" si="6">IFERROR(+D93-D96, 0)</f>
        <v>-148391.38999999998</v>
      </c>
      <c r="E98" s="7">
        <f t="shared" si="6"/>
        <v>-93767.039999999979</v>
      </c>
      <c r="F98" s="7">
        <f t="shared" si="6"/>
        <v>-106296.05999999997</v>
      </c>
      <c r="G98" s="7">
        <f t="shared" si="6"/>
        <v>-115924.29999999997</v>
      </c>
      <c r="H98" s="7">
        <f t="shared" si="6"/>
        <v>-87294.314820138476</v>
      </c>
      <c r="I98" s="7">
        <f t="shared" si="6"/>
        <v>-107477.50601826154</v>
      </c>
      <c r="J98" s="7">
        <f t="shared" si="6"/>
        <v>-155907.23557550192</v>
      </c>
      <c r="K98" s="7">
        <f t="shared" si="6"/>
        <v>-98058.564078001538</v>
      </c>
      <c r="L98" s="7">
        <f t="shared" si="6"/>
        <v>-92113.728246001541</v>
      </c>
      <c r="M98" s="7">
        <f t="shared" si="6"/>
        <v>-104310.36342650192</v>
      </c>
      <c r="N98" s="7">
        <f t="shared" si="6"/>
        <v>-91802.212123001547</v>
      </c>
      <c r="O98" s="7">
        <f t="shared" si="6"/>
        <v>-79092.27460480154</v>
      </c>
      <c r="Q98" s="7">
        <f>IFERROR(+Q93-Q96, 0)</f>
        <v>-1280434.9888922099</v>
      </c>
    </row>
    <row r="99" spans="1:17" ht="15.75" thickTop="1" x14ac:dyDescent="0.25">
      <c r="A99" s="5"/>
      <c r="B99" s="5"/>
      <c r="C99" s="5"/>
      <c r="D99" s="4">
        <f t="shared" ref="D99:O99" si="7">IFERROR(D98/D10, 0)</f>
        <v>0</v>
      </c>
      <c r="E99" s="4">
        <f t="shared" si="7"/>
        <v>0</v>
      </c>
      <c r="F99" s="4">
        <f t="shared" si="7"/>
        <v>0</v>
      </c>
      <c r="G99" s="4">
        <f t="shared" si="7"/>
        <v>0</v>
      </c>
      <c r="H99" s="4">
        <f t="shared" si="7"/>
        <v>0</v>
      </c>
      <c r="I99" s="4">
        <f t="shared" si="7"/>
        <v>0</v>
      </c>
      <c r="J99" s="4">
        <f t="shared" si="7"/>
        <v>0</v>
      </c>
      <c r="K99" s="4">
        <f t="shared" si="7"/>
        <v>0</v>
      </c>
      <c r="L99" s="4">
        <f t="shared" si="7"/>
        <v>0</v>
      </c>
      <c r="M99" s="4">
        <f t="shared" si="7"/>
        <v>0</v>
      </c>
      <c r="N99" s="4">
        <f t="shared" si="7"/>
        <v>0</v>
      </c>
      <c r="O99" s="4">
        <f t="shared" si="7"/>
        <v>0</v>
      </c>
      <c r="P99" s="18"/>
      <c r="Q99" s="4">
        <f>IFERROR(Q98/Q10, 0)</f>
        <v>0</v>
      </c>
    </row>
    <row r="100" spans="1:17" x14ac:dyDescent="0.25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x14ac:dyDescent="0.25">
      <c r="A101" s="5"/>
      <c r="B101" s="5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4" customFormat="1" ht="15.75" thickBot="1" x14ac:dyDescent="0.3">
      <c r="A102" s="8"/>
      <c r="B102" s="17" t="s">
        <v>5</v>
      </c>
      <c r="C102" s="17"/>
      <c r="D102" s="7">
        <f t="shared" ref="D102:O102" si="8">IFERROR(SUM(D98:D101), 0)</f>
        <v>-148391.38999999998</v>
      </c>
      <c r="E102" s="7">
        <f t="shared" si="8"/>
        <v>-93767.039999999979</v>
      </c>
      <c r="F102" s="7">
        <f t="shared" si="8"/>
        <v>-106296.05999999997</v>
      </c>
      <c r="G102" s="7">
        <f t="shared" si="8"/>
        <v>-115924.29999999997</v>
      </c>
      <c r="H102" s="7">
        <f t="shared" si="8"/>
        <v>-87294.314820138476</v>
      </c>
      <c r="I102" s="7">
        <f t="shared" si="8"/>
        <v>-107477.50601826154</v>
      </c>
      <c r="J102" s="7">
        <f t="shared" si="8"/>
        <v>-155907.23557550192</v>
      </c>
      <c r="K102" s="7">
        <f t="shared" si="8"/>
        <v>-98058.564078001538</v>
      </c>
      <c r="L102" s="7">
        <f t="shared" si="8"/>
        <v>-92113.728246001541</v>
      </c>
      <c r="M102" s="7">
        <f t="shared" si="8"/>
        <v>-104310.36342650192</v>
      </c>
      <c r="N102" s="7">
        <f t="shared" si="8"/>
        <v>-91802.212123001547</v>
      </c>
      <c r="O102" s="7">
        <f t="shared" si="8"/>
        <v>-79092.27460480154</v>
      </c>
      <c r="Q102" s="7">
        <f>IFERROR(SUM(Q98:Q101), 0)</f>
        <v>-1280434.9888922099</v>
      </c>
    </row>
    <row r="103" spans="1:17" ht="15.75" thickTop="1" x14ac:dyDescent="0.25">
      <c r="A103" s="5"/>
      <c r="C103" s="5"/>
      <c r="D103" s="4">
        <f t="shared" ref="D103:O103" si="9">IFERROR(D102/D10, 0)</f>
        <v>0</v>
      </c>
      <c r="E103" s="4">
        <f t="shared" si="9"/>
        <v>0</v>
      </c>
      <c r="F103" s="4">
        <f t="shared" si="9"/>
        <v>0</v>
      </c>
      <c r="G103" s="4">
        <f t="shared" si="9"/>
        <v>0</v>
      </c>
      <c r="H103" s="4">
        <f t="shared" si="9"/>
        <v>0</v>
      </c>
      <c r="I103" s="4">
        <f t="shared" si="9"/>
        <v>0</v>
      </c>
      <c r="J103" s="4">
        <f t="shared" si="9"/>
        <v>0</v>
      </c>
      <c r="K103" s="4">
        <f t="shared" si="9"/>
        <v>0</v>
      </c>
      <c r="L103" s="4">
        <f t="shared" si="9"/>
        <v>0</v>
      </c>
      <c r="M103" s="4">
        <f t="shared" si="9"/>
        <v>0</v>
      </c>
      <c r="N103" s="4">
        <f t="shared" si="9"/>
        <v>0</v>
      </c>
      <c r="O103" s="4">
        <f t="shared" si="9"/>
        <v>0</v>
      </c>
      <c r="P103" s="18"/>
      <c r="Q103" s="4">
        <f>IFERROR(Q102/Q10, 0)</f>
        <v>0</v>
      </c>
    </row>
    <row r="104" spans="1:17" x14ac:dyDescent="0.25">
      <c r="A104" s="5"/>
      <c r="B104" s="26">
        <v>44151.564766238429</v>
      </c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Q104" s="12"/>
    </row>
    <row r="105" spans="1:17" x14ac:dyDescent="0.25">
      <c r="A105" s="5"/>
      <c r="B105" s="30" t="s">
        <v>311</v>
      </c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Q105" s="12"/>
    </row>
    <row r="106" spans="1:17" x14ac:dyDescent="0.25">
      <c r="A106" s="5"/>
      <c r="B106" s="31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Q106" s="12"/>
    </row>
    <row r="107" spans="1:17" x14ac:dyDescent="0.25"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Q10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">
        <v>299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12397.94</v>
      </c>
      <c r="F10" s="3">
        <f>SUM(OSRRefD11x_2)</f>
        <v>8896.08</v>
      </c>
      <c r="G10" s="3">
        <f>SUM(OSRRefD11x_3)</f>
        <v>17.899999999999999</v>
      </c>
      <c r="H10" s="3">
        <f>SUM(OSRRefE11x_0)</f>
        <v>0</v>
      </c>
      <c r="I10" s="3">
        <f>SUM(OSRRefE11x_1)</f>
        <v>0</v>
      </c>
      <c r="J10" s="3">
        <f>SUM(OSRRefE11x_2)</f>
        <v>0</v>
      </c>
      <c r="K10" s="3">
        <f>SUM(OSRRefE11x_3)</f>
        <v>0</v>
      </c>
      <c r="L10" s="3">
        <f>SUM(OSRRefE11x_4)</f>
        <v>0</v>
      </c>
      <c r="M10" s="3">
        <f>SUM(OSRRefE11x_5)</f>
        <v>0</v>
      </c>
      <c r="N10" s="3">
        <f>SUM(OSRRefE11x_6)</f>
        <v>0</v>
      </c>
      <c r="O10" s="3">
        <f>SUM(OSRRefE11x_7)</f>
        <v>0</v>
      </c>
      <c r="P10" s="24"/>
      <c r="Q10" s="3">
        <f>SUM(OSRRefG11x)</f>
        <v>21311.919999999998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D21" si="0">0</f>
        <v>0</v>
      </c>
      <c r="E11" s="2">
        <f>-1069.53</f>
        <v>-1069.53</v>
      </c>
      <c r="F11" s="2">
        <f>-25.17</f>
        <v>-25.17</v>
      </c>
      <c r="G11" s="2">
        <f>-1.74</f>
        <v>-1.74</v>
      </c>
      <c r="H11" s="2"/>
      <c r="I11" s="2"/>
      <c r="J11" s="2"/>
      <c r="K11" s="2"/>
      <c r="L11" s="2"/>
      <c r="M11" s="2"/>
      <c r="N11" s="2"/>
      <c r="O11" s="2"/>
      <c r="Q11" s="2">
        <f>SUM(OSRRefD11_0x)+IFERROR(SUM(OSRRefE11_0x),0)</f>
        <v>-1096.44</v>
      </c>
    </row>
    <row r="12" spans="1:18" s="9" customFormat="1" hidden="1" outlineLevel="1" x14ac:dyDescent="0.25">
      <c r="A12" s="22"/>
      <c r="B12" s="13" t="str">
        <f>CONCATENATE("          ","4026", " - ","TAXABLE SALES-WRITING INSTRUME")</f>
        <v xml:space="preserve">          4026 - TAXABLE SALES-WRITING INSTRUME</v>
      </c>
      <c r="C12" s="23"/>
      <c r="D12" s="2">
        <f t="shared" si="0"/>
        <v>0</v>
      </c>
      <c r="E12" s="2">
        <f>0</f>
        <v>0</v>
      </c>
      <c r="F12" s="2">
        <f>--17.51</f>
        <v>17.510000000000002</v>
      </c>
      <c r="G12" s="2">
        <f t="shared" ref="G12:G14" si="1">0</f>
        <v>0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17.510000000000002</v>
      </c>
    </row>
    <row r="13" spans="1:18" s="9" customFormat="1" hidden="1" outlineLevel="1" x14ac:dyDescent="0.25">
      <c r="A13" s="22"/>
      <c r="B13" s="13" t="str">
        <f>CONCATENATE("          ","4027", " - ","TAXABLE SALES-SCHOOL SUPPLIES")</f>
        <v xml:space="preserve">          4027 - TAXABLE SALES-SCHOOL SUPPLIES</v>
      </c>
      <c r="C13" s="23"/>
      <c r="D13" s="2">
        <f t="shared" si="0"/>
        <v>0</v>
      </c>
      <c r="E13" s="2">
        <f>--3388.87</f>
        <v>3388.87</v>
      </c>
      <c r="F13" s="2">
        <f>--4601.45</f>
        <v>4601.45</v>
      </c>
      <c r="G13" s="2">
        <f t="shared" si="1"/>
        <v>0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7990.32</v>
      </c>
    </row>
    <row r="14" spans="1:18" s="9" customFormat="1" hidden="1" outlineLevel="1" x14ac:dyDescent="0.25">
      <c r="A14" s="22"/>
      <c r="B14" s="13" t="str">
        <f>CONCATENATE("          ","4028", " - ","TAXABLE SALES-ART/TECH")</f>
        <v xml:space="preserve">          4028 - TAXABLE SALES-ART/TECH</v>
      </c>
      <c r="C14" s="23"/>
      <c r="D14" s="2">
        <f t="shared" si="0"/>
        <v>0</v>
      </c>
      <c r="E14" s="2">
        <f>--9671.25</f>
        <v>9671.25</v>
      </c>
      <c r="F14" s="2">
        <f>--2807.8</f>
        <v>2807.8</v>
      </c>
      <c r="G14" s="2">
        <f t="shared" si="1"/>
        <v>0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12479.05</v>
      </c>
    </row>
    <row r="15" spans="1:18" s="9" customFormat="1" hidden="1" outlineLevel="1" x14ac:dyDescent="0.25">
      <c r="A15" s="22"/>
      <c r="B15" s="13" t="str">
        <f>CONCATENATE("          ","4031", " - ","TAXABLE SALES-FOOD")</f>
        <v xml:space="preserve">          4031 - TAXABLE SALES-FOOD</v>
      </c>
      <c r="C15" s="23"/>
      <c r="D15" s="2">
        <f t="shared" si="0"/>
        <v>0</v>
      </c>
      <c r="E15" s="2">
        <f>--125.04</f>
        <v>125.04</v>
      </c>
      <c r="F15" s="2">
        <f>--244.33</f>
        <v>244.33</v>
      </c>
      <c r="G15" s="2">
        <f>--5.18</f>
        <v>5.18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374.55</v>
      </c>
    </row>
    <row r="16" spans="1:18" s="9" customFormat="1" hidden="1" outlineLevel="1" x14ac:dyDescent="0.25">
      <c r="A16" s="22"/>
      <c r="B16" s="13" t="str">
        <f>CONCATENATE("          ","4081", " - ","TAXABLE SALES-ELECTRONICS")</f>
        <v xml:space="preserve">          4081 - TAXABLE SALES-ELECTRONICS</v>
      </c>
      <c r="C16" s="23"/>
      <c r="D16" s="2">
        <f t="shared" si="0"/>
        <v>0</v>
      </c>
      <c r="E16" s="2">
        <f t="shared" ref="E16:E18" si="2">0</f>
        <v>0</v>
      </c>
      <c r="F16" s="2">
        <f>--71.95</f>
        <v>71.95</v>
      </c>
      <c r="G16" s="2">
        <f t="shared" ref="G16:G18" si="3">0</f>
        <v>0</v>
      </c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71.95</v>
      </c>
    </row>
    <row r="17" spans="1:17" s="9" customFormat="1" hidden="1" outlineLevel="1" x14ac:dyDescent="0.25">
      <c r="A17" s="22"/>
      <c r="B17" s="13" t="str">
        <f>CONCATENATE("          ","4083", " - ","TAXABLE SALES-COMPUTER EQUIPME")</f>
        <v xml:space="preserve">          4083 - TAXABLE SALES-COMPUTER EQUIPME</v>
      </c>
      <c r="C17" s="23"/>
      <c r="D17" s="2">
        <f t="shared" si="0"/>
        <v>0</v>
      </c>
      <c r="E17" s="2">
        <f t="shared" si="2"/>
        <v>0</v>
      </c>
      <c r="F17" s="2">
        <f>--9.99</f>
        <v>9.99</v>
      </c>
      <c r="G17" s="2">
        <f t="shared" si="3"/>
        <v>0</v>
      </c>
      <c r="H17" s="2"/>
      <c r="I17" s="2"/>
      <c r="J17" s="2"/>
      <c r="K17" s="2"/>
      <c r="L17" s="2"/>
      <c r="M17" s="2"/>
      <c r="N17" s="2"/>
      <c r="O17" s="2"/>
      <c r="Q17" s="2">
        <f>SUM(OSRRefD11_6x)+IFERROR(SUM(OSRRefE11_6x),0)</f>
        <v>9.99</v>
      </c>
    </row>
    <row r="18" spans="1:17" s="9" customFormat="1" hidden="1" outlineLevel="1" x14ac:dyDescent="0.25">
      <c r="A18" s="22"/>
      <c r="B18" s="13" t="str">
        <f>CONCATENATE("          ","4100", " - ","NON-TAXABLE SALES")</f>
        <v xml:space="preserve">          4100 - NON-TAXABLE SALES</v>
      </c>
      <c r="C18" s="23"/>
      <c r="D18" s="2">
        <f t="shared" si="0"/>
        <v>0</v>
      </c>
      <c r="E18" s="2">
        <f t="shared" si="2"/>
        <v>0</v>
      </c>
      <c r="F18" s="2">
        <f>0</f>
        <v>0</v>
      </c>
      <c r="G18" s="2">
        <f t="shared" si="3"/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Q18" s="2">
        <f>SUM(OSRRefD11_7x)+IFERROR(SUM(OSRRefE11_7x),0)</f>
        <v>0</v>
      </c>
    </row>
    <row r="19" spans="1:17" s="9" customFormat="1" hidden="1" outlineLevel="1" x14ac:dyDescent="0.25">
      <c r="A19" s="22"/>
      <c r="B19" s="13" t="str">
        <f>CONCATENATE("          ","4131", " - ","NON-TAXABLE SALES-FOOD")</f>
        <v xml:space="preserve">          4131 - NON-TAXABLE SALES-FOOD</v>
      </c>
      <c r="C19" s="23"/>
      <c r="D19" s="2">
        <f t="shared" si="0"/>
        <v>0</v>
      </c>
      <c r="E19" s="2">
        <f>--587.14</f>
        <v>587.14</v>
      </c>
      <c r="F19" s="2">
        <f>--1245.56</f>
        <v>1245.56</v>
      </c>
      <c r="G19" s="2">
        <f>--14.46</f>
        <v>14.46</v>
      </c>
      <c r="H19" s="2"/>
      <c r="I19" s="2"/>
      <c r="J19" s="2"/>
      <c r="K19" s="2"/>
      <c r="L19" s="2"/>
      <c r="M19" s="2"/>
      <c r="N19" s="2"/>
      <c r="O19" s="2"/>
      <c r="Q19" s="2">
        <f>SUM(OSRRefD11_8x)+IFERROR(SUM(OSRRefE11_8x),0)</f>
        <v>1847.1599999999999</v>
      </c>
    </row>
    <row r="20" spans="1:17" s="9" customFormat="1" hidden="1" outlineLevel="1" x14ac:dyDescent="0.25">
      <c r="A20" s="22"/>
      <c r="B20" s="13" t="str">
        <f>CONCATENATE("          ","4227", " - ","SALES RETURN TAXABLE-SCHOOL SU")</f>
        <v xml:space="preserve">          4227 - SALES RETURN TAXABLE-SCHOOL SU</v>
      </c>
      <c r="C20" s="23"/>
      <c r="D20" s="2">
        <f t="shared" si="0"/>
        <v>0</v>
      </c>
      <c r="E20" s="2">
        <f>-140.39</f>
        <v>-140.38999999999999</v>
      </c>
      <c r="F20" s="2">
        <f>-19.58</f>
        <v>-19.579999999999998</v>
      </c>
      <c r="G20" s="2">
        <f t="shared" ref="G20:G21" si="4">0</f>
        <v>0</v>
      </c>
      <c r="H20" s="2"/>
      <c r="I20" s="2"/>
      <c r="J20" s="2"/>
      <c r="K20" s="2"/>
      <c r="L20" s="2"/>
      <c r="M20" s="2"/>
      <c r="N20" s="2"/>
      <c r="O20" s="2"/>
      <c r="Q20" s="2">
        <f>SUM(OSRRefD11_9x)+IFERROR(SUM(OSRRefE11_9x),0)</f>
        <v>-159.96999999999997</v>
      </c>
    </row>
    <row r="21" spans="1:17" s="9" customFormat="1" hidden="1" outlineLevel="1" x14ac:dyDescent="0.25">
      <c r="A21" s="22"/>
      <c r="B21" s="13" t="str">
        <f>CONCATENATE("          ","4228", " - ","SALES RETURN TAXABLE-ART/TECH")</f>
        <v xml:space="preserve">          4228 - SALES RETURN TAXABLE-ART/TECH</v>
      </c>
      <c r="C21" s="23"/>
      <c r="D21" s="2">
        <f t="shared" si="0"/>
        <v>0</v>
      </c>
      <c r="E21" s="2">
        <f>-164.44</f>
        <v>-164.44</v>
      </c>
      <c r="F21" s="2">
        <f>-57.76</f>
        <v>-57.76</v>
      </c>
      <c r="G21" s="2">
        <f t="shared" si="4"/>
        <v>0</v>
      </c>
      <c r="H21" s="2"/>
      <c r="I21" s="2"/>
      <c r="J21" s="2"/>
      <c r="K21" s="2"/>
      <c r="L21" s="2"/>
      <c r="M21" s="2"/>
      <c r="N21" s="2"/>
      <c r="O21" s="2"/>
      <c r="Q21" s="2">
        <f>SUM(OSRRefD11_10x)+IFERROR(SUM(OSRRefE11_10x),0)</f>
        <v>-222.2</v>
      </c>
    </row>
    <row r="22" spans="1:17" x14ac:dyDescent="0.25">
      <c r="A22" s="5"/>
      <c r="B22" s="8"/>
      <c r="C22" s="5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9" customFormat="1" collapsed="1" x14ac:dyDescent="0.25">
      <c r="A23" s="22"/>
      <c r="B23" s="16" t="s">
        <v>290</v>
      </c>
      <c r="C23" s="23"/>
      <c r="D23" s="3">
        <f>SUM(OSRRefD14x_0)</f>
        <v>38.049999999999997</v>
      </c>
      <c r="E23" s="3">
        <f>SUM(OSRRefD14x_1)</f>
        <v>9005</v>
      </c>
      <c r="F23" s="3">
        <f>SUM(OSRRefD14x_2)</f>
        <v>5140</v>
      </c>
      <c r="G23" s="3">
        <f>SUM(OSRRefD14x_3)</f>
        <v>-4.3769432522822171E-12</v>
      </c>
      <c r="H23" s="3">
        <f>SUM(OSRRefE14x_0)</f>
        <v>0</v>
      </c>
      <c r="I23" s="3">
        <f>SUM(OSRRefE14x_1)</f>
        <v>0</v>
      </c>
      <c r="J23" s="3">
        <f>SUM(OSRRefE14x_2)</f>
        <v>0</v>
      </c>
      <c r="K23" s="3">
        <f>SUM(OSRRefE14x_3)</f>
        <v>0</v>
      </c>
      <c r="L23" s="3">
        <f>SUM(OSRRefE14x_4)</f>
        <v>0</v>
      </c>
      <c r="M23" s="3">
        <f>SUM(OSRRefE14x_5)</f>
        <v>0</v>
      </c>
      <c r="N23" s="3">
        <f>SUM(OSRRefE14x_6)</f>
        <v>0</v>
      </c>
      <c r="O23" s="3">
        <f>SUM(OSRRefE14x_7)</f>
        <v>0</v>
      </c>
      <c r="Q23" s="3">
        <f>SUM(OSRRefG14x)</f>
        <v>14183.049999999994</v>
      </c>
    </row>
    <row r="24" spans="1:17" s="9" customFormat="1" hidden="1" outlineLevel="1" x14ac:dyDescent="0.25">
      <c r="A24" s="22"/>
      <c r="B24" s="13" t="str">
        <f>CONCATENATE("          ","5000", " - ","PURCHASES @ COST")</f>
        <v xml:space="preserve">          5000 - PURCHASES @ COST</v>
      </c>
      <c r="C24" s="23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Q24" s="2">
        <f>SUM(OSRRefD14_0x)+IFERROR(SUM(OSRRefE14_0x),0)</f>
        <v>0</v>
      </c>
    </row>
    <row r="25" spans="1:17" s="9" customFormat="1" hidden="1" outlineLevel="1" x14ac:dyDescent="0.25">
      <c r="A25" s="22"/>
      <c r="B25" s="13" t="str">
        <f>CONCATENATE("          ","5026", " - ","PURCHASES @ COST-WRITING INSTR")</f>
        <v xml:space="preserve">          5026 - PURCHASES @ COST-WRITING INSTR</v>
      </c>
      <c r="C25" s="23"/>
      <c r="D25" s="2"/>
      <c r="E25" s="2"/>
      <c r="F25" s="2"/>
      <c r="G25" s="2">
        <v>370.02</v>
      </c>
      <c r="H25" s="2"/>
      <c r="I25" s="2"/>
      <c r="J25" s="2"/>
      <c r="K25" s="2"/>
      <c r="L25" s="2"/>
      <c r="M25" s="2"/>
      <c r="N25" s="2"/>
      <c r="O25" s="2"/>
      <c r="Q25" s="2">
        <f>SUM(OSRRefD14_1x)+IFERROR(SUM(OSRRefE14_1x),0)</f>
        <v>370.02</v>
      </c>
    </row>
    <row r="26" spans="1:17" s="9" customFormat="1" hidden="1" outlineLevel="1" x14ac:dyDescent="0.25">
      <c r="A26" s="22"/>
      <c r="B26" s="13" t="str">
        <f>CONCATENATE("          ","5027", " - ","PURCHASES @ COST-SCHOOL SUPPLI")</f>
        <v xml:space="preserve">          5027 - PURCHASES @ COST-SCHOOL SUPPLI</v>
      </c>
      <c r="C26" s="23"/>
      <c r="D26" s="2"/>
      <c r="E26" s="2"/>
      <c r="F26" s="2"/>
      <c r="G26" s="2">
        <v>895.47</v>
      </c>
      <c r="H26" s="2"/>
      <c r="I26" s="2"/>
      <c r="J26" s="2"/>
      <c r="K26" s="2"/>
      <c r="L26" s="2"/>
      <c r="M26" s="2"/>
      <c r="N26" s="2"/>
      <c r="O26" s="2"/>
      <c r="Q26" s="2">
        <f>SUM(OSRRefD14_2x)+IFERROR(SUM(OSRRefE14_2x),0)</f>
        <v>895.47</v>
      </c>
    </row>
    <row r="27" spans="1:17" s="9" customFormat="1" hidden="1" outlineLevel="1" x14ac:dyDescent="0.25">
      <c r="A27" s="22"/>
      <c r="B27" s="13" t="str">
        <f>CONCATENATE("          ","5028", " - ","PURCHASES @ COST-ART/TECH")</f>
        <v xml:space="preserve">          5028 - PURCHASES @ COST-ART/TECH</v>
      </c>
      <c r="C27" s="23"/>
      <c r="D27" s="2"/>
      <c r="E27" s="2"/>
      <c r="F27" s="2"/>
      <c r="G27" s="2">
        <v>41425.96</v>
      </c>
      <c r="H27" s="2"/>
      <c r="I27" s="2"/>
      <c r="J27" s="2"/>
      <c r="K27" s="2"/>
      <c r="L27" s="2"/>
      <c r="M27" s="2"/>
      <c r="N27" s="2"/>
      <c r="O27" s="2"/>
      <c r="Q27" s="2">
        <f>SUM(OSRRefD14_3x)+IFERROR(SUM(OSRRefE14_3x),0)</f>
        <v>41425.96</v>
      </c>
    </row>
    <row r="28" spans="1:17" s="9" customFormat="1" hidden="1" outlineLevel="1" x14ac:dyDescent="0.25">
      <c r="A28" s="22"/>
      <c r="B28" s="13" t="str">
        <f>CONCATENATE("          ","5031", " - ","PURCHASES @ COST-FOOD")</f>
        <v xml:space="preserve">          5031 - PURCHASES @ COST-FOOD</v>
      </c>
      <c r="C28" s="23"/>
      <c r="D28" s="2"/>
      <c r="E28" s="2"/>
      <c r="F28" s="2">
        <v>2882.41</v>
      </c>
      <c r="G28" s="2">
        <v>47.26</v>
      </c>
      <c r="H28" s="2"/>
      <c r="I28" s="2"/>
      <c r="J28" s="2"/>
      <c r="K28" s="2"/>
      <c r="L28" s="2"/>
      <c r="M28" s="2"/>
      <c r="N28" s="2"/>
      <c r="O28" s="2"/>
      <c r="Q28" s="2">
        <f>SUM(OSRRefD14_4x)+IFERROR(SUM(OSRRefE14_4x),0)</f>
        <v>2929.67</v>
      </c>
    </row>
    <row r="29" spans="1:17" s="9" customFormat="1" hidden="1" outlineLevel="1" x14ac:dyDescent="0.25">
      <c r="A29" s="22"/>
      <c r="B29" s="13" t="str">
        <f>CONCATENATE("          ","5200", " - ","PURCHASES OFFSET")</f>
        <v xml:space="preserve">          5200 - PURCHASES OFFSET</v>
      </c>
      <c r="C29" s="23"/>
      <c r="D29" s="2"/>
      <c r="E29" s="2"/>
      <c r="F29" s="2">
        <v>-2889.17</v>
      </c>
      <c r="G29" s="2">
        <v>-42974.16</v>
      </c>
      <c r="H29" s="2"/>
      <c r="I29" s="2"/>
      <c r="J29" s="2"/>
      <c r="K29" s="2"/>
      <c r="L29" s="2"/>
      <c r="M29" s="2"/>
      <c r="N29" s="2"/>
      <c r="O29" s="2"/>
      <c r="Q29" s="2">
        <f>SUM(OSRRefD14_5x)+IFERROR(SUM(OSRRefE14_5x),0)</f>
        <v>-45863.33</v>
      </c>
    </row>
    <row r="30" spans="1:17" s="9" customFormat="1" hidden="1" outlineLevel="1" x14ac:dyDescent="0.25">
      <c r="A30" s="22"/>
      <c r="B30" s="13" t="str">
        <f>CONCATENATE("          ","5300", " - ","COG$ OFFSET")</f>
        <v xml:space="preserve">          5300 - COG$ OFFSET</v>
      </c>
      <c r="C30" s="23"/>
      <c r="D30" s="2"/>
      <c r="E30" s="2">
        <v>9005</v>
      </c>
      <c r="F30" s="2">
        <v>5140</v>
      </c>
      <c r="G30" s="2"/>
      <c r="H30" s="2"/>
      <c r="I30" s="2"/>
      <c r="J30" s="2"/>
      <c r="K30" s="2"/>
      <c r="L30" s="2"/>
      <c r="M30" s="2"/>
      <c r="N30" s="2"/>
      <c r="O30" s="2"/>
      <c r="Q30" s="2">
        <f>SUM(OSRRefD14_6x)+IFERROR(SUM(OSRRefE14_6x),0)</f>
        <v>14145</v>
      </c>
    </row>
    <row r="31" spans="1:17" s="9" customFormat="1" hidden="1" outlineLevel="1" x14ac:dyDescent="0.25">
      <c r="A31" s="22"/>
      <c r="B31" s="13" t="str">
        <f>CONCATENATE("          ","5528", " - ","FREIGHT-IN-ART/TECH")</f>
        <v xml:space="preserve">          5528 - FREIGHT-IN-ART/TECH</v>
      </c>
      <c r="C31" s="23"/>
      <c r="D31" s="2">
        <v>38.049999999999997</v>
      </c>
      <c r="E31" s="2"/>
      <c r="F31" s="2">
        <v>6.76</v>
      </c>
      <c r="G31" s="2">
        <v>235.45</v>
      </c>
      <c r="H31" s="2"/>
      <c r="I31" s="2"/>
      <c r="J31" s="2"/>
      <c r="K31" s="2"/>
      <c r="L31" s="2"/>
      <c r="M31" s="2"/>
      <c r="N31" s="2"/>
      <c r="O31" s="2"/>
      <c r="Q31" s="2">
        <f>SUM(OSRRefD14_7x)+IFERROR(SUM(OSRRefE14_7x),0)</f>
        <v>280.26</v>
      </c>
    </row>
    <row r="32" spans="1:17" x14ac:dyDescent="0.25">
      <c r="A32" s="5"/>
      <c r="B32" s="8"/>
      <c r="C32" s="8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4" customFormat="1" x14ac:dyDescent="0.25">
      <c r="A33" s="8"/>
      <c r="B33" s="17" t="s">
        <v>6</v>
      </c>
      <c r="C33" s="17"/>
      <c r="D33" s="6">
        <f t="shared" ref="D33:O33" si="5">IFERROR(+D10-D23, 0)</f>
        <v>-38.049999999999997</v>
      </c>
      <c r="E33" s="6">
        <f t="shared" si="5"/>
        <v>3392.9400000000005</v>
      </c>
      <c r="F33" s="6">
        <f t="shared" si="5"/>
        <v>3756.08</v>
      </c>
      <c r="G33" s="6">
        <f t="shared" si="5"/>
        <v>17.900000000004376</v>
      </c>
      <c r="H33" s="6">
        <f t="shared" si="5"/>
        <v>0</v>
      </c>
      <c r="I33" s="6">
        <f t="shared" si="5"/>
        <v>0</v>
      </c>
      <c r="J33" s="6">
        <f t="shared" si="5"/>
        <v>0</v>
      </c>
      <c r="K33" s="6">
        <f t="shared" si="5"/>
        <v>0</v>
      </c>
      <c r="L33" s="6">
        <f t="shared" si="5"/>
        <v>0</v>
      </c>
      <c r="M33" s="6">
        <f t="shared" si="5"/>
        <v>0</v>
      </c>
      <c r="N33" s="6">
        <f t="shared" si="5"/>
        <v>0</v>
      </c>
      <c r="O33" s="6">
        <f t="shared" si="5"/>
        <v>0</v>
      </c>
      <c r="Q33" s="6">
        <f>IFERROR(+Q10-Q23, 0)</f>
        <v>7128.8700000000044</v>
      </c>
    </row>
    <row r="34" spans="1:17" s="8" customFormat="1" x14ac:dyDescent="0.25">
      <c r="B34" s="16"/>
      <c r="C34" s="16"/>
      <c r="D34" s="4">
        <f t="shared" ref="D34:O34" si="6">IFERROR(D33/D10, 0)</f>
        <v>0</v>
      </c>
      <c r="E34" s="4">
        <f t="shared" si="6"/>
        <v>0.27366965802383303</v>
      </c>
      <c r="F34" s="4">
        <f t="shared" si="6"/>
        <v>0.42221742610228324</v>
      </c>
      <c r="G34" s="4">
        <f t="shared" si="6"/>
        <v>1.0000000000002445</v>
      </c>
      <c r="H34" s="4">
        <f t="shared" si="6"/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 t="shared" si="6"/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18"/>
      <c r="Q34" s="4">
        <f>IFERROR(Q33/Q10, 0)</f>
        <v>0.33450153716793257</v>
      </c>
    </row>
    <row r="35" spans="1:17" x14ac:dyDescent="0.25">
      <c r="A35" s="5"/>
      <c r="B35" s="8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Q35" s="1"/>
    </row>
    <row r="36" spans="1:17" s="14" customFormat="1" x14ac:dyDescent="0.25">
      <c r="A36" s="8"/>
      <c r="B36" s="16" t="s">
        <v>291</v>
      </c>
      <c r="C36" s="8"/>
      <c r="D36" s="10">
        <f>SUM(OSRRefD20x_0)</f>
        <v>1103.3499999999999</v>
      </c>
      <c r="E36" s="10">
        <f>SUM(OSRRefD20x_1)</f>
        <v>5481.72</v>
      </c>
      <c r="F36" s="10">
        <f>SUM(OSRRefD20x_2)</f>
        <v>3608.6000000000004</v>
      </c>
      <c r="G36" s="10">
        <f>SUM(OSRRefD20x_3)</f>
        <v>1424.39</v>
      </c>
      <c r="H36" s="10">
        <f>SUM(OSRRefE20x_0)</f>
        <v>0</v>
      </c>
      <c r="I36" s="10">
        <f>SUM(OSRRefE20x_1)</f>
        <v>0</v>
      </c>
      <c r="J36" s="10">
        <f>SUM(OSRRefE20x_2)</f>
        <v>0</v>
      </c>
      <c r="K36" s="10">
        <f>SUM(OSRRefE20x_3)</f>
        <v>0</v>
      </c>
      <c r="L36" s="10">
        <f>SUM(OSRRefE20x_4)</f>
        <v>0</v>
      </c>
      <c r="M36" s="10">
        <f>SUM(OSRRefE20x_5)</f>
        <v>0</v>
      </c>
      <c r="N36" s="10">
        <f>SUM(OSRRefE20x_6)</f>
        <v>0</v>
      </c>
      <c r="O36" s="10">
        <f>SUM(OSRRefE20x_7)</f>
        <v>0</v>
      </c>
      <c r="Q36" s="10">
        <f>SUM(OSRRefG20x)</f>
        <v>11618.059999999998</v>
      </c>
    </row>
    <row r="37" spans="1:17" s="34" customFormat="1" collapsed="1" x14ac:dyDescent="0.25">
      <c r="A37" s="35"/>
      <c r="B37" s="15" t="str">
        <f>CONCATENATE("     ","*Benefits                                         ")</f>
        <v xml:space="preserve">     *Benefits                                         </v>
      </c>
      <c r="C37" s="15"/>
      <c r="D37" s="1">
        <f>SUM(OSRRefD21_0x_0)</f>
        <v>0</v>
      </c>
      <c r="E37" s="1">
        <f>SUM(OSRRefD21_0x_1)</f>
        <v>313.34000000000003</v>
      </c>
      <c r="F37" s="1">
        <f>SUM(OSRRefD21_0x_2)</f>
        <v>248.82999999999998</v>
      </c>
      <c r="G37" s="1">
        <f>SUM(OSRRefD21_0x_3)</f>
        <v>214.64</v>
      </c>
      <c r="H37" s="1">
        <f>SUM(OSRRefE21_0x_0)</f>
        <v>0</v>
      </c>
      <c r="I37" s="1">
        <f>SUM(OSRRefE21_0x_1)</f>
        <v>0</v>
      </c>
      <c r="J37" s="1">
        <f>SUM(OSRRefE21_0x_2)</f>
        <v>0</v>
      </c>
      <c r="K37" s="1">
        <f>SUM(OSRRefE21_0x_3)</f>
        <v>0</v>
      </c>
      <c r="L37" s="1">
        <f>SUM(OSRRefE21_0x_4)</f>
        <v>0</v>
      </c>
      <c r="M37" s="1">
        <f>SUM(OSRRefE21_0x_5)</f>
        <v>0</v>
      </c>
      <c r="N37" s="1">
        <f>SUM(OSRRefE21_0x_6)</f>
        <v>0</v>
      </c>
      <c r="O37" s="1">
        <f>SUM(OSRRefE21_0x_7)</f>
        <v>0</v>
      </c>
      <c r="Q37" s="2">
        <f>SUM(OSRRefD20_0x)+IFERROR(SUM(OSRRefE20_0x),0)</f>
        <v>776.81000000000006</v>
      </c>
    </row>
    <row r="38" spans="1:17" s="34" customFormat="1" hidden="1" outlineLevel="1" x14ac:dyDescent="0.25">
      <c r="A38" s="35"/>
      <c r="B38" s="13" t="str">
        <f>CONCATENATE("          ","6111", " - ","F.I.C.A.")</f>
        <v xml:space="preserve">          6111 - F.I.C.A.</v>
      </c>
      <c r="C38" s="15"/>
      <c r="D38" s="2"/>
      <c r="E38" s="2">
        <v>257.36</v>
      </c>
      <c r="F38" s="2">
        <v>149.04</v>
      </c>
      <c r="G38" s="2">
        <v>76.819999999999993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SUM(OSRRefD21_0_0x)+IFERROR(SUM(OSRRefE21_0_0x),0)</f>
        <v>483.21999999999997</v>
      </c>
    </row>
    <row r="39" spans="1:17" s="34" customFormat="1" hidden="1" outlineLevel="1" x14ac:dyDescent="0.25">
      <c r="A39" s="35"/>
      <c r="B39" s="13" t="str">
        <f>CONCATENATE("          ","6112", " - ","COMPENSATION INSURANCE")</f>
        <v xml:space="preserve">          6112 - COMPENSATION INSURANCE</v>
      </c>
      <c r="C39" s="15"/>
      <c r="D39" s="2"/>
      <c r="E39" s="2">
        <v>47.24</v>
      </c>
      <c r="F39" s="2">
        <v>87.49</v>
      </c>
      <c r="G39" s="2">
        <v>120.84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SUM(OSRRefD21_0_1x)+IFERROR(SUM(OSRRefE21_0_1x),0)</f>
        <v>255.57</v>
      </c>
    </row>
    <row r="40" spans="1:17" s="34" customFormat="1" hidden="1" outlineLevel="1" x14ac:dyDescent="0.25">
      <c r="A40" s="35"/>
      <c r="B40" s="13" t="str">
        <f>CONCATENATE("          ","6113", " - ","GROUP INSURANCE")</f>
        <v xml:space="preserve">          6113 - GROUP INSURANCE</v>
      </c>
      <c r="C40" s="15"/>
      <c r="D40" s="2"/>
      <c r="E40" s="2"/>
      <c r="F40" s="2"/>
      <c r="G40" s="2"/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SUM(OSRRefD21_0_2x)+IFERROR(SUM(OSRRefE21_0_2x),0)</f>
        <v>0</v>
      </c>
    </row>
    <row r="41" spans="1:17" s="34" customFormat="1" hidden="1" outlineLevel="1" x14ac:dyDescent="0.25">
      <c r="A41" s="35"/>
      <c r="B41" s="13" t="str">
        <f>CONCATENATE("          ","6114", " - ","STATE UNEMPLOYMENT INSURANCE")</f>
        <v xml:space="preserve">          6114 - STATE UNEMPLOYMENT INSURANCE</v>
      </c>
      <c r="C41" s="15"/>
      <c r="D41" s="2"/>
      <c r="E41" s="2">
        <v>8.74</v>
      </c>
      <c r="F41" s="2">
        <v>12.3</v>
      </c>
      <c r="G41" s="2">
        <v>16.98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SUM(OSRRefD21_0_3x)+IFERROR(SUM(OSRRefE21_0_3x),0)</f>
        <v>38.019999999999996</v>
      </c>
    </row>
    <row r="42" spans="1:17" s="34" customFormat="1" hidden="1" outlineLevel="1" x14ac:dyDescent="0.25">
      <c r="A42" s="35"/>
      <c r="B42" s="13" t="str">
        <f>CONCATENATE("          ","6115", " - ","P.E.R.S.")</f>
        <v xml:space="preserve">          6115 - P.E.R.S.</v>
      </c>
      <c r="C42" s="15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SUM(OSRRefD21_0_4x)+IFERROR(SUM(OSRRefE21_0_4x),0)</f>
        <v>0</v>
      </c>
    </row>
    <row r="43" spans="1:17" s="34" customFormat="1" hidden="1" outlineLevel="1" x14ac:dyDescent="0.25">
      <c r="A43" s="35"/>
      <c r="B43" s="13" t="str">
        <f>CONCATENATE("          ","6116", " - ","EDUCATIONAL BENEFITS")</f>
        <v xml:space="preserve">          6116 - EDUCATIONAL BENEFITS</v>
      </c>
      <c r="C43" s="15"/>
      <c r="D43" s="2"/>
      <c r="E43" s="2"/>
      <c r="F43" s="2"/>
      <c r="G43" s="2"/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SUM(OSRRefD21_0_5x)+IFERROR(SUM(OSRRefE21_0_5x),0)</f>
        <v>0</v>
      </c>
    </row>
    <row r="44" spans="1:17" s="34" customFormat="1" hidden="1" outlineLevel="1" x14ac:dyDescent="0.25">
      <c r="A44" s="35"/>
      <c r="B44" s="13" t="str">
        <f>CONCATENATE("          ","6118", " - ","VACATION")</f>
        <v xml:space="preserve">          6118 - VACATION</v>
      </c>
      <c r="C44" s="15"/>
      <c r="D44" s="2"/>
      <c r="E44" s="2"/>
      <c r="F44" s="2"/>
      <c r="G44" s="2"/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SUM(OSRRefD21_0_6x)+IFERROR(SUM(OSRRefE21_0_6x),0)</f>
        <v>0</v>
      </c>
    </row>
    <row r="45" spans="1:17" s="34" customFormat="1" hidden="1" outlineLevel="1" x14ac:dyDescent="0.25">
      <c r="A45" s="35"/>
      <c r="B45" s="13" t="str">
        <f>CONCATENATE("          ","6119", " - ","SICK LEAVE")</f>
        <v xml:space="preserve">          6119 - SICK LEAVE</v>
      </c>
      <c r="C45" s="15"/>
      <c r="D45" s="2"/>
      <c r="E45" s="2"/>
      <c r="F45" s="2"/>
      <c r="G45" s="2"/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SUM(OSRRefD21_0_7x)+IFERROR(SUM(OSRRefE21_0_7x),0)</f>
        <v>0</v>
      </c>
    </row>
    <row r="46" spans="1:17" s="34" customFormat="1" collapsed="1" x14ac:dyDescent="0.25">
      <c r="A46" s="35"/>
      <c r="B46" s="15" t="str">
        <f>CONCATENATE("     ","*Payroll                                          ")</f>
        <v xml:space="preserve">     *Payroll                                          </v>
      </c>
      <c r="C46" s="15"/>
      <c r="D46" s="1">
        <f>SUM(OSRRefD21_1x_0)</f>
        <v>0</v>
      </c>
      <c r="E46" s="1">
        <f>SUM(OSRRefD21_1x_1)</f>
        <v>4507.12</v>
      </c>
      <c r="F46" s="1">
        <f>SUM(OSRRefD21_1x_2)</f>
        <v>2735.85</v>
      </c>
      <c r="G46" s="1">
        <f>SUM(OSRRefD21_1x_3)</f>
        <v>891.38</v>
      </c>
      <c r="H46" s="1">
        <f>SUM(OSRRefE21_1x_0)</f>
        <v>0</v>
      </c>
      <c r="I46" s="1">
        <f>SUM(OSRRefE21_1x_1)</f>
        <v>0</v>
      </c>
      <c r="J46" s="1">
        <f>SUM(OSRRefE21_1x_2)</f>
        <v>0</v>
      </c>
      <c r="K46" s="1">
        <f>SUM(OSRRefE21_1x_3)</f>
        <v>0</v>
      </c>
      <c r="L46" s="1">
        <f>SUM(OSRRefE21_1x_4)</f>
        <v>0</v>
      </c>
      <c r="M46" s="1">
        <f>SUM(OSRRefE21_1x_5)</f>
        <v>0</v>
      </c>
      <c r="N46" s="1">
        <f>SUM(OSRRefE21_1x_6)</f>
        <v>0</v>
      </c>
      <c r="O46" s="1">
        <f>SUM(OSRRefE21_1x_7)</f>
        <v>0</v>
      </c>
      <c r="Q46" s="2">
        <f>SUM(OSRRefD20_1x)+IFERROR(SUM(OSRRefE20_1x),0)</f>
        <v>8134.3499999999995</v>
      </c>
    </row>
    <row r="47" spans="1:17" s="34" customFormat="1" hidden="1" outlineLevel="1" x14ac:dyDescent="0.25">
      <c r="A47" s="35"/>
      <c r="B47" s="13" t="str">
        <f>CONCATENATE("          ","6001", " - ","ADMINISTRATIVE SALARIES")</f>
        <v xml:space="preserve">          6001 - ADMINISTRATIVE SALARIES</v>
      </c>
      <c r="C47" s="15"/>
      <c r="D47" s="2"/>
      <c r="E47" s="2"/>
      <c r="F47" s="2"/>
      <c r="G47" s="2"/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SUM(OSRRefD21_1_0x)+IFERROR(SUM(OSRRefE21_1_0x),0)</f>
        <v>0</v>
      </c>
    </row>
    <row r="48" spans="1:17" s="34" customFormat="1" hidden="1" outlineLevel="1" x14ac:dyDescent="0.25">
      <c r="A48" s="35"/>
      <c r="B48" s="13" t="str">
        <f>CONCATENATE("          ","6002", " - ","STAFF SALARIES")</f>
        <v xml:space="preserve">          6002 - STAFF SALARIES</v>
      </c>
      <c r="C48" s="15"/>
      <c r="D48" s="2"/>
      <c r="E48" s="2"/>
      <c r="F48" s="2"/>
      <c r="G48" s="2"/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SUM(OSRRefD21_1_1x)+IFERROR(SUM(OSRRefE21_1_1x),0)</f>
        <v>0</v>
      </c>
    </row>
    <row r="49" spans="1:17" s="34" customFormat="1" hidden="1" outlineLevel="1" x14ac:dyDescent="0.25">
      <c r="A49" s="35"/>
      <c r="B49" s="13" t="str">
        <f>CONCATENATE("          ","6003", " - ","STAFF HOURLY-9 MONTH")</f>
        <v xml:space="preserve">          6003 - STAFF HOURLY-9 MONTH</v>
      </c>
      <c r="C49" s="15"/>
      <c r="D49" s="2"/>
      <c r="E49" s="2"/>
      <c r="F49" s="2"/>
      <c r="G49" s="2"/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SUM(OSRRefD21_1_2x)+IFERROR(SUM(OSRRefE21_1_2x),0)</f>
        <v>0</v>
      </c>
    </row>
    <row r="50" spans="1:17" s="34" customFormat="1" hidden="1" outlineLevel="1" x14ac:dyDescent="0.25">
      <c r="A50" s="35"/>
      <c r="B50" s="13" t="str">
        <f>CONCATENATE("          ","6004", " - ","STAFF HOURLY")</f>
        <v xml:space="preserve">          6004 - STAFF HOURLY</v>
      </c>
      <c r="C50" s="15"/>
      <c r="D50" s="2"/>
      <c r="E50" s="2"/>
      <c r="F50" s="2"/>
      <c r="G50" s="2"/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SUM(OSRRefD21_1_3x)+IFERROR(SUM(OSRRefE21_1_3x),0)</f>
        <v>0</v>
      </c>
    </row>
    <row r="51" spans="1:17" s="34" customFormat="1" hidden="1" outlineLevel="1" x14ac:dyDescent="0.25">
      <c r="A51" s="35"/>
      <c r="B51" s="13" t="str">
        <f>CONCATENATE("          ","6005", " - ","TEMPORARY WAGES-HOURLY")</f>
        <v xml:space="preserve">          6005 - TEMPORARY WAGES-HOURLY</v>
      </c>
      <c r="C51" s="15"/>
      <c r="D51" s="2"/>
      <c r="E51" s="2">
        <v>2408.23</v>
      </c>
      <c r="F51" s="2">
        <v>1948.22</v>
      </c>
      <c r="G51" s="2">
        <v>1004.55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SUM(OSRRefD21_1_4x)+IFERROR(SUM(OSRRefE21_1_4x),0)</f>
        <v>5361</v>
      </c>
    </row>
    <row r="52" spans="1:17" s="34" customFormat="1" hidden="1" outlineLevel="1" x14ac:dyDescent="0.25">
      <c r="A52" s="35"/>
      <c r="B52" s="13" t="str">
        <f>CONCATENATE("          ","6006", " - ","TEMPORARY PART TIME")</f>
        <v xml:space="preserve">          6006 - TEMPORARY PART TIME</v>
      </c>
      <c r="C52" s="15"/>
      <c r="D52" s="2"/>
      <c r="E52" s="2"/>
      <c r="F52" s="2"/>
      <c r="G52" s="2"/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SUM(OSRRefD21_1_5x)+IFERROR(SUM(OSRRefE21_1_5x),0)</f>
        <v>0</v>
      </c>
    </row>
    <row r="53" spans="1:17" s="34" customFormat="1" hidden="1" outlineLevel="1" x14ac:dyDescent="0.25">
      <c r="A53" s="35"/>
      <c r="B53" s="13" t="str">
        <f>CONCATENATE("          ","6007", " - ","STUDENT HOURLY")</f>
        <v xml:space="preserve">          6007 - STUDENT HOURLY</v>
      </c>
      <c r="C53" s="15"/>
      <c r="D53" s="2"/>
      <c r="E53" s="2">
        <v>2098.89</v>
      </c>
      <c r="F53" s="2">
        <v>787.63</v>
      </c>
      <c r="G53" s="2">
        <v>-113.17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SUM(OSRRefD21_1_6x)+IFERROR(SUM(OSRRefE21_1_6x),0)</f>
        <v>2773.35</v>
      </c>
    </row>
    <row r="54" spans="1:17" s="34" customFormat="1" hidden="1" outlineLevel="1" x14ac:dyDescent="0.25">
      <c r="A54" s="35"/>
      <c r="B54" s="13" t="str">
        <f>CONCATENATE("          ","6008", " - ","STUDENT HOURLY-FICA EXEMPT")</f>
        <v xml:space="preserve">          6008 - STUDENT HOURLY-FICA EXEMPT</v>
      </c>
      <c r="C54" s="15"/>
      <c r="D54" s="2"/>
      <c r="E54" s="2"/>
      <c r="F54" s="2"/>
      <c r="G54" s="2"/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SUM(OSRRefD21_1_7x)+IFERROR(SUM(OSRRefE21_1_7x),0)</f>
        <v>0</v>
      </c>
    </row>
    <row r="55" spans="1:17" s="34" customFormat="1" hidden="1" outlineLevel="1" x14ac:dyDescent="0.25">
      <c r="A55" s="35"/>
      <c r="B55" s="13" t="str">
        <f>CONCATENATE("          ","6009", " - ","TEMPORARY-SEASONAL")</f>
        <v xml:space="preserve">          6009 - TEMPORARY-SEASONAL</v>
      </c>
      <c r="C55" s="15"/>
      <c r="D55" s="2"/>
      <c r="E55" s="2"/>
      <c r="F55" s="2"/>
      <c r="G55" s="2"/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SUM(OSRRefD21_1_8x)+IFERROR(SUM(OSRRefE21_1_8x),0)</f>
        <v>0</v>
      </c>
    </row>
    <row r="56" spans="1:17" s="34" customFormat="1" hidden="1" outlineLevel="1" x14ac:dyDescent="0.25">
      <c r="A56" s="35"/>
      <c r="B56" s="13" t="str">
        <f>CONCATENATE("          ","6010", " - ","GRATUITY")</f>
        <v xml:space="preserve">          6010 - GRATUITY</v>
      </c>
      <c r="C56" s="15"/>
      <c r="D56" s="2"/>
      <c r="E56" s="2"/>
      <c r="F56" s="2"/>
      <c r="G56" s="2"/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9"/>
      <c r="Q56" s="2">
        <f>SUM(OSRRefD21_1_9x)+IFERROR(SUM(OSRRefE21_1_9x),0)</f>
        <v>0</v>
      </c>
    </row>
    <row r="57" spans="1:17" s="34" customFormat="1" collapsed="1" x14ac:dyDescent="0.25">
      <c r="A57" s="35"/>
      <c r="B57" s="15" t="str">
        <f>CONCATENATE("     ","Advertising/Promo                                 ")</f>
        <v xml:space="preserve">     Advertising/Promo                                 </v>
      </c>
      <c r="C57" s="15"/>
      <c r="D57" s="1">
        <f>SUM(OSRRefD21_2x_0)</f>
        <v>0</v>
      </c>
      <c r="E57" s="1">
        <f>SUM(OSRRefD21_2x_1)</f>
        <v>0</v>
      </c>
      <c r="F57" s="1">
        <f>SUM(OSRRefD21_2x_2)</f>
        <v>0</v>
      </c>
      <c r="G57" s="1">
        <f>SUM(OSRRefD21_2x_3)</f>
        <v>124.72</v>
      </c>
      <c r="H57" s="1">
        <f>SUM(OSRRefE21_2x_0)</f>
        <v>0</v>
      </c>
      <c r="I57" s="1">
        <f>SUM(OSRRefE21_2x_1)</f>
        <v>0</v>
      </c>
      <c r="J57" s="1">
        <f>SUM(OSRRefE21_2x_2)</f>
        <v>0</v>
      </c>
      <c r="K57" s="1">
        <f>SUM(OSRRefE21_2x_3)</f>
        <v>0</v>
      </c>
      <c r="L57" s="1">
        <f>SUM(OSRRefE21_2x_4)</f>
        <v>0</v>
      </c>
      <c r="M57" s="1">
        <f>SUM(OSRRefE21_2x_5)</f>
        <v>0</v>
      </c>
      <c r="N57" s="1">
        <f>SUM(OSRRefE21_2x_6)</f>
        <v>0</v>
      </c>
      <c r="O57" s="1">
        <f>SUM(OSRRefE21_2x_7)</f>
        <v>0</v>
      </c>
      <c r="Q57" s="2">
        <f>SUM(OSRRefD20_2x)+IFERROR(SUM(OSRRefE20_2x),0)</f>
        <v>124.72</v>
      </c>
    </row>
    <row r="58" spans="1:17" s="34" customFormat="1" hidden="1" outlineLevel="1" x14ac:dyDescent="0.25">
      <c r="A58" s="35"/>
      <c r="B58" s="13" t="str">
        <f>CONCATENATE("          ","6362", " - ","ADVERTISING EXPENSE")</f>
        <v xml:space="preserve">          6362 - ADVERTISING EXPENSE</v>
      </c>
      <c r="C58" s="15"/>
      <c r="D58" s="2"/>
      <c r="E58" s="2"/>
      <c r="F58" s="2"/>
      <c r="G58" s="2">
        <v>124.72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SUM(OSRRefD21_2_0x)+IFERROR(SUM(OSRRefE21_2_0x),0)</f>
        <v>124.72</v>
      </c>
    </row>
    <row r="59" spans="1:17" s="34" customFormat="1" collapsed="1" x14ac:dyDescent="0.25">
      <c r="A59" s="35"/>
      <c r="B59" s="15" t="str">
        <f>CONCATENATE("     ","Bad Debts/Over/Short                              ")</f>
        <v xml:space="preserve">     Bad Debts/Over/Short                              </v>
      </c>
      <c r="C59" s="15"/>
      <c r="D59" s="1">
        <f>SUM(OSRRefD21_3x_0)</f>
        <v>0</v>
      </c>
      <c r="E59" s="1">
        <f>SUM(OSRRefD21_3x_1)</f>
        <v>0.3</v>
      </c>
      <c r="F59" s="1">
        <f>SUM(OSRRefD21_3x_2)</f>
        <v>0.8</v>
      </c>
      <c r="G59" s="1">
        <f>SUM(OSRRefD21_3x_3)</f>
        <v>0</v>
      </c>
      <c r="H59" s="1">
        <f>SUM(OSRRefE21_3x_0)</f>
        <v>0</v>
      </c>
      <c r="I59" s="1">
        <f>SUM(OSRRefE21_3x_1)</f>
        <v>0</v>
      </c>
      <c r="J59" s="1">
        <f>SUM(OSRRefE21_3x_2)</f>
        <v>0</v>
      </c>
      <c r="K59" s="1">
        <f>SUM(OSRRefE21_3x_3)</f>
        <v>0</v>
      </c>
      <c r="L59" s="1">
        <f>SUM(OSRRefE21_3x_4)</f>
        <v>0</v>
      </c>
      <c r="M59" s="1">
        <f>SUM(OSRRefE21_3x_5)</f>
        <v>0</v>
      </c>
      <c r="N59" s="1">
        <f>SUM(OSRRefE21_3x_6)</f>
        <v>0</v>
      </c>
      <c r="O59" s="1">
        <f>SUM(OSRRefE21_3x_7)</f>
        <v>0</v>
      </c>
      <c r="Q59" s="2">
        <f>SUM(OSRRefD20_3x)+IFERROR(SUM(OSRRefE20_3x),0)</f>
        <v>1.1000000000000001</v>
      </c>
    </row>
    <row r="60" spans="1:17" s="34" customFormat="1" hidden="1" outlineLevel="1" x14ac:dyDescent="0.25">
      <c r="A60" s="35"/>
      <c r="B60" s="13" t="str">
        <f>CONCATENATE("          ","6272", " - ","CASH (OVER/SHORT)")</f>
        <v xml:space="preserve">          6272 - CASH (OVER/SHORT)</v>
      </c>
      <c r="C60" s="15"/>
      <c r="D60" s="2"/>
      <c r="E60" s="2">
        <v>0.3</v>
      </c>
      <c r="F60" s="2">
        <v>0.8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SUM(OSRRefD21_3_0x)+IFERROR(SUM(OSRRefE21_3_0x),0)</f>
        <v>1.1000000000000001</v>
      </c>
    </row>
    <row r="61" spans="1:17" s="34" customFormat="1" collapsed="1" x14ac:dyDescent="0.25">
      <c r="A61" s="35"/>
      <c r="B61" s="15" t="str">
        <f>CONCATENATE("     ","Bank/card Fees                                    ")</f>
        <v xml:space="preserve">     Bank/card Fees                                    </v>
      </c>
      <c r="C61" s="15"/>
      <c r="D61" s="1">
        <f>SUM(OSRRefD21_4x_0)</f>
        <v>0</v>
      </c>
      <c r="E61" s="1">
        <f>SUM(OSRRefD21_4x_1)</f>
        <v>0</v>
      </c>
      <c r="F61" s="1">
        <f>SUM(OSRRefD21_4x_2)</f>
        <v>0</v>
      </c>
      <c r="G61" s="1">
        <f>SUM(OSRRefD21_4x_3)</f>
        <v>0</v>
      </c>
      <c r="H61" s="1">
        <f>SUM(OSRRefE21_4x_0)</f>
        <v>0</v>
      </c>
      <c r="I61" s="1">
        <f>SUM(OSRRefE21_4x_1)</f>
        <v>0</v>
      </c>
      <c r="J61" s="1">
        <f>SUM(OSRRefE21_4x_2)</f>
        <v>0</v>
      </c>
      <c r="K61" s="1">
        <f>SUM(OSRRefE21_4x_3)</f>
        <v>0</v>
      </c>
      <c r="L61" s="1">
        <f>SUM(OSRRefE21_4x_4)</f>
        <v>0</v>
      </c>
      <c r="M61" s="1">
        <f>SUM(OSRRefE21_4x_5)</f>
        <v>0</v>
      </c>
      <c r="N61" s="1">
        <f>SUM(OSRRefE21_4x_6)</f>
        <v>0</v>
      </c>
      <c r="O61" s="1">
        <f>SUM(OSRRefE21_4x_7)</f>
        <v>0</v>
      </c>
      <c r="Q61" s="2">
        <f>SUM(OSRRefD20_4x)+IFERROR(SUM(OSRRefE20_4x),0)</f>
        <v>0</v>
      </c>
    </row>
    <row r="62" spans="1:17" s="34" customFormat="1" hidden="1" outlineLevel="1" x14ac:dyDescent="0.25">
      <c r="A62" s="35"/>
      <c r="B62" s="13" t="str">
        <f>CONCATENATE("          ","6381", " - ","BANK/CREDIT CARD FEES")</f>
        <v xml:space="preserve">          6381 - BANK/CREDIT CARD FEES</v>
      </c>
      <c r="C62" s="15"/>
      <c r="D62" s="2"/>
      <c r="E62" s="2"/>
      <c r="F62" s="2"/>
      <c r="G62" s="2"/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SUM(OSRRefD21_4_0x)+IFERROR(SUM(OSRRefE21_4_0x),0)</f>
        <v>0</v>
      </c>
    </row>
    <row r="63" spans="1:17" s="34" customFormat="1" collapsed="1" x14ac:dyDescent="0.25">
      <c r="A63" s="35"/>
      <c r="B63" s="15" t="str">
        <f>CONCATENATE("     ","Discounts and Markdowns                           ")</f>
        <v xml:space="preserve">     Discounts and Markdowns                           </v>
      </c>
      <c r="C63" s="15"/>
      <c r="D63" s="1">
        <f>SUM(OSRRefD21_5x_0)</f>
        <v>0</v>
      </c>
      <c r="E63" s="1">
        <f>SUM(OSRRefD21_5x_1)</f>
        <v>0</v>
      </c>
      <c r="F63" s="1">
        <f>SUM(OSRRefD21_5x_2)</f>
        <v>0</v>
      </c>
      <c r="G63" s="1">
        <f>SUM(OSRRefD21_5x_3)</f>
        <v>-418.85</v>
      </c>
      <c r="H63" s="1">
        <f>SUM(OSRRefE21_5x_0)</f>
        <v>0</v>
      </c>
      <c r="I63" s="1">
        <f>SUM(OSRRefE21_5x_1)</f>
        <v>0</v>
      </c>
      <c r="J63" s="1">
        <f>SUM(OSRRefE21_5x_2)</f>
        <v>0</v>
      </c>
      <c r="K63" s="1">
        <f>SUM(OSRRefE21_5x_3)</f>
        <v>0</v>
      </c>
      <c r="L63" s="1">
        <f>SUM(OSRRefE21_5x_4)</f>
        <v>0</v>
      </c>
      <c r="M63" s="1">
        <f>SUM(OSRRefE21_5x_5)</f>
        <v>0</v>
      </c>
      <c r="N63" s="1">
        <f>SUM(OSRRefE21_5x_6)</f>
        <v>0</v>
      </c>
      <c r="O63" s="1">
        <f>SUM(OSRRefE21_5x_7)</f>
        <v>0</v>
      </c>
      <c r="Q63" s="2">
        <f>SUM(OSRRefD20_5x)+IFERROR(SUM(OSRRefE20_5x),0)</f>
        <v>-418.85</v>
      </c>
    </row>
    <row r="64" spans="1:17" s="34" customFormat="1" hidden="1" outlineLevel="1" x14ac:dyDescent="0.25">
      <c r="A64" s="35"/>
      <c r="B64" s="13" t="str">
        <f>CONCATENATE("          ","6382", " - ","DISCOUNTS/MARK DOWNS")</f>
        <v xml:space="preserve">          6382 - DISCOUNTS/MARK DOWNS</v>
      </c>
      <c r="C64" s="15"/>
      <c r="D64" s="2"/>
      <c r="E64" s="2"/>
      <c r="F64" s="2"/>
      <c r="G64" s="2"/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SUM(OSRRefD21_5_0x)+IFERROR(SUM(OSRRefE21_5_0x),0)</f>
        <v>0</v>
      </c>
    </row>
    <row r="65" spans="1:17" s="34" customFormat="1" hidden="1" outlineLevel="1" x14ac:dyDescent="0.25">
      <c r="A65" s="35"/>
      <c r="B65" s="13" t="str">
        <f>CONCATENATE("          ","9175", " - ","EARNED DISCOUNTS")</f>
        <v xml:space="preserve">          9175 - EARNED DISCOUNTS</v>
      </c>
      <c r="C65" s="15"/>
      <c r="D65" s="2"/>
      <c r="E65" s="2"/>
      <c r="F65" s="2"/>
      <c r="G65" s="2">
        <v>-418.85</v>
      </c>
      <c r="H65" s="2"/>
      <c r="I65" s="2"/>
      <c r="J65" s="2"/>
      <c r="K65" s="2"/>
      <c r="L65" s="2"/>
      <c r="M65" s="2"/>
      <c r="N65" s="2"/>
      <c r="O65" s="2"/>
      <c r="P65" s="9"/>
      <c r="Q65" s="2">
        <f>SUM(OSRRefD21_5_1x)+IFERROR(SUM(OSRRefE21_5_1x),0)</f>
        <v>-418.85</v>
      </c>
    </row>
    <row r="66" spans="1:17" s="34" customFormat="1" collapsed="1" x14ac:dyDescent="0.25">
      <c r="A66" s="35"/>
      <c r="B66" s="15" t="str">
        <f>CONCATENATE("     ","Freight out/Postage                               ")</f>
        <v xml:space="preserve">     Freight out/Postage                               </v>
      </c>
      <c r="C66" s="15"/>
      <c r="D66" s="1">
        <f>SUM(OSRRefD21_6x_0)</f>
        <v>0</v>
      </c>
      <c r="E66" s="1">
        <f>SUM(OSRRefD21_6x_1)</f>
        <v>0</v>
      </c>
      <c r="F66" s="1">
        <f>SUM(OSRRefD21_6x_2)</f>
        <v>0</v>
      </c>
      <c r="G66" s="1">
        <f>SUM(OSRRefD21_6x_3)</f>
        <v>0</v>
      </c>
      <c r="H66" s="1">
        <f>SUM(OSRRefE21_6x_0)</f>
        <v>0</v>
      </c>
      <c r="I66" s="1">
        <f>SUM(OSRRefE21_6x_1)</f>
        <v>0</v>
      </c>
      <c r="J66" s="1">
        <f>SUM(OSRRefE21_6x_2)</f>
        <v>0</v>
      </c>
      <c r="K66" s="1">
        <f>SUM(OSRRefE21_6x_3)</f>
        <v>0</v>
      </c>
      <c r="L66" s="1">
        <f>SUM(OSRRefE21_6x_4)</f>
        <v>0</v>
      </c>
      <c r="M66" s="1">
        <f>SUM(OSRRefE21_6x_5)</f>
        <v>0</v>
      </c>
      <c r="N66" s="1">
        <f>SUM(OSRRefE21_6x_6)</f>
        <v>0</v>
      </c>
      <c r="O66" s="1">
        <f>SUM(OSRRefE21_6x_7)</f>
        <v>0</v>
      </c>
      <c r="Q66" s="2">
        <f>SUM(OSRRefD20_6x)+IFERROR(SUM(OSRRefE20_6x),0)</f>
        <v>0</v>
      </c>
    </row>
    <row r="67" spans="1:17" s="34" customFormat="1" hidden="1" outlineLevel="1" x14ac:dyDescent="0.25">
      <c r="A67" s="35"/>
      <c r="B67" s="13" t="str">
        <f>CONCATENATE("          ","6305", " - ","FREIGHT OUT")</f>
        <v xml:space="preserve">          6305 - FREIGHT OUT</v>
      </c>
      <c r="C67" s="15"/>
      <c r="D67" s="2"/>
      <c r="E67" s="2"/>
      <c r="F67" s="2"/>
      <c r="G67" s="2"/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SUM(OSRRefD21_6_0x)+IFERROR(SUM(OSRRefE21_6_0x),0)</f>
        <v>0</v>
      </c>
    </row>
    <row r="68" spans="1:17" s="34" customFormat="1" hidden="1" outlineLevel="1" x14ac:dyDescent="0.25">
      <c r="A68" s="35"/>
      <c r="B68" s="13" t="str">
        <f>CONCATENATE("          ","6307", " - ","POSTAGE")</f>
        <v xml:space="preserve">          6307 - POSTAGE</v>
      </c>
      <c r="C68" s="15"/>
      <c r="D68" s="2"/>
      <c r="E68" s="2"/>
      <c r="F68" s="2"/>
      <c r="G68" s="2"/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SUM(OSRRefD21_6_1x)+IFERROR(SUM(OSRRefE21_6_1x),0)</f>
        <v>0</v>
      </c>
    </row>
    <row r="69" spans="1:17" s="34" customFormat="1" collapsed="1" x14ac:dyDescent="0.25">
      <c r="A69" s="35"/>
      <c r="B69" s="15" t="str">
        <f>CONCATENATE("     ","General                                           ")</f>
        <v xml:space="preserve">     General                                           </v>
      </c>
      <c r="C69" s="15"/>
      <c r="D69" s="1">
        <f>SUM(OSRRefD21_7x_0)</f>
        <v>719.55</v>
      </c>
      <c r="E69" s="1">
        <f>SUM(OSRRefD21_7x_1)</f>
        <v>0</v>
      </c>
      <c r="F69" s="1">
        <f>SUM(OSRRefD21_7x_2)</f>
        <v>0</v>
      </c>
      <c r="G69" s="1">
        <f>SUM(OSRRefD21_7x_3)</f>
        <v>0</v>
      </c>
      <c r="H69" s="1">
        <f>SUM(OSRRefE21_7x_0)</f>
        <v>0</v>
      </c>
      <c r="I69" s="1">
        <f>SUM(OSRRefE21_7x_1)</f>
        <v>0</v>
      </c>
      <c r="J69" s="1">
        <f>SUM(OSRRefE21_7x_2)</f>
        <v>0</v>
      </c>
      <c r="K69" s="1">
        <f>SUM(OSRRefE21_7x_3)</f>
        <v>0</v>
      </c>
      <c r="L69" s="1">
        <f>SUM(OSRRefE21_7x_4)</f>
        <v>0</v>
      </c>
      <c r="M69" s="1">
        <f>SUM(OSRRefE21_7x_5)</f>
        <v>0</v>
      </c>
      <c r="N69" s="1">
        <f>SUM(OSRRefE21_7x_6)</f>
        <v>0</v>
      </c>
      <c r="O69" s="1">
        <f>SUM(OSRRefE21_7x_7)</f>
        <v>0</v>
      </c>
      <c r="Q69" s="2">
        <f>SUM(OSRRefD20_7x)+IFERROR(SUM(OSRRefE20_7x),0)</f>
        <v>719.55</v>
      </c>
    </row>
    <row r="70" spans="1:17" s="34" customFormat="1" hidden="1" outlineLevel="1" x14ac:dyDescent="0.25">
      <c r="A70" s="35"/>
      <c r="B70" s="13" t="str">
        <f>CONCATENATE("          ","6279", " - ","GENERAL EXPENSE")</f>
        <v xml:space="preserve">          6279 - GENERAL EXPENSE</v>
      </c>
      <c r="C70" s="15"/>
      <c r="D70" s="2">
        <v>719.55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9"/>
      <c r="Q70" s="2">
        <f>SUM(OSRRefD21_7_0x)+IFERROR(SUM(OSRRefE21_7_0x),0)</f>
        <v>719.55</v>
      </c>
    </row>
    <row r="71" spans="1:17" s="34" customFormat="1" collapsed="1" x14ac:dyDescent="0.25">
      <c r="A71" s="35"/>
      <c r="B71" s="15" t="str">
        <f>CONCATENATE("     ","Repair and Maintenance                            ")</f>
        <v xml:space="preserve">     Repair and Maintenance                            </v>
      </c>
      <c r="C71" s="15"/>
      <c r="D71" s="1">
        <f>SUM(OSRRefD21_8x_0)</f>
        <v>0</v>
      </c>
      <c r="E71" s="1">
        <f>SUM(OSRRefD21_8x_1)</f>
        <v>78.599999999999994</v>
      </c>
      <c r="F71" s="1">
        <f>SUM(OSRRefD21_8x_2)</f>
        <v>61.11</v>
      </c>
      <c r="G71" s="1">
        <f>SUM(OSRRefD21_8x_3)</f>
        <v>0</v>
      </c>
      <c r="H71" s="1">
        <f>SUM(OSRRefE21_8x_0)</f>
        <v>0</v>
      </c>
      <c r="I71" s="1">
        <f>SUM(OSRRefE21_8x_1)</f>
        <v>0</v>
      </c>
      <c r="J71" s="1">
        <f>SUM(OSRRefE21_8x_2)</f>
        <v>0</v>
      </c>
      <c r="K71" s="1">
        <f>SUM(OSRRefE21_8x_3)</f>
        <v>0</v>
      </c>
      <c r="L71" s="1">
        <f>SUM(OSRRefE21_8x_4)</f>
        <v>0</v>
      </c>
      <c r="M71" s="1">
        <f>SUM(OSRRefE21_8x_5)</f>
        <v>0</v>
      </c>
      <c r="N71" s="1">
        <f>SUM(OSRRefE21_8x_6)</f>
        <v>0</v>
      </c>
      <c r="O71" s="1">
        <f>SUM(OSRRefE21_8x_7)</f>
        <v>0</v>
      </c>
      <c r="Q71" s="2">
        <f>SUM(OSRRefD20_8x)+IFERROR(SUM(OSRRefE20_8x),0)</f>
        <v>139.70999999999998</v>
      </c>
    </row>
    <row r="72" spans="1:17" s="34" customFormat="1" hidden="1" outlineLevel="1" x14ac:dyDescent="0.25">
      <c r="A72" s="35"/>
      <c r="B72" s="13" t="str">
        <f>CONCATENATE("          ","6373", " - ","MAINTENANCE CONTRACTS")</f>
        <v xml:space="preserve">          6373 - MAINTENANCE CONTRACTS</v>
      </c>
      <c r="C72" s="15"/>
      <c r="D72" s="2"/>
      <c r="E72" s="2">
        <v>78.599999999999994</v>
      </c>
      <c r="F72" s="2">
        <v>61.11</v>
      </c>
      <c r="G72" s="2"/>
      <c r="H72" s="2"/>
      <c r="I72" s="2"/>
      <c r="J72" s="2"/>
      <c r="K72" s="2"/>
      <c r="L72" s="2"/>
      <c r="M72" s="2"/>
      <c r="N72" s="2"/>
      <c r="O72" s="2"/>
      <c r="P72" s="9"/>
      <c r="Q72" s="2">
        <f>SUM(OSRRefD21_8_0x)+IFERROR(SUM(OSRRefE21_8_0x),0)</f>
        <v>139.70999999999998</v>
      </c>
    </row>
    <row r="73" spans="1:17" s="34" customFormat="1" hidden="1" outlineLevel="1" x14ac:dyDescent="0.25">
      <c r="A73" s="35"/>
      <c r="B73" s="13" t="str">
        <f>CONCATENATE("          ","6375", " - ","OUTSIDE REPAIRS &amp; MAINTENANCE")</f>
        <v xml:space="preserve">          6375 - OUTSIDE REPAIRS &amp; MAINTENANCE</v>
      </c>
      <c r="C73" s="15"/>
      <c r="D73" s="2"/>
      <c r="E73" s="2"/>
      <c r="F73" s="2"/>
      <c r="G73" s="2"/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SUM(OSRRefD21_8_1x)+IFERROR(SUM(OSRRefE21_8_1x),0)</f>
        <v>0</v>
      </c>
    </row>
    <row r="74" spans="1:17" s="34" customFormat="1" collapsed="1" x14ac:dyDescent="0.25">
      <c r="A74" s="35"/>
      <c r="B74" s="15" t="str">
        <f>CONCATENATE("     ","Services                                          ")</f>
        <v xml:space="preserve">     Services                                          </v>
      </c>
      <c r="C74" s="15"/>
      <c r="D74" s="1">
        <f>SUM(OSRRefD21_9x_0)</f>
        <v>-113.5</v>
      </c>
      <c r="E74" s="1">
        <f>SUM(OSRRefD21_9x_1)</f>
        <v>44</v>
      </c>
      <c r="F74" s="1">
        <f>SUM(OSRRefD21_9x_2)</f>
        <v>44</v>
      </c>
      <c r="G74" s="1">
        <f>SUM(OSRRefD21_9x_3)</f>
        <v>0</v>
      </c>
      <c r="H74" s="1">
        <f>SUM(OSRRefE21_9x_0)</f>
        <v>0</v>
      </c>
      <c r="I74" s="1">
        <f>SUM(OSRRefE21_9x_1)</f>
        <v>0</v>
      </c>
      <c r="J74" s="1">
        <f>SUM(OSRRefE21_9x_2)</f>
        <v>0</v>
      </c>
      <c r="K74" s="1">
        <f>SUM(OSRRefE21_9x_3)</f>
        <v>0</v>
      </c>
      <c r="L74" s="1">
        <f>SUM(OSRRefE21_9x_4)</f>
        <v>0</v>
      </c>
      <c r="M74" s="1">
        <f>SUM(OSRRefE21_9x_5)</f>
        <v>0</v>
      </c>
      <c r="N74" s="1">
        <f>SUM(OSRRefE21_9x_6)</f>
        <v>0</v>
      </c>
      <c r="O74" s="1">
        <f>SUM(OSRRefE21_9x_7)</f>
        <v>0</v>
      </c>
      <c r="Q74" s="2">
        <f>SUM(OSRRefD20_9x)+IFERROR(SUM(OSRRefE20_9x),0)</f>
        <v>-25.5</v>
      </c>
    </row>
    <row r="75" spans="1:17" s="34" customFormat="1" hidden="1" outlineLevel="1" x14ac:dyDescent="0.25">
      <c r="A75" s="35"/>
      <c r="B75" s="13" t="str">
        <f>CONCATENATE("          ","6282", " - ","JANITORIAL/EXTERMINATOR EXPENS")</f>
        <v xml:space="preserve">          6282 - JANITORIAL/EXTERMINATOR EXPENS</v>
      </c>
      <c r="C75" s="15"/>
      <c r="D75" s="2">
        <v>44</v>
      </c>
      <c r="E75" s="2">
        <v>44</v>
      </c>
      <c r="F75" s="2">
        <v>44</v>
      </c>
      <c r="G75" s="2"/>
      <c r="H75" s="2"/>
      <c r="I75" s="2"/>
      <c r="J75" s="2"/>
      <c r="K75" s="2"/>
      <c r="L75" s="2"/>
      <c r="M75" s="2"/>
      <c r="N75" s="2"/>
      <c r="O75" s="2"/>
      <c r="P75" s="9"/>
      <c r="Q75" s="2">
        <f>SUM(OSRRefD21_9_0x)+IFERROR(SUM(OSRRefE21_9_0x),0)</f>
        <v>132</v>
      </c>
    </row>
    <row r="76" spans="1:17" s="34" customFormat="1" hidden="1" outlineLevel="1" x14ac:dyDescent="0.25">
      <c r="A76" s="35"/>
      <c r="B76" s="13" t="str">
        <f>CONCATENATE("          ","6285", " - ","JANITORIAL SERVICES")</f>
        <v xml:space="preserve">          6285 - JANITORIAL SERVICES</v>
      </c>
      <c r="C76" s="15"/>
      <c r="D76" s="2">
        <v>-157.5</v>
      </c>
      <c r="E76" s="2"/>
      <c r="F76" s="2"/>
      <c r="G76" s="2"/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SUM(OSRRefD21_9_1x)+IFERROR(SUM(OSRRefE21_9_1x),0)</f>
        <v>-157.5</v>
      </c>
    </row>
    <row r="77" spans="1:17" s="34" customFormat="1" collapsed="1" x14ac:dyDescent="0.25">
      <c r="A77" s="35"/>
      <c r="B77" s="15" t="str">
        <f>CONCATENATE("     ","Supplies                                          ")</f>
        <v xml:space="preserve">     Supplies                                          </v>
      </c>
      <c r="C77" s="15"/>
      <c r="D77" s="1">
        <f>SUM(OSRRefD21_10x_0)</f>
        <v>444.3</v>
      </c>
      <c r="E77" s="1">
        <f>SUM(OSRRefD21_10x_1)</f>
        <v>485.36</v>
      </c>
      <c r="F77" s="1">
        <f>SUM(OSRRefD21_10x_2)</f>
        <v>418.01</v>
      </c>
      <c r="G77" s="1">
        <f>SUM(OSRRefD21_10x_3)</f>
        <v>544.6</v>
      </c>
      <c r="H77" s="1">
        <f>SUM(OSRRefE21_10x_0)</f>
        <v>0</v>
      </c>
      <c r="I77" s="1">
        <f>SUM(OSRRefE21_10x_1)</f>
        <v>0</v>
      </c>
      <c r="J77" s="1">
        <f>SUM(OSRRefE21_10x_2)</f>
        <v>0</v>
      </c>
      <c r="K77" s="1">
        <f>SUM(OSRRefE21_10x_3)</f>
        <v>0</v>
      </c>
      <c r="L77" s="1">
        <f>SUM(OSRRefE21_10x_4)</f>
        <v>0</v>
      </c>
      <c r="M77" s="1">
        <f>SUM(OSRRefE21_10x_5)</f>
        <v>0</v>
      </c>
      <c r="N77" s="1">
        <f>SUM(OSRRefE21_10x_6)</f>
        <v>0</v>
      </c>
      <c r="O77" s="1">
        <f>SUM(OSRRefE21_10x_7)</f>
        <v>0</v>
      </c>
      <c r="Q77" s="2">
        <f>SUM(OSRRefD20_10x)+IFERROR(SUM(OSRRefE20_10x),0)</f>
        <v>1892.27</v>
      </c>
    </row>
    <row r="78" spans="1:17" s="34" customFormat="1" hidden="1" outlineLevel="1" x14ac:dyDescent="0.25">
      <c r="A78" s="35"/>
      <c r="B78" s="13" t="str">
        <f>CONCATENATE("          ","6235", " - ","COVID-19 EXPENSES")</f>
        <v xml:space="preserve">          6235 - COVID-19 EXPENSES</v>
      </c>
      <c r="C78" s="15"/>
      <c r="D78" s="2">
        <v>444.3</v>
      </c>
      <c r="E78" s="2"/>
      <c r="F78" s="2"/>
      <c r="G78" s="2"/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SUM(OSRRefD21_10_0x)+IFERROR(SUM(OSRRefE21_10_0x),0)</f>
        <v>444.3</v>
      </c>
    </row>
    <row r="79" spans="1:17" s="34" customFormat="1" hidden="1" outlineLevel="1" x14ac:dyDescent="0.25">
      <c r="A79" s="35"/>
      <c r="B79" s="13" t="str">
        <f>CONCATENATE("          ","6241", " - ","OFFICE EXPENSE")</f>
        <v xml:space="preserve">          6241 - OFFICE EXPENSE</v>
      </c>
      <c r="C79" s="15"/>
      <c r="D79" s="2"/>
      <c r="E79" s="2">
        <v>225.24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9"/>
      <c r="Q79" s="2">
        <f>SUM(OSRRefD21_10_1x)+IFERROR(SUM(OSRRefE21_10_1x),0)</f>
        <v>225.24</v>
      </c>
    </row>
    <row r="80" spans="1:17" s="34" customFormat="1" hidden="1" outlineLevel="1" x14ac:dyDescent="0.25">
      <c r="A80" s="35"/>
      <c r="B80" s="13" t="str">
        <f>CONCATENATE("          ","6247", " - ","STORE SUPPLIES")</f>
        <v xml:space="preserve">          6247 - STORE SUPPLIES</v>
      </c>
      <c r="C80" s="15"/>
      <c r="D80" s="2"/>
      <c r="E80" s="2">
        <v>260.12</v>
      </c>
      <c r="F80" s="2">
        <v>418.01</v>
      </c>
      <c r="G80" s="2">
        <v>544.6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SUM(OSRRefD21_10_2x)+IFERROR(SUM(OSRRefE21_10_2x),0)</f>
        <v>1222.73</v>
      </c>
    </row>
    <row r="81" spans="1:17" s="34" customFormat="1" hidden="1" outlineLevel="1" x14ac:dyDescent="0.25">
      <c r="A81" s="35"/>
      <c r="B81" s="13" t="str">
        <f>CONCATENATE("          ","6248", " - ","UNIFORMS")</f>
        <v xml:space="preserve">          6248 - UNIFORMS</v>
      </c>
      <c r="C81" s="15"/>
      <c r="D81" s="2"/>
      <c r="E81" s="2"/>
      <c r="F81" s="2"/>
      <c r="G81" s="2"/>
      <c r="H81" s="2"/>
      <c r="I81" s="2"/>
      <c r="J81" s="2">
        <v>0</v>
      </c>
      <c r="K81" s="2"/>
      <c r="L81" s="2"/>
      <c r="M81" s="2"/>
      <c r="N81" s="2"/>
      <c r="O81" s="2"/>
      <c r="P81" s="9"/>
      <c r="Q81" s="2">
        <f>SUM(OSRRefD21_10_3x)+IFERROR(SUM(OSRRefE21_10_3x),0)</f>
        <v>0</v>
      </c>
    </row>
    <row r="82" spans="1:17" s="34" customFormat="1" collapsed="1" x14ac:dyDescent="0.25">
      <c r="A82" s="35"/>
      <c r="B82" s="15" t="str">
        <f>CONCATENATE("     ","Telephone/Data Lines                              ")</f>
        <v xml:space="preserve">     Telephone/Data Lines                              </v>
      </c>
      <c r="C82" s="15"/>
      <c r="D82" s="1">
        <f>SUM(OSRRefD21_11x_0)</f>
        <v>53</v>
      </c>
      <c r="E82" s="1">
        <f>SUM(OSRRefD21_11x_1)</f>
        <v>53</v>
      </c>
      <c r="F82" s="1">
        <f>SUM(OSRRefD21_11x_2)</f>
        <v>100</v>
      </c>
      <c r="G82" s="1">
        <f>SUM(OSRRefD21_11x_3)</f>
        <v>53.9</v>
      </c>
      <c r="H82" s="1">
        <f>SUM(OSRRefE21_11x_0)</f>
        <v>0</v>
      </c>
      <c r="I82" s="1">
        <f>SUM(OSRRefE21_11x_1)</f>
        <v>0</v>
      </c>
      <c r="J82" s="1">
        <f>SUM(OSRRefE21_11x_2)</f>
        <v>0</v>
      </c>
      <c r="K82" s="1">
        <f>SUM(OSRRefE21_11x_3)</f>
        <v>0</v>
      </c>
      <c r="L82" s="1">
        <f>SUM(OSRRefE21_11x_4)</f>
        <v>0</v>
      </c>
      <c r="M82" s="1">
        <f>SUM(OSRRefE21_11x_5)</f>
        <v>0</v>
      </c>
      <c r="N82" s="1">
        <f>SUM(OSRRefE21_11x_6)</f>
        <v>0</v>
      </c>
      <c r="O82" s="1">
        <f>SUM(OSRRefE21_11x_7)</f>
        <v>0</v>
      </c>
      <c r="Q82" s="2">
        <f>SUM(OSRRefD20_11x)+IFERROR(SUM(OSRRefE20_11x),0)</f>
        <v>259.89999999999998</v>
      </c>
    </row>
    <row r="83" spans="1:17" s="34" customFormat="1" hidden="1" outlineLevel="1" x14ac:dyDescent="0.25">
      <c r="A83" s="35"/>
      <c r="B83" s="13" t="str">
        <f>CONCATENATE("          ","6303", " - ","DATA PHONE LINES")</f>
        <v xml:space="preserve">          6303 - DATA PHONE LINES</v>
      </c>
      <c r="C83" s="15"/>
      <c r="D83" s="2"/>
      <c r="E83" s="2"/>
      <c r="F83" s="2"/>
      <c r="G83" s="2"/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9"/>
      <c r="Q83" s="2">
        <f>SUM(OSRRefD21_11_0x)+IFERROR(SUM(OSRRefE21_11_0x),0)</f>
        <v>0</v>
      </c>
    </row>
    <row r="84" spans="1:17" s="34" customFormat="1" hidden="1" outlineLevel="1" x14ac:dyDescent="0.25">
      <c r="A84" s="35"/>
      <c r="B84" s="13" t="str">
        <f>CONCATENATE("          ","6309", " - ","TELEPHONE")</f>
        <v xml:space="preserve">          6309 - TELEPHONE</v>
      </c>
      <c r="C84" s="15"/>
      <c r="D84" s="2">
        <v>53</v>
      </c>
      <c r="E84" s="2">
        <v>53</v>
      </c>
      <c r="F84" s="2">
        <v>100</v>
      </c>
      <c r="G84" s="2">
        <v>53.9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9"/>
      <c r="Q84" s="2">
        <f>SUM(OSRRefD21_11_1x)+IFERROR(SUM(OSRRefE21_11_1x),0)</f>
        <v>259.89999999999998</v>
      </c>
    </row>
    <row r="85" spans="1:17" s="34" customFormat="1" collapsed="1" x14ac:dyDescent="0.25">
      <c r="A85" s="35"/>
      <c r="B85" s="15" t="str">
        <f>CONCATENATE("     ","Training                                          ")</f>
        <v xml:space="preserve">     Training                                          </v>
      </c>
      <c r="C85" s="15"/>
      <c r="D85" s="1">
        <f>SUM(OSRRefD21_12x_0)</f>
        <v>0</v>
      </c>
      <c r="E85" s="1">
        <f>SUM(OSRRefD21_12x_1)</f>
        <v>0</v>
      </c>
      <c r="F85" s="1">
        <f>SUM(OSRRefD21_12x_2)</f>
        <v>0</v>
      </c>
      <c r="G85" s="1">
        <f>SUM(OSRRefD21_12x_3)</f>
        <v>14</v>
      </c>
      <c r="H85" s="1">
        <f>SUM(OSRRefE21_12x_0)</f>
        <v>0</v>
      </c>
      <c r="I85" s="1">
        <f>SUM(OSRRefE21_12x_1)</f>
        <v>0</v>
      </c>
      <c r="J85" s="1">
        <f>SUM(OSRRefE21_12x_2)</f>
        <v>0</v>
      </c>
      <c r="K85" s="1">
        <f>SUM(OSRRefE21_12x_3)</f>
        <v>0</v>
      </c>
      <c r="L85" s="1">
        <f>SUM(OSRRefE21_12x_4)</f>
        <v>0</v>
      </c>
      <c r="M85" s="1">
        <f>SUM(OSRRefE21_12x_5)</f>
        <v>0</v>
      </c>
      <c r="N85" s="1">
        <f>SUM(OSRRefE21_12x_6)</f>
        <v>0</v>
      </c>
      <c r="O85" s="1">
        <f>SUM(OSRRefE21_12x_7)</f>
        <v>0</v>
      </c>
      <c r="Q85" s="2">
        <f>SUM(OSRRefD20_12x)+IFERROR(SUM(OSRRefE20_12x),0)</f>
        <v>14</v>
      </c>
    </row>
    <row r="86" spans="1:17" s="34" customFormat="1" hidden="1" outlineLevel="1" x14ac:dyDescent="0.25">
      <c r="A86" s="35"/>
      <c r="B86" s="13" t="str">
        <f>CONCATENATE("          ","6376", " - ","TRAINING")</f>
        <v xml:space="preserve">          6376 - TRAINING</v>
      </c>
      <c r="C86" s="15"/>
      <c r="D86" s="2"/>
      <c r="E86" s="2"/>
      <c r="F86" s="2"/>
      <c r="G86" s="2">
        <v>14</v>
      </c>
      <c r="H86" s="2"/>
      <c r="I86" s="2"/>
      <c r="J86" s="2">
        <v>0</v>
      </c>
      <c r="K86" s="2"/>
      <c r="L86" s="2"/>
      <c r="M86" s="2"/>
      <c r="N86" s="2"/>
      <c r="O86" s="2"/>
      <c r="P86" s="9"/>
      <c r="Q86" s="2">
        <f>SUM(OSRRefD21_12_0x)+IFERROR(SUM(OSRRefE21_12_0x),0)</f>
        <v>14</v>
      </c>
    </row>
    <row r="87" spans="1:17" s="28" customFormat="1" x14ac:dyDescent="0.25">
      <c r="A87" s="20"/>
      <c r="B87" s="20"/>
      <c r="C87" s="20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25">
      <c r="A88" s="22"/>
      <c r="B88" s="16" t="s">
        <v>0</v>
      </c>
      <c r="C88" s="23"/>
      <c r="D88" s="3">
        <f t="shared" ref="D88:G88" si="7">0</f>
        <v>0</v>
      </c>
      <c r="E88" s="3">
        <f t="shared" si="7"/>
        <v>0</v>
      </c>
      <c r="F88" s="3">
        <f t="shared" si="7"/>
        <v>0</v>
      </c>
      <c r="G88" s="3">
        <f t="shared" si="7"/>
        <v>0</v>
      </c>
      <c r="H88" s="3"/>
      <c r="I88" s="3"/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25">
      <c r="A89" s="5"/>
      <c r="B89" s="8"/>
      <c r="C89" s="8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4" customFormat="1" x14ac:dyDescent="0.25">
      <c r="A90" s="8"/>
      <c r="B90" s="17" t="s">
        <v>3</v>
      </c>
      <c r="C90" s="17"/>
      <c r="D90" s="6">
        <f t="shared" ref="D90:O90" si="8">IFERROR(+D33-D36+D88, 0)</f>
        <v>-1141.3999999999999</v>
      </c>
      <c r="E90" s="6">
        <f t="shared" si="8"/>
        <v>-2088.7799999999997</v>
      </c>
      <c r="F90" s="6">
        <f t="shared" si="8"/>
        <v>147.47999999999956</v>
      </c>
      <c r="G90" s="6">
        <f t="shared" si="8"/>
        <v>-1406.4899999999957</v>
      </c>
      <c r="H90" s="6">
        <f t="shared" si="8"/>
        <v>0</v>
      </c>
      <c r="I90" s="6">
        <f t="shared" si="8"/>
        <v>0</v>
      </c>
      <c r="J90" s="6">
        <f t="shared" si="8"/>
        <v>0</v>
      </c>
      <c r="K90" s="6">
        <f t="shared" si="8"/>
        <v>0</v>
      </c>
      <c r="L90" s="6">
        <f t="shared" si="8"/>
        <v>0</v>
      </c>
      <c r="M90" s="6">
        <f t="shared" si="8"/>
        <v>0</v>
      </c>
      <c r="N90" s="6">
        <f t="shared" si="8"/>
        <v>0</v>
      </c>
      <c r="O90" s="6">
        <f t="shared" si="8"/>
        <v>0</v>
      </c>
      <c r="Q90" s="6">
        <f>IFERROR(+Q33-Q36+Q88, 0)</f>
        <v>-4489.1899999999932</v>
      </c>
    </row>
    <row r="91" spans="1:17" s="8" customFormat="1" x14ac:dyDescent="0.25">
      <c r="B91" s="16"/>
      <c r="C91" s="16"/>
      <c r="D91" s="4">
        <f t="shared" ref="D91:O91" si="9">IFERROR(D90/D10, 0)</f>
        <v>0</v>
      </c>
      <c r="E91" s="4">
        <f t="shared" si="9"/>
        <v>-0.1684779890852835</v>
      </c>
      <c r="F91" s="4">
        <f t="shared" si="9"/>
        <v>1.6578088326543776E-2</v>
      </c>
      <c r="G91" s="4">
        <f t="shared" si="9"/>
        <v>-78.574860335195297</v>
      </c>
      <c r="H91" s="4">
        <f t="shared" si="9"/>
        <v>0</v>
      </c>
      <c r="I91" s="4">
        <f t="shared" si="9"/>
        <v>0</v>
      </c>
      <c r="J91" s="4">
        <f t="shared" si="9"/>
        <v>0</v>
      </c>
      <c r="K91" s="4">
        <f t="shared" si="9"/>
        <v>0</v>
      </c>
      <c r="L91" s="4">
        <f t="shared" si="9"/>
        <v>0</v>
      </c>
      <c r="M91" s="4">
        <f t="shared" si="9"/>
        <v>0</v>
      </c>
      <c r="N91" s="4">
        <f t="shared" si="9"/>
        <v>0</v>
      </c>
      <c r="O91" s="4">
        <f t="shared" si="9"/>
        <v>0</v>
      </c>
      <c r="P91" s="18"/>
      <c r="Q91" s="4">
        <f>IFERROR(Q90/Q10, 0)</f>
        <v>-0.21064221337167152</v>
      </c>
    </row>
    <row r="92" spans="1:17" x14ac:dyDescent="0.25">
      <c r="A92" s="5"/>
      <c r="B92" s="8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4" customFormat="1" x14ac:dyDescent="0.25">
      <c r="A93" s="25"/>
      <c r="B93" s="8" t="s">
        <v>8</v>
      </c>
      <c r="C93" s="8"/>
      <c r="D93" s="3"/>
      <c r="E93" s="3">
        <v>2093.23</v>
      </c>
      <c r="F93" s="3">
        <v>1851.59</v>
      </c>
      <c r="G93" s="3">
        <v>671.8</v>
      </c>
      <c r="H93" s="3">
        <v>1413</v>
      </c>
      <c r="I93" s="3">
        <v>5490</v>
      </c>
      <c r="J93" s="3">
        <v>4298</v>
      </c>
      <c r="K93" s="3">
        <v>4013</v>
      </c>
      <c r="L93" s="3">
        <v>4619</v>
      </c>
      <c r="M93" s="3">
        <v>2142</v>
      </c>
      <c r="N93" s="3">
        <v>709</v>
      </c>
      <c r="O93" s="3">
        <v>-2526</v>
      </c>
      <c r="Q93" s="2">
        <f>SUM(OSRRefD28_0x)+IFERROR(SUM(OSRRefE28_0x),0)</f>
        <v>24774.62</v>
      </c>
    </row>
    <row r="94" spans="1:17" x14ac:dyDescent="0.25">
      <c r="A94" s="5"/>
      <c r="B94" s="8"/>
      <c r="C94" s="8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4" customFormat="1" ht="15.75" thickBot="1" x14ac:dyDescent="0.3">
      <c r="A95" s="8"/>
      <c r="B95" s="17" t="s">
        <v>4</v>
      </c>
      <c r="C95" s="17"/>
      <c r="D95" s="7">
        <f t="shared" ref="D95:O95" si="10">IFERROR(+D90-D93, 0)</f>
        <v>-1141.3999999999999</v>
      </c>
      <c r="E95" s="7">
        <f t="shared" si="10"/>
        <v>-4182.01</v>
      </c>
      <c r="F95" s="7">
        <f t="shared" si="10"/>
        <v>-1704.1100000000004</v>
      </c>
      <c r="G95" s="7">
        <f t="shared" si="10"/>
        <v>-2078.2899999999954</v>
      </c>
      <c r="H95" s="7">
        <f t="shared" si="10"/>
        <v>-1413</v>
      </c>
      <c r="I95" s="7">
        <f t="shared" si="10"/>
        <v>-5490</v>
      </c>
      <c r="J95" s="7">
        <f t="shared" si="10"/>
        <v>-4298</v>
      </c>
      <c r="K95" s="7">
        <f t="shared" si="10"/>
        <v>-4013</v>
      </c>
      <c r="L95" s="7">
        <f t="shared" si="10"/>
        <v>-4619</v>
      </c>
      <c r="M95" s="7">
        <f t="shared" si="10"/>
        <v>-2142</v>
      </c>
      <c r="N95" s="7">
        <f t="shared" si="10"/>
        <v>-709</v>
      </c>
      <c r="O95" s="7">
        <f t="shared" si="10"/>
        <v>2526</v>
      </c>
      <c r="Q95" s="7">
        <f>IFERROR(+Q90-Q93, 0)</f>
        <v>-29263.80999999999</v>
      </c>
    </row>
    <row r="96" spans="1:17" ht="15.75" thickTop="1" x14ac:dyDescent="0.25">
      <c r="A96" s="5"/>
      <c r="B96" s="5"/>
      <c r="C96" s="5"/>
      <c r="D96" s="4">
        <f t="shared" ref="D96:O96" si="11">IFERROR(D95/D10, 0)</f>
        <v>0</v>
      </c>
      <c r="E96" s="4">
        <f t="shared" si="11"/>
        <v>-0.33731490876710163</v>
      </c>
      <c r="F96" s="4">
        <f t="shared" si="11"/>
        <v>-0.19155740505930707</v>
      </c>
      <c r="G96" s="4">
        <f t="shared" si="11"/>
        <v>-116.10558659217853</v>
      </c>
      <c r="H96" s="4">
        <f t="shared" si="11"/>
        <v>0</v>
      </c>
      <c r="I96" s="4">
        <f t="shared" si="11"/>
        <v>0</v>
      </c>
      <c r="J96" s="4">
        <f t="shared" si="11"/>
        <v>0</v>
      </c>
      <c r="K96" s="4">
        <f t="shared" si="11"/>
        <v>0</v>
      </c>
      <c r="L96" s="4">
        <f t="shared" si="11"/>
        <v>0</v>
      </c>
      <c r="M96" s="4">
        <f t="shared" si="11"/>
        <v>0</v>
      </c>
      <c r="N96" s="4">
        <f t="shared" si="11"/>
        <v>0</v>
      </c>
      <c r="O96" s="4">
        <f t="shared" si="11"/>
        <v>0</v>
      </c>
      <c r="P96" s="18"/>
      <c r="Q96" s="4">
        <f>IFERROR(Q95/Q10, 0)</f>
        <v>-1.3731193623099183</v>
      </c>
    </row>
    <row r="97" spans="1:17" x14ac:dyDescent="0.2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25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4" customFormat="1" ht="15.75" thickBot="1" x14ac:dyDescent="0.3">
      <c r="A99" s="8"/>
      <c r="B99" s="17" t="s">
        <v>5</v>
      </c>
      <c r="C99" s="17"/>
      <c r="D99" s="7">
        <f t="shared" ref="D99:O99" si="12">IFERROR(SUM(D95:D98), 0)</f>
        <v>-1141.3999999999999</v>
      </c>
      <c r="E99" s="7">
        <f t="shared" si="12"/>
        <v>-4182.3473149087677</v>
      </c>
      <c r="F99" s="7">
        <f t="shared" si="12"/>
        <v>-1704.3015574050596</v>
      </c>
      <c r="G99" s="7">
        <f t="shared" si="12"/>
        <v>-2194.3955865921739</v>
      </c>
      <c r="H99" s="7">
        <f t="shared" si="12"/>
        <v>-1413</v>
      </c>
      <c r="I99" s="7">
        <f t="shared" si="12"/>
        <v>-5490</v>
      </c>
      <c r="J99" s="7">
        <f t="shared" si="12"/>
        <v>-4298</v>
      </c>
      <c r="K99" s="7">
        <f t="shared" si="12"/>
        <v>-4013</v>
      </c>
      <c r="L99" s="7">
        <f t="shared" si="12"/>
        <v>-4619</v>
      </c>
      <c r="M99" s="7">
        <f t="shared" si="12"/>
        <v>-2142</v>
      </c>
      <c r="N99" s="7">
        <f t="shared" si="12"/>
        <v>-709</v>
      </c>
      <c r="O99" s="7">
        <f t="shared" si="12"/>
        <v>2526</v>
      </c>
      <c r="Q99" s="7">
        <f>IFERROR(SUM(Q95:Q98), 0)</f>
        <v>-29265.1831193623</v>
      </c>
    </row>
    <row r="100" spans="1:17" ht="15.75" thickTop="1" x14ac:dyDescent="0.25">
      <c r="A100" s="5"/>
      <c r="C100" s="5"/>
      <c r="D100" s="4">
        <f t="shared" ref="D100:O100" si="13">IFERROR(D99/D10, 0)</f>
        <v>0</v>
      </c>
      <c r="E100" s="4">
        <f t="shared" si="13"/>
        <v>-0.33734211610225306</v>
      </c>
      <c r="F100" s="4">
        <f t="shared" si="13"/>
        <v>-0.19157893784735069</v>
      </c>
      <c r="G100" s="4">
        <f t="shared" si="13"/>
        <v>-122.5919322118533</v>
      </c>
      <c r="H100" s="4">
        <f t="shared" si="13"/>
        <v>0</v>
      </c>
      <c r="I100" s="4">
        <f t="shared" si="13"/>
        <v>0</v>
      </c>
      <c r="J100" s="4">
        <f t="shared" si="13"/>
        <v>0</v>
      </c>
      <c r="K100" s="4">
        <f t="shared" si="13"/>
        <v>0</v>
      </c>
      <c r="L100" s="4">
        <f t="shared" si="13"/>
        <v>0</v>
      </c>
      <c r="M100" s="4">
        <f t="shared" si="13"/>
        <v>0</v>
      </c>
      <c r="N100" s="4">
        <f t="shared" si="13"/>
        <v>0</v>
      </c>
      <c r="O100" s="4">
        <f t="shared" si="13"/>
        <v>0</v>
      </c>
      <c r="P100" s="18"/>
      <c r="Q100" s="4">
        <f>IFERROR(Q99/Q10, 0)</f>
        <v>-1.373183791951279</v>
      </c>
    </row>
    <row r="101" spans="1:17" x14ac:dyDescent="0.25">
      <c r="A101" s="5"/>
      <c r="B101" s="26">
        <v>44151.564601192127</v>
      </c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Q101" s="12"/>
    </row>
    <row r="102" spans="1:17" x14ac:dyDescent="0.25">
      <c r="A102" s="5"/>
      <c r="B102" s="30" t="s">
        <v>311</v>
      </c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Q102" s="12"/>
    </row>
    <row r="103" spans="1:17" x14ac:dyDescent="0.25">
      <c r="A103" s="5"/>
      <c r="B103" s="31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Q103" s="12"/>
    </row>
    <row r="104" spans="1:17" x14ac:dyDescent="0.25"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Q104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","307", " - ", "Art Store")</f>
        <v>Department 307 - Art Store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12397.94</v>
      </c>
      <c r="F10" s="3">
        <f>SUM(OSRRefD11x_2)</f>
        <v>8896.08</v>
      </c>
      <c r="G10" s="3">
        <f>SUM(OSRRefD11x_3)</f>
        <v>17.899999999999999</v>
      </c>
      <c r="H10" s="3">
        <f>SUM(OSRRefE11x_0)</f>
        <v>0</v>
      </c>
      <c r="I10" s="3">
        <f>SUM(OSRRefE11x_1)</f>
        <v>0</v>
      </c>
      <c r="J10" s="3">
        <f>SUM(OSRRefE11x_2)</f>
        <v>0</v>
      </c>
      <c r="K10" s="3">
        <f>SUM(OSRRefE11x_3)</f>
        <v>0</v>
      </c>
      <c r="L10" s="3">
        <f>SUM(OSRRefE11x_4)</f>
        <v>0</v>
      </c>
      <c r="M10" s="3">
        <f>SUM(OSRRefE11x_5)</f>
        <v>0</v>
      </c>
      <c r="N10" s="3">
        <f>SUM(OSRRefE11x_6)</f>
        <v>0</v>
      </c>
      <c r="O10" s="3">
        <f>SUM(OSRRefE11x_7)</f>
        <v>0</v>
      </c>
      <c r="P10" s="24"/>
      <c r="Q10" s="3">
        <f>SUM(OSRRefG11x)</f>
        <v>21311.919999999998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D21" si="0">0</f>
        <v>0</v>
      </c>
      <c r="E11" s="2">
        <f>-1069.53</f>
        <v>-1069.53</v>
      </c>
      <c r="F11" s="2">
        <f>-25.17</f>
        <v>-25.17</v>
      </c>
      <c r="G11" s="2">
        <f>-1.74</f>
        <v>-1.74</v>
      </c>
      <c r="H11" s="2"/>
      <c r="I11" s="2"/>
      <c r="J11" s="2"/>
      <c r="K11" s="2"/>
      <c r="L11" s="2"/>
      <c r="M11" s="2"/>
      <c r="N11" s="2"/>
      <c r="O11" s="2"/>
      <c r="Q11" s="2">
        <f>SUM(OSRRefD11_0x)+IFERROR(SUM(OSRRefE11_0x),0)</f>
        <v>-1096.44</v>
      </c>
    </row>
    <row r="12" spans="1:18" s="9" customFormat="1" hidden="1" outlineLevel="1" x14ac:dyDescent="0.25">
      <c r="A12" s="22"/>
      <c r="B12" s="13" t="str">
        <f>CONCATENATE("          ","4026", " - ","TAXABLE SALES-WRITING INSTRUME")</f>
        <v xml:space="preserve">          4026 - TAXABLE SALES-WRITING INSTRUME</v>
      </c>
      <c r="C12" s="23"/>
      <c r="D12" s="2">
        <f t="shared" si="0"/>
        <v>0</v>
      </c>
      <c r="E12" s="2">
        <f>0</f>
        <v>0</v>
      </c>
      <c r="F12" s="2">
        <f>--17.51</f>
        <v>17.510000000000002</v>
      </c>
      <c r="G12" s="2">
        <f t="shared" ref="G12:G14" si="1">0</f>
        <v>0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17.510000000000002</v>
      </c>
    </row>
    <row r="13" spans="1:18" s="9" customFormat="1" hidden="1" outlineLevel="1" x14ac:dyDescent="0.25">
      <c r="A13" s="22"/>
      <c r="B13" s="13" t="str">
        <f>CONCATENATE("          ","4027", " - ","TAXABLE SALES-SCHOOL SUPPLIES")</f>
        <v xml:space="preserve">          4027 - TAXABLE SALES-SCHOOL SUPPLIES</v>
      </c>
      <c r="C13" s="23"/>
      <c r="D13" s="2">
        <f t="shared" si="0"/>
        <v>0</v>
      </c>
      <c r="E13" s="2">
        <f>--3388.87</f>
        <v>3388.87</v>
      </c>
      <c r="F13" s="2">
        <f>--4601.45</f>
        <v>4601.45</v>
      </c>
      <c r="G13" s="2">
        <f t="shared" si="1"/>
        <v>0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7990.32</v>
      </c>
    </row>
    <row r="14" spans="1:18" s="9" customFormat="1" hidden="1" outlineLevel="1" x14ac:dyDescent="0.25">
      <c r="A14" s="22"/>
      <c r="B14" s="13" t="str">
        <f>CONCATENATE("          ","4028", " - ","TAXABLE SALES-ART/TECH")</f>
        <v xml:space="preserve">          4028 - TAXABLE SALES-ART/TECH</v>
      </c>
      <c r="C14" s="23"/>
      <c r="D14" s="2">
        <f t="shared" si="0"/>
        <v>0</v>
      </c>
      <c r="E14" s="2">
        <f>--9671.25</f>
        <v>9671.25</v>
      </c>
      <c r="F14" s="2">
        <f>--2807.8</f>
        <v>2807.8</v>
      </c>
      <c r="G14" s="2">
        <f t="shared" si="1"/>
        <v>0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12479.05</v>
      </c>
    </row>
    <row r="15" spans="1:18" s="9" customFormat="1" hidden="1" outlineLevel="1" x14ac:dyDescent="0.25">
      <c r="A15" s="22"/>
      <c r="B15" s="13" t="str">
        <f>CONCATENATE("          ","4031", " - ","TAXABLE SALES-FOOD")</f>
        <v xml:space="preserve">          4031 - TAXABLE SALES-FOOD</v>
      </c>
      <c r="C15" s="23"/>
      <c r="D15" s="2">
        <f t="shared" si="0"/>
        <v>0</v>
      </c>
      <c r="E15" s="2">
        <f>--125.04</f>
        <v>125.04</v>
      </c>
      <c r="F15" s="2">
        <f>--244.33</f>
        <v>244.33</v>
      </c>
      <c r="G15" s="2">
        <f>--5.18</f>
        <v>5.18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374.55</v>
      </c>
    </row>
    <row r="16" spans="1:18" s="9" customFormat="1" hidden="1" outlineLevel="1" x14ac:dyDescent="0.25">
      <c r="A16" s="22"/>
      <c r="B16" s="13" t="str">
        <f>CONCATENATE("          ","4081", " - ","TAXABLE SALES-ELECTRONICS")</f>
        <v xml:space="preserve">          4081 - TAXABLE SALES-ELECTRONICS</v>
      </c>
      <c r="C16" s="23"/>
      <c r="D16" s="2">
        <f t="shared" si="0"/>
        <v>0</v>
      </c>
      <c r="E16" s="2">
        <f t="shared" ref="E16:E18" si="2">0</f>
        <v>0</v>
      </c>
      <c r="F16" s="2">
        <f>--71.95</f>
        <v>71.95</v>
      </c>
      <c r="G16" s="2">
        <f t="shared" ref="G16:G18" si="3">0</f>
        <v>0</v>
      </c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71.95</v>
      </c>
    </row>
    <row r="17" spans="1:17" s="9" customFormat="1" hidden="1" outlineLevel="1" x14ac:dyDescent="0.25">
      <c r="A17" s="22"/>
      <c r="B17" s="13" t="str">
        <f>CONCATENATE("          ","4083", " - ","TAXABLE SALES-COMPUTER EQUIPME")</f>
        <v xml:space="preserve">          4083 - TAXABLE SALES-COMPUTER EQUIPME</v>
      </c>
      <c r="C17" s="23"/>
      <c r="D17" s="2">
        <f t="shared" si="0"/>
        <v>0</v>
      </c>
      <c r="E17" s="2">
        <f t="shared" si="2"/>
        <v>0</v>
      </c>
      <c r="F17" s="2">
        <f>--9.99</f>
        <v>9.99</v>
      </c>
      <c r="G17" s="2">
        <f t="shared" si="3"/>
        <v>0</v>
      </c>
      <c r="H17" s="2"/>
      <c r="I17" s="2"/>
      <c r="J17" s="2"/>
      <c r="K17" s="2"/>
      <c r="L17" s="2"/>
      <c r="M17" s="2"/>
      <c r="N17" s="2"/>
      <c r="O17" s="2"/>
      <c r="Q17" s="2">
        <f>SUM(OSRRefD11_6x)+IFERROR(SUM(OSRRefE11_6x),0)</f>
        <v>9.99</v>
      </c>
    </row>
    <row r="18" spans="1:17" s="9" customFormat="1" hidden="1" outlineLevel="1" x14ac:dyDescent="0.25">
      <c r="A18" s="22"/>
      <c r="B18" s="13" t="str">
        <f>CONCATENATE("          ","4100", " - ","NON-TAXABLE SALES")</f>
        <v xml:space="preserve">          4100 - NON-TAXABLE SALES</v>
      </c>
      <c r="C18" s="23"/>
      <c r="D18" s="2">
        <f t="shared" si="0"/>
        <v>0</v>
      </c>
      <c r="E18" s="2">
        <f t="shared" si="2"/>
        <v>0</v>
      </c>
      <c r="F18" s="2">
        <f>0</f>
        <v>0</v>
      </c>
      <c r="G18" s="2">
        <f t="shared" si="3"/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Q18" s="2">
        <f>SUM(OSRRefD11_7x)+IFERROR(SUM(OSRRefE11_7x),0)</f>
        <v>0</v>
      </c>
    </row>
    <row r="19" spans="1:17" s="9" customFormat="1" hidden="1" outlineLevel="1" x14ac:dyDescent="0.25">
      <c r="A19" s="22"/>
      <c r="B19" s="13" t="str">
        <f>CONCATENATE("          ","4131", " - ","NON-TAXABLE SALES-FOOD")</f>
        <v xml:space="preserve">          4131 - NON-TAXABLE SALES-FOOD</v>
      </c>
      <c r="C19" s="23"/>
      <c r="D19" s="2">
        <f t="shared" si="0"/>
        <v>0</v>
      </c>
      <c r="E19" s="2">
        <f>--587.14</f>
        <v>587.14</v>
      </c>
      <c r="F19" s="2">
        <f>--1245.56</f>
        <v>1245.56</v>
      </c>
      <c r="G19" s="2">
        <f>--14.46</f>
        <v>14.46</v>
      </c>
      <c r="H19" s="2"/>
      <c r="I19" s="2"/>
      <c r="J19" s="2"/>
      <c r="K19" s="2"/>
      <c r="L19" s="2"/>
      <c r="M19" s="2"/>
      <c r="N19" s="2"/>
      <c r="O19" s="2"/>
      <c r="Q19" s="2">
        <f>SUM(OSRRefD11_8x)+IFERROR(SUM(OSRRefE11_8x),0)</f>
        <v>1847.1599999999999</v>
      </c>
    </row>
    <row r="20" spans="1:17" s="9" customFormat="1" hidden="1" outlineLevel="1" x14ac:dyDescent="0.25">
      <c r="A20" s="22"/>
      <c r="B20" s="13" t="str">
        <f>CONCATENATE("          ","4227", " - ","SALES RETURN TAXABLE-SCHOOL SU")</f>
        <v xml:space="preserve">          4227 - SALES RETURN TAXABLE-SCHOOL SU</v>
      </c>
      <c r="C20" s="23"/>
      <c r="D20" s="2">
        <f t="shared" si="0"/>
        <v>0</v>
      </c>
      <c r="E20" s="2">
        <f>-140.39</f>
        <v>-140.38999999999999</v>
      </c>
      <c r="F20" s="2">
        <f>-19.58</f>
        <v>-19.579999999999998</v>
      </c>
      <c r="G20" s="2">
        <f t="shared" ref="G20:G21" si="4">0</f>
        <v>0</v>
      </c>
      <c r="H20" s="2"/>
      <c r="I20" s="2"/>
      <c r="J20" s="2"/>
      <c r="K20" s="2"/>
      <c r="L20" s="2"/>
      <c r="M20" s="2"/>
      <c r="N20" s="2"/>
      <c r="O20" s="2"/>
      <c r="Q20" s="2">
        <f>SUM(OSRRefD11_9x)+IFERROR(SUM(OSRRefE11_9x),0)</f>
        <v>-159.96999999999997</v>
      </c>
    </row>
    <row r="21" spans="1:17" s="9" customFormat="1" hidden="1" outlineLevel="1" x14ac:dyDescent="0.25">
      <c r="A21" s="22"/>
      <c r="B21" s="13" t="str">
        <f>CONCATENATE("          ","4228", " - ","SALES RETURN TAXABLE-ART/TECH")</f>
        <v xml:space="preserve">          4228 - SALES RETURN TAXABLE-ART/TECH</v>
      </c>
      <c r="C21" s="23"/>
      <c r="D21" s="2">
        <f t="shared" si="0"/>
        <v>0</v>
      </c>
      <c r="E21" s="2">
        <f>-164.44</f>
        <v>-164.44</v>
      </c>
      <c r="F21" s="2">
        <f>-57.76</f>
        <v>-57.76</v>
      </c>
      <c r="G21" s="2">
        <f t="shared" si="4"/>
        <v>0</v>
      </c>
      <c r="H21" s="2"/>
      <c r="I21" s="2"/>
      <c r="J21" s="2"/>
      <c r="K21" s="2"/>
      <c r="L21" s="2"/>
      <c r="M21" s="2"/>
      <c r="N21" s="2"/>
      <c r="O21" s="2"/>
      <c r="Q21" s="2">
        <f>SUM(OSRRefD11_10x)+IFERROR(SUM(OSRRefE11_10x),0)</f>
        <v>-222.2</v>
      </c>
    </row>
    <row r="22" spans="1:17" x14ac:dyDescent="0.25">
      <c r="A22" s="5"/>
      <c r="B22" s="8"/>
      <c r="C22" s="5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9" customFormat="1" collapsed="1" x14ac:dyDescent="0.25">
      <c r="A23" s="22"/>
      <c r="B23" s="16" t="s">
        <v>290</v>
      </c>
      <c r="C23" s="23"/>
      <c r="D23" s="3">
        <f>SUM(OSRRefD14x_0)</f>
        <v>38.049999999999997</v>
      </c>
      <c r="E23" s="3">
        <f>SUM(OSRRefD14x_1)</f>
        <v>9005</v>
      </c>
      <c r="F23" s="3">
        <f>SUM(OSRRefD14x_2)</f>
        <v>5140</v>
      </c>
      <c r="G23" s="3">
        <f>SUM(OSRRefD14x_3)</f>
        <v>-4.3769432522822171E-12</v>
      </c>
      <c r="H23" s="3">
        <f>SUM(OSRRefE14x_0)</f>
        <v>0</v>
      </c>
      <c r="I23" s="3">
        <f>SUM(OSRRefE14x_1)</f>
        <v>0</v>
      </c>
      <c r="J23" s="3">
        <f>SUM(OSRRefE14x_2)</f>
        <v>0</v>
      </c>
      <c r="K23" s="3">
        <f>SUM(OSRRefE14x_3)</f>
        <v>0</v>
      </c>
      <c r="L23" s="3">
        <f>SUM(OSRRefE14x_4)</f>
        <v>0</v>
      </c>
      <c r="M23" s="3">
        <f>SUM(OSRRefE14x_5)</f>
        <v>0</v>
      </c>
      <c r="N23" s="3">
        <f>SUM(OSRRefE14x_6)</f>
        <v>0</v>
      </c>
      <c r="O23" s="3">
        <f>SUM(OSRRefE14x_7)</f>
        <v>0</v>
      </c>
      <c r="Q23" s="3">
        <f>SUM(OSRRefG14x)</f>
        <v>14183.049999999994</v>
      </c>
    </row>
    <row r="24" spans="1:17" s="9" customFormat="1" hidden="1" outlineLevel="1" x14ac:dyDescent="0.25">
      <c r="A24" s="22"/>
      <c r="B24" s="13" t="str">
        <f>CONCATENATE("          ","5000", " - ","PURCHASES @ COST")</f>
        <v xml:space="preserve">          5000 - PURCHASES @ COST</v>
      </c>
      <c r="C24" s="23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Q24" s="2">
        <f>SUM(OSRRefD14_0x)+IFERROR(SUM(OSRRefE14_0x),0)</f>
        <v>0</v>
      </c>
    </row>
    <row r="25" spans="1:17" s="9" customFormat="1" hidden="1" outlineLevel="1" x14ac:dyDescent="0.25">
      <c r="A25" s="22"/>
      <c r="B25" s="13" t="str">
        <f>CONCATENATE("          ","5026", " - ","PURCHASES @ COST-WRITING INSTR")</f>
        <v xml:space="preserve">          5026 - PURCHASES @ COST-WRITING INSTR</v>
      </c>
      <c r="C25" s="23"/>
      <c r="D25" s="2"/>
      <c r="E25" s="2"/>
      <c r="F25" s="2"/>
      <c r="G25" s="2">
        <v>370.02</v>
      </c>
      <c r="H25" s="2"/>
      <c r="I25" s="2"/>
      <c r="J25" s="2"/>
      <c r="K25" s="2"/>
      <c r="L25" s="2"/>
      <c r="M25" s="2"/>
      <c r="N25" s="2"/>
      <c r="O25" s="2"/>
      <c r="Q25" s="2">
        <f>SUM(OSRRefD14_1x)+IFERROR(SUM(OSRRefE14_1x),0)</f>
        <v>370.02</v>
      </c>
    </row>
    <row r="26" spans="1:17" s="9" customFormat="1" hidden="1" outlineLevel="1" x14ac:dyDescent="0.25">
      <c r="A26" s="22"/>
      <c r="B26" s="13" t="str">
        <f>CONCATENATE("          ","5027", " - ","PURCHASES @ COST-SCHOOL SUPPLI")</f>
        <v xml:space="preserve">          5027 - PURCHASES @ COST-SCHOOL SUPPLI</v>
      </c>
      <c r="C26" s="23"/>
      <c r="D26" s="2"/>
      <c r="E26" s="2"/>
      <c r="F26" s="2"/>
      <c r="G26" s="2">
        <v>895.47</v>
      </c>
      <c r="H26" s="2"/>
      <c r="I26" s="2"/>
      <c r="J26" s="2"/>
      <c r="K26" s="2"/>
      <c r="L26" s="2"/>
      <c r="M26" s="2"/>
      <c r="N26" s="2"/>
      <c r="O26" s="2"/>
      <c r="Q26" s="2">
        <f>SUM(OSRRefD14_2x)+IFERROR(SUM(OSRRefE14_2x),0)</f>
        <v>895.47</v>
      </c>
    </row>
    <row r="27" spans="1:17" s="9" customFormat="1" hidden="1" outlineLevel="1" x14ac:dyDescent="0.25">
      <c r="A27" s="22"/>
      <c r="B27" s="13" t="str">
        <f>CONCATENATE("          ","5028", " - ","PURCHASES @ COST-ART/TECH")</f>
        <v xml:space="preserve">          5028 - PURCHASES @ COST-ART/TECH</v>
      </c>
      <c r="C27" s="23"/>
      <c r="D27" s="2"/>
      <c r="E27" s="2"/>
      <c r="F27" s="2"/>
      <c r="G27" s="2">
        <v>41425.96</v>
      </c>
      <c r="H27" s="2"/>
      <c r="I27" s="2"/>
      <c r="J27" s="2"/>
      <c r="K27" s="2"/>
      <c r="L27" s="2"/>
      <c r="M27" s="2"/>
      <c r="N27" s="2"/>
      <c r="O27" s="2"/>
      <c r="Q27" s="2">
        <f>SUM(OSRRefD14_3x)+IFERROR(SUM(OSRRefE14_3x),0)</f>
        <v>41425.96</v>
      </c>
    </row>
    <row r="28" spans="1:17" s="9" customFormat="1" hidden="1" outlineLevel="1" x14ac:dyDescent="0.25">
      <c r="A28" s="22"/>
      <c r="B28" s="13" t="str">
        <f>CONCATENATE("          ","5031", " - ","PURCHASES @ COST-FOOD")</f>
        <v xml:space="preserve">          5031 - PURCHASES @ COST-FOOD</v>
      </c>
      <c r="C28" s="23"/>
      <c r="D28" s="2"/>
      <c r="E28" s="2"/>
      <c r="F28" s="2">
        <v>2882.41</v>
      </c>
      <c r="G28" s="2">
        <v>47.26</v>
      </c>
      <c r="H28" s="2"/>
      <c r="I28" s="2"/>
      <c r="J28" s="2"/>
      <c r="K28" s="2"/>
      <c r="L28" s="2"/>
      <c r="M28" s="2"/>
      <c r="N28" s="2"/>
      <c r="O28" s="2"/>
      <c r="Q28" s="2">
        <f>SUM(OSRRefD14_4x)+IFERROR(SUM(OSRRefE14_4x),0)</f>
        <v>2929.67</v>
      </c>
    </row>
    <row r="29" spans="1:17" s="9" customFormat="1" hidden="1" outlineLevel="1" x14ac:dyDescent="0.25">
      <c r="A29" s="22"/>
      <c r="B29" s="13" t="str">
        <f>CONCATENATE("          ","5200", " - ","PURCHASES OFFSET")</f>
        <v xml:space="preserve">          5200 - PURCHASES OFFSET</v>
      </c>
      <c r="C29" s="23"/>
      <c r="D29" s="2"/>
      <c r="E29" s="2"/>
      <c r="F29" s="2">
        <v>-2889.17</v>
      </c>
      <c r="G29" s="2">
        <v>-42974.16</v>
      </c>
      <c r="H29" s="2"/>
      <c r="I29" s="2"/>
      <c r="J29" s="2"/>
      <c r="K29" s="2"/>
      <c r="L29" s="2"/>
      <c r="M29" s="2"/>
      <c r="N29" s="2"/>
      <c r="O29" s="2"/>
      <c r="Q29" s="2">
        <f>SUM(OSRRefD14_5x)+IFERROR(SUM(OSRRefE14_5x),0)</f>
        <v>-45863.33</v>
      </c>
    </row>
    <row r="30" spans="1:17" s="9" customFormat="1" hidden="1" outlineLevel="1" x14ac:dyDescent="0.25">
      <c r="A30" s="22"/>
      <c r="B30" s="13" t="str">
        <f>CONCATENATE("          ","5300", " - ","COG$ OFFSET")</f>
        <v xml:space="preserve">          5300 - COG$ OFFSET</v>
      </c>
      <c r="C30" s="23"/>
      <c r="D30" s="2"/>
      <c r="E30" s="2">
        <v>9005</v>
      </c>
      <c r="F30" s="2">
        <v>5140</v>
      </c>
      <c r="G30" s="2"/>
      <c r="H30" s="2"/>
      <c r="I30" s="2"/>
      <c r="J30" s="2"/>
      <c r="K30" s="2"/>
      <c r="L30" s="2"/>
      <c r="M30" s="2"/>
      <c r="N30" s="2"/>
      <c r="O30" s="2"/>
      <c r="Q30" s="2">
        <f>SUM(OSRRefD14_6x)+IFERROR(SUM(OSRRefE14_6x),0)</f>
        <v>14145</v>
      </c>
    </row>
    <row r="31" spans="1:17" s="9" customFormat="1" hidden="1" outlineLevel="1" x14ac:dyDescent="0.25">
      <c r="A31" s="22"/>
      <c r="B31" s="13" t="str">
        <f>CONCATENATE("          ","5528", " - ","FREIGHT-IN-ART/TECH")</f>
        <v xml:space="preserve">          5528 - FREIGHT-IN-ART/TECH</v>
      </c>
      <c r="C31" s="23"/>
      <c r="D31" s="2">
        <v>38.049999999999997</v>
      </c>
      <c r="E31" s="2"/>
      <c r="F31" s="2">
        <v>6.76</v>
      </c>
      <c r="G31" s="2">
        <v>235.45</v>
      </c>
      <c r="H31" s="2"/>
      <c r="I31" s="2"/>
      <c r="J31" s="2"/>
      <c r="K31" s="2"/>
      <c r="L31" s="2"/>
      <c r="M31" s="2"/>
      <c r="N31" s="2"/>
      <c r="O31" s="2"/>
      <c r="Q31" s="2">
        <f>SUM(OSRRefD14_7x)+IFERROR(SUM(OSRRefE14_7x),0)</f>
        <v>280.26</v>
      </c>
    </row>
    <row r="32" spans="1:17" x14ac:dyDescent="0.25">
      <c r="A32" s="5"/>
      <c r="B32" s="8"/>
      <c r="C32" s="8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4" customFormat="1" x14ac:dyDescent="0.25">
      <c r="A33" s="8"/>
      <c r="B33" s="17" t="s">
        <v>6</v>
      </c>
      <c r="C33" s="17"/>
      <c r="D33" s="6">
        <f t="shared" ref="D33:O33" si="5">IFERROR(+D10-D23, 0)</f>
        <v>-38.049999999999997</v>
      </c>
      <c r="E33" s="6">
        <f t="shared" si="5"/>
        <v>3392.9400000000005</v>
      </c>
      <c r="F33" s="6">
        <f t="shared" si="5"/>
        <v>3756.08</v>
      </c>
      <c r="G33" s="6">
        <f t="shared" si="5"/>
        <v>17.900000000004376</v>
      </c>
      <c r="H33" s="6">
        <f t="shared" si="5"/>
        <v>0</v>
      </c>
      <c r="I33" s="6">
        <f t="shared" si="5"/>
        <v>0</v>
      </c>
      <c r="J33" s="6">
        <f t="shared" si="5"/>
        <v>0</v>
      </c>
      <c r="K33" s="6">
        <f t="shared" si="5"/>
        <v>0</v>
      </c>
      <c r="L33" s="6">
        <f t="shared" si="5"/>
        <v>0</v>
      </c>
      <c r="M33" s="6">
        <f t="shared" si="5"/>
        <v>0</v>
      </c>
      <c r="N33" s="6">
        <f t="shared" si="5"/>
        <v>0</v>
      </c>
      <c r="O33" s="6">
        <f t="shared" si="5"/>
        <v>0</v>
      </c>
      <c r="Q33" s="6">
        <f>IFERROR(+Q10-Q23, 0)</f>
        <v>7128.8700000000044</v>
      </c>
    </row>
    <row r="34" spans="1:17" s="8" customFormat="1" x14ac:dyDescent="0.25">
      <c r="B34" s="16"/>
      <c r="C34" s="16"/>
      <c r="D34" s="4">
        <f t="shared" ref="D34:O34" si="6">IFERROR(D33/D10, 0)</f>
        <v>0</v>
      </c>
      <c r="E34" s="4">
        <f t="shared" si="6"/>
        <v>0.27366965802383303</v>
      </c>
      <c r="F34" s="4">
        <f t="shared" si="6"/>
        <v>0.42221742610228324</v>
      </c>
      <c r="G34" s="4">
        <f t="shared" si="6"/>
        <v>1.0000000000002445</v>
      </c>
      <c r="H34" s="4">
        <f t="shared" si="6"/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 t="shared" si="6"/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18"/>
      <c r="Q34" s="4">
        <f>IFERROR(Q33/Q10, 0)</f>
        <v>0.33450153716793257</v>
      </c>
    </row>
    <row r="35" spans="1:17" x14ac:dyDescent="0.25">
      <c r="A35" s="5"/>
      <c r="B35" s="8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Q35" s="1"/>
    </row>
    <row r="36" spans="1:17" s="14" customFormat="1" x14ac:dyDescent="0.25">
      <c r="A36" s="8"/>
      <c r="B36" s="16" t="s">
        <v>291</v>
      </c>
      <c r="C36" s="8"/>
      <c r="D36" s="10">
        <f>SUM(OSRRefD20x_0)</f>
        <v>1103.3499999999999</v>
      </c>
      <c r="E36" s="10">
        <f>SUM(OSRRefD20x_1)</f>
        <v>5481.72</v>
      </c>
      <c r="F36" s="10">
        <f>SUM(OSRRefD20x_2)</f>
        <v>3608.6000000000004</v>
      </c>
      <c r="G36" s="10">
        <f>SUM(OSRRefD20x_3)</f>
        <v>1424.39</v>
      </c>
      <c r="H36" s="10">
        <f>SUM(OSRRefE20x_0)</f>
        <v>0</v>
      </c>
      <c r="I36" s="10">
        <f>SUM(OSRRefE20x_1)</f>
        <v>0</v>
      </c>
      <c r="J36" s="10">
        <f>SUM(OSRRefE20x_2)</f>
        <v>0</v>
      </c>
      <c r="K36" s="10">
        <f>SUM(OSRRefE20x_3)</f>
        <v>0</v>
      </c>
      <c r="L36" s="10">
        <f>SUM(OSRRefE20x_4)</f>
        <v>0</v>
      </c>
      <c r="M36" s="10">
        <f>SUM(OSRRefE20x_5)</f>
        <v>0</v>
      </c>
      <c r="N36" s="10">
        <f>SUM(OSRRefE20x_6)</f>
        <v>0</v>
      </c>
      <c r="O36" s="10">
        <f>SUM(OSRRefE20x_7)</f>
        <v>0</v>
      </c>
      <c r="Q36" s="10">
        <f>SUM(OSRRefG20x)</f>
        <v>11618.059999999998</v>
      </c>
    </row>
    <row r="37" spans="1:17" s="34" customFormat="1" collapsed="1" x14ac:dyDescent="0.25">
      <c r="A37" s="35"/>
      <c r="B37" s="15" t="str">
        <f>CONCATENATE("     ","*Benefits                                         ")</f>
        <v xml:space="preserve">     *Benefits                                         </v>
      </c>
      <c r="C37" s="15"/>
      <c r="D37" s="1">
        <f>SUM(OSRRefD21_0x_0)</f>
        <v>0</v>
      </c>
      <c r="E37" s="1">
        <f>SUM(OSRRefD21_0x_1)</f>
        <v>313.34000000000003</v>
      </c>
      <c r="F37" s="1">
        <f>SUM(OSRRefD21_0x_2)</f>
        <v>248.82999999999998</v>
      </c>
      <c r="G37" s="1">
        <f>SUM(OSRRefD21_0x_3)</f>
        <v>214.64</v>
      </c>
      <c r="H37" s="1">
        <f>SUM(OSRRefE21_0x_0)</f>
        <v>0</v>
      </c>
      <c r="I37" s="1">
        <f>SUM(OSRRefE21_0x_1)</f>
        <v>0</v>
      </c>
      <c r="J37" s="1">
        <f>SUM(OSRRefE21_0x_2)</f>
        <v>0</v>
      </c>
      <c r="K37" s="1">
        <f>SUM(OSRRefE21_0x_3)</f>
        <v>0</v>
      </c>
      <c r="L37" s="1">
        <f>SUM(OSRRefE21_0x_4)</f>
        <v>0</v>
      </c>
      <c r="M37" s="1">
        <f>SUM(OSRRefE21_0x_5)</f>
        <v>0</v>
      </c>
      <c r="N37" s="1">
        <f>SUM(OSRRefE21_0x_6)</f>
        <v>0</v>
      </c>
      <c r="O37" s="1">
        <f>SUM(OSRRefE21_0x_7)</f>
        <v>0</v>
      </c>
      <c r="Q37" s="2">
        <f>SUM(OSRRefD20_0x)+IFERROR(SUM(OSRRefE20_0x),0)</f>
        <v>776.81000000000006</v>
      </c>
    </row>
    <row r="38" spans="1:17" s="34" customFormat="1" hidden="1" outlineLevel="1" x14ac:dyDescent="0.25">
      <c r="A38" s="35"/>
      <c r="B38" s="13" t="str">
        <f>CONCATENATE("          ","6111", " - ","F.I.C.A.")</f>
        <v xml:space="preserve">          6111 - F.I.C.A.</v>
      </c>
      <c r="C38" s="15"/>
      <c r="D38" s="2"/>
      <c r="E38" s="2">
        <v>257.36</v>
      </c>
      <c r="F38" s="2">
        <v>149.04</v>
      </c>
      <c r="G38" s="2">
        <v>76.819999999999993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SUM(OSRRefD21_0_0x)+IFERROR(SUM(OSRRefE21_0_0x),0)</f>
        <v>483.21999999999997</v>
      </c>
    </row>
    <row r="39" spans="1:17" s="34" customFormat="1" hidden="1" outlineLevel="1" x14ac:dyDescent="0.25">
      <c r="A39" s="35"/>
      <c r="B39" s="13" t="str">
        <f>CONCATENATE("          ","6112", " - ","COMPENSATION INSURANCE")</f>
        <v xml:space="preserve">          6112 - COMPENSATION INSURANCE</v>
      </c>
      <c r="C39" s="15"/>
      <c r="D39" s="2"/>
      <c r="E39" s="2">
        <v>47.24</v>
      </c>
      <c r="F39" s="2">
        <v>87.49</v>
      </c>
      <c r="G39" s="2">
        <v>120.84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SUM(OSRRefD21_0_1x)+IFERROR(SUM(OSRRefE21_0_1x),0)</f>
        <v>255.57</v>
      </c>
    </row>
    <row r="40" spans="1:17" s="34" customFormat="1" hidden="1" outlineLevel="1" x14ac:dyDescent="0.25">
      <c r="A40" s="35"/>
      <c r="B40" s="13" t="str">
        <f>CONCATENATE("          ","6113", " - ","GROUP INSURANCE")</f>
        <v xml:space="preserve">          6113 - GROUP INSURANCE</v>
      </c>
      <c r="C40" s="15"/>
      <c r="D40" s="2"/>
      <c r="E40" s="2"/>
      <c r="F40" s="2"/>
      <c r="G40" s="2"/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SUM(OSRRefD21_0_2x)+IFERROR(SUM(OSRRefE21_0_2x),0)</f>
        <v>0</v>
      </c>
    </row>
    <row r="41" spans="1:17" s="34" customFormat="1" hidden="1" outlineLevel="1" x14ac:dyDescent="0.25">
      <c r="A41" s="35"/>
      <c r="B41" s="13" t="str">
        <f>CONCATENATE("          ","6114", " - ","STATE UNEMPLOYMENT INSURANCE")</f>
        <v xml:space="preserve">          6114 - STATE UNEMPLOYMENT INSURANCE</v>
      </c>
      <c r="C41" s="15"/>
      <c r="D41" s="2"/>
      <c r="E41" s="2">
        <v>8.74</v>
      </c>
      <c r="F41" s="2">
        <v>12.3</v>
      </c>
      <c r="G41" s="2">
        <v>16.98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SUM(OSRRefD21_0_3x)+IFERROR(SUM(OSRRefE21_0_3x),0)</f>
        <v>38.019999999999996</v>
      </c>
    </row>
    <row r="42" spans="1:17" s="34" customFormat="1" hidden="1" outlineLevel="1" x14ac:dyDescent="0.25">
      <c r="A42" s="35"/>
      <c r="B42" s="13" t="str">
        <f>CONCATENATE("          ","6115", " - ","P.E.R.S.")</f>
        <v xml:space="preserve">          6115 - P.E.R.S.</v>
      </c>
      <c r="C42" s="15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SUM(OSRRefD21_0_4x)+IFERROR(SUM(OSRRefE21_0_4x),0)</f>
        <v>0</v>
      </c>
    </row>
    <row r="43" spans="1:17" s="34" customFormat="1" hidden="1" outlineLevel="1" x14ac:dyDescent="0.25">
      <c r="A43" s="35"/>
      <c r="B43" s="13" t="str">
        <f>CONCATENATE("          ","6116", " - ","EDUCATIONAL BENEFITS")</f>
        <v xml:space="preserve">          6116 - EDUCATIONAL BENEFITS</v>
      </c>
      <c r="C43" s="15"/>
      <c r="D43" s="2"/>
      <c r="E43" s="2"/>
      <c r="F43" s="2"/>
      <c r="G43" s="2"/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SUM(OSRRefD21_0_5x)+IFERROR(SUM(OSRRefE21_0_5x),0)</f>
        <v>0</v>
      </c>
    </row>
    <row r="44" spans="1:17" s="34" customFormat="1" hidden="1" outlineLevel="1" x14ac:dyDescent="0.25">
      <c r="A44" s="35"/>
      <c r="B44" s="13" t="str">
        <f>CONCATENATE("          ","6118", " - ","VACATION")</f>
        <v xml:space="preserve">          6118 - VACATION</v>
      </c>
      <c r="C44" s="15"/>
      <c r="D44" s="2"/>
      <c r="E44" s="2"/>
      <c r="F44" s="2"/>
      <c r="G44" s="2"/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SUM(OSRRefD21_0_6x)+IFERROR(SUM(OSRRefE21_0_6x),0)</f>
        <v>0</v>
      </c>
    </row>
    <row r="45" spans="1:17" s="34" customFormat="1" hidden="1" outlineLevel="1" x14ac:dyDescent="0.25">
      <c r="A45" s="35"/>
      <c r="B45" s="13" t="str">
        <f>CONCATENATE("          ","6119", " - ","SICK LEAVE")</f>
        <v xml:space="preserve">          6119 - SICK LEAVE</v>
      </c>
      <c r="C45" s="15"/>
      <c r="D45" s="2"/>
      <c r="E45" s="2"/>
      <c r="F45" s="2"/>
      <c r="G45" s="2"/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SUM(OSRRefD21_0_7x)+IFERROR(SUM(OSRRefE21_0_7x),0)</f>
        <v>0</v>
      </c>
    </row>
    <row r="46" spans="1:17" s="34" customFormat="1" collapsed="1" x14ac:dyDescent="0.25">
      <c r="A46" s="35"/>
      <c r="B46" s="15" t="str">
        <f>CONCATENATE("     ","*Payroll                                          ")</f>
        <v xml:space="preserve">     *Payroll                                          </v>
      </c>
      <c r="C46" s="15"/>
      <c r="D46" s="1">
        <f>SUM(OSRRefD21_1x_0)</f>
        <v>0</v>
      </c>
      <c r="E46" s="1">
        <f>SUM(OSRRefD21_1x_1)</f>
        <v>4507.12</v>
      </c>
      <c r="F46" s="1">
        <f>SUM(OSRRefD21_1x_2)</f>
        <v>2735.85</v>
      </c>
      <c r="G46" s="1">
        <f>SUM(OSRRefD21_1x_3)</f>
        <v>891.38</v>
      </c>
      <c r="H46" s="1">
        <f>SUM(OSRRefE21_1x_0)</f>
        <v>0</v>
      </c>
      <c r="I46" s="1">
        <f>SUM(OSRRefE21_1x_1)</f>
        <v>0</v>
      </c>
      <c r="J46" s="1">
        <f>SUM(OSRRefE21_1x_2)</f>
        <v>0</v>
      </c>
      <c r="K46" s="1">
        <f>SUM(OSRRefE21_1x_3)</f>
        <v>0</v>
      </c>
      <c r="L46" s="1">
        <f>SUM(OSRRefE21_1x_4)</f>
        <v>0</v>
      </c>
      <c r="M46" s="1">
        <f>SUM(OSRRefE21_1x_5)</f>
        <v>0</v>
      </c>
      <c r="N46" s="1">
        <f>SUM(OSRRefE21_1x_6)</f>
        <v>0</v>
      </c>
      <c r="O46" s="1">
        <f>SUM(OSRRefE21_1x_7)</f>
        <v>0</v>
      </c>
      <c r="Q46" s="2">
        <f>SUM(OSRRefD20_1x)+IFERROR(SUM(OSRRefE20_1x),0)</f>
        <v>8134.3499999999995</v>
      </c>
    </row>
    <row r="47" spans="1:17" s="34" customFormat="1" hidden="1" outlineLevel="1" x14ac:dyDescent="0.25">
      <c r="A47" s="35"/>
      <c r="B47" s="13" t="str">
        <f>CONCATENATE("          ","6001", " - ","ADMINISTRATIVE SALARIES")</f>
        <v xml:space="preserve">          6001 - ADMINISTRATIVE SALARIES</v>
      </c>
      <c r="C47" s="15"/>
      <c r="D47" s="2"/>
      <c r="E47" s="2"/>
      <c r="F47" s="2"/>
      <c r="G47" s="2"/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SUM(OSRRefD21_1_0x)+IFERROR(SUM(OSRRefE21_1_0x),0)</f>
        <v>0</v>
      </c>
    </row>
    <row r="48" spans="1:17" s="34" customFormat="1" hidden="1" outlineLevel="1" x14ac:dyDescent="0.25">
      <c r="A48" s="35"/>
      <c r="B48" s="13" t="str">
        <f>CONCATENATE("          ","6002", " - ","STAFF SALARIES")</f>
        <v xml:space="preserve">          6002 - STAFF SALARIES</v>
      </c>
      <c r="C48" s="15"/>
      <c r="D48" s="2"/>
      <c r="E48" s="2"/>
      <c r="F48" s="2"/>
      <c r="G48" s="2"/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SUM(OSRRefD21_1_1x)+IFERROR(SUM(OSRRefE21_1_1x),0)</f>
        <v>0</v>
      </c>
    </row>
    <row r="49" spans="1:17" s="34" customFormat="1" hidden="1" outlineLevel="1" x14ac:dyDescent="0.25">
      <c r="A49" s="35"/>
      <c r="B49" s="13" t="str">
        <f>CONCATENATE("          ","6003", " - ","STAFF HOURLY-9 MONTH")</f>
        <v xml:space="preserve">          6003 - STAFF HOURLY-9 MONTH</v>
      </c>
      <c r="C49" s="15"/>
      <c r="D49" s="2"/>
      <c r="E49" s="2"/>
      <c r="F49" s="2"/>
      <c r="G49" s="2"/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SUM(OSRRefD21_1_2x)+IFERROR(SUM(OSRRefE21_1_2x),0)</f>
        <v>0</v>
      </c>
    </row>
    <row r="50" spans="1:17" s="34" customFormat="1" hidden="1" outlineLevel="1" x14ac:dyDescent="0.25">
      <c r="A50" s="35"/>
      <c r="B50" s="13" t="str">
        <f>CONCATENATE("          ","6004", " - ","STAFF HOURLY")</f>
        <v xml:space="preserve">          6004 - STAFF HOURLY</v>
      </c>
      <c r="C50" s="15"/>
      <c r="D50" s="2"/>
      <c r="E50" s="2"/>
      <c r="F50" s="2"/>
      <c r="G50" s="2"/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SUM(OSRRefD21_1_3x)+IFERROR(SUM(OSRRefE21_1_3x),0)</f>
        <v>0</v>
      </c>
    </row>
    <row r="51" spans="1:17" s="34" customFormat="1" hidden="1" outlineLevel="1" x14ac:dyDescent="0.25">
      <c r="A51" s="35"/>
      <c r="B51" s="13" t="str">
        <f>CONCATENATE("          ","6005", " - ","TEMPORARY WAGES-HOURLY")</f>
        <v xml:space="preserve">          6005 - TEMPORARY WAGES-HOURLY</v>
      </c>
      <c r="C51" s="15"/>
      <c r="D51" s="2"/>
      <c r="E51" s="2">
        <v>2408.23</v>
      </c>
      <c r="F51" s="2">
        <v>1948.22</v>
      </c>
      <c r="G51" s="2">
        <v>1004.55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SUM(OSRRefD21_1_4x)+IFERROR(SUM(OSRRefE21_1_4x),0)</f>
        <v>5361</v>
      </c>
    </row>
    <row r="52" spans="1:17" s="34" customFormat="1" hidden="1" outlineLevel="1" x14ac:dyDescent="0.25">
      <c r="A52" s="35"/>
      <c r="B52" s="13" t="str">
        <f>CONCATENATE("          ","6006", " - ","TEMPORARY PART TIME")</f>
        <v xml:space="preserve">          6006 - TEMPORARY PART TIME</v>
      </c>
      <c r="C52" s="15"/>
      <c r="D52" s="2"/>
      <c r="E52" s="2"/>
      <c r="F52" s="2"/>
      <c r="G52" s="2"/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SUM(OSRRefD21_1_5x)+IFERROR(SUM(OSRRefE21_1_5x),0)</f>
        <v>0</v>
      </c>
    </row>
    <row r="53" spans="1:17" s="34" customFormat="1" hidden="1" outlineLevel="1" x14ac:dyDescent="0.25">
      <c r="A53" s="35"/>
      <c r="B53" s="13" t="str">
        <f>CONCATENATE("          ","6007", " - ","STUDENT HOURLY")</f>
        <v xml:space="preserve">          6007 - STUDENT HOURLY</v>
      </c>
      <c r="C53" s="15"/>
      <c r="D53" s="2"/>
      <c r="E53" s="2">
        <v>2098.89</v>
      </c>
      <c r="F53" s="2">
        <v>787.63</v>
      </c>
      <c r="G53" s="2">
        <v>-113.17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SUM(OSRRefD21_1_6x)+IFERROR(SUM(OSRRefE21_1_6x),0)</f>
        <v>2773.35</v>
      </c>
    </row>
    <row r="54" spans="1:17" s="34" customFormat="1" hidden="1" outlineLevel="1" x14ac:dyDescent="0.25">
      <c r="A54" s="35"/>
      <c r="B54" s="13" t="str">
        <f>CONCATENATE("          ","6008", " - ","STUDENT HOURLY-FICA EXEMPT")</f>
        <v xml:space="preserve">          6008 - STUDENT HOURLY-FICA EXEMPT</v>
      </c>
      <c r="C54" s="15"/>
      <c r="D54" s="2"/>
      <c r="E54" s="2"/>
      <c r="F54" s="2"/>
      <c r="G54" s="2"/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SUM(OSRRefD21_1_7x)+IFERROR(SUM(OSRRefE21_1_7x),0)</f>
        <v>0</v>
      </c>
    </row>
    <row r="55" spans="1:17" s="34" customFormat="1" hidden="1" outlineLevel="1" x14ac:dyDescent="0.25">
      <c r="A55" s="35"/>
      <c r="B55" s="13" t="str">
        <f>CONCATENATE("          ","6009", " - ","TEMPORARY-SEASONAL")</f>
        <v xml:space="preserve">          6009 - TEMPORARY-SEASONAL</v>
      </c>
      <c r="C55" s="15"/>
      <c r="D55" s="2"/>
      <c r="E55" s="2"/>
      <c r="F55" s="2"/>
      <c r="G55" s="2"/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SUM(OSRRefD21_1_8x)+IFERROR(SUM(OSRRefE21_1_8x),0)</f>
        <v>0</v>
      </c>
    </row>
    <row r="56" spans="1:17" s="34" customFormat="1" hidden="1" outlineLevel="1" x14ac:dyDescent="0.25">
      <c r="A56" s="35"/>
      <c r="B56" s="13" t="str">
        <f>CONCATENATE("          ","6010", " - ","GRATUITY")</f>
        <v xml:space="preserve">          6010 - GRATUITY</v>
      </c>
      <c r="C56" s="15"/>
      <c r="D56" s="2"/>
      <c r="E56" s="2"/>
      <c r="F56" s="2"/>
      <c r="G56" s="2"/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9"/>
      <c r="Q56" s="2">
        <f>SUM(OSRRefD21_1_9x)+IFERROR(SUM(OSRRefE21_1_9x),0)</f>
        <v>0</v>
      </c>
    </row>
    <row r="57" spans="1:17" s="34" customFormat="1" collapsed="1" x14ac:dyDescent="0.25">
      <c r="A57" s="35"/>
      <c r="B57" s="15" t="str">
        <f>CONCATENATE("     ","Advertising/Promo                                 ")</f>
        <v xml:space="preserve">     Advertising/Promo                                 </v>
      </c>
      <c r="C57" s="15"/>
      <c r="D57" s="1">
        <f>SUM(OSRRefD21_2x_0)</f>
        <v>0</v>
      </c>
      <c r="E57" s="1">
        <f>SUM(OSRRefD21_2x_1)</f>
        <v>0</v>
      </c>
      <c r="F57" s="1">
        <f>SUM(OSRRefD21_2x_2)</f>
        <v>0</v>
      </c>
      <c r="G57" s="1">
        <f>SUM(OSRRefD21_2x_3)</f>
        <v>124.72</v>
      </c>
      <c r="H57" s="1">
        <f>SUM(OSRRefE21_2x_0)</f>
        <v>0</v>
      </c>
      <c r="I57" s="1">
        <f>SUM(OSRRefE21_2x_1)</f>
        <v>0</v>
      </c>
      <c r="J57" s="1">
        <f>SUM(OSRRefE21_2x_2)</f>
        <v>0</v>
      </c>
      <c r="K57" s="1">
        <f>SUM(OSRRefE21_2x_3)</f>
        <v>0</v>
      </c>
      <c r="L57" s="1">
        <f>SUM(OSRRefE21_2x_4)</f>
        <v>0</v>
      </c>
      <c r="M57" s="1">
        <f>SUM(OSRRefE21_2x_5)</f>
        <v>0</v>
      </c>
      <c r="N57" s="1">
        <f>SUM(OSRRefE21_2x_6)</f>
        <v>0</v>
      </c>
      <c r="O57" s="1">
        <f>SUM(OSRRefE21_2x_7)</f>
        <v>0</v>
      </c>
      <c r="Q57" s="2">
        <f>SUM(OSRRefD20_2x)+IFERROR(SUM(OSRRefE20_2x),0)</f>
        <v>124.72</v>
      </c>
    </row>
    <row r="58" spans="1:17" s="34" customFormat="1" hidden="1" outlineLevel="1" x14ac:dyDescent="0.25">
      <c r="A58" s="35"/>
      <c r="B58" s="13" t="str">
        <f>CONCATENATE("          ","6362", " - ","ADVERTISING EXPENSE")</f>
        <v xml:space="preserve">          6362 - ADVERTISING EXPENSE</v>
      </c>
      <c r="C58" s="15"/>
      <c r="D58" s="2"/>
      <c r="E58" s="2"/>
      <c r="F58" s="2"/>
      <c r="G58" s="2">
        <v>124.72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SUM(OSRRefD21_2_0x)+IFERROR(SUM(OSRRefE21_2_0x),0)</f>
        <v>124.72</v>
      </c>
    </row>
    <row r="59" spans="1:17" s="34" customFormat="1" collapsed="1" x14ac:dyDescent="0.25">
      <c r="A59" s="35"/>
      <c r="B59" s="15" t="str">
        <f>CONCATENATE("     ","Bad Debts/Over/Short                              ")</f>
        <v xml:space="preserve">     Bad Debts/Over/Short                              </v>
      </c>
      <c r="C59" s="15"/>
      <c r="D59" s="1">
        <f>SUM(OSRRefD21_3x_0)</f>
        <v>0</v>
      </c>
      <c r="E59" s="1">
        <f>SUM(OSRRefD21_3x_1)</f>
        <v>0.3</v>
      </c>
      <c r="F59" s="1">
        <f>SUM(OSRRefD21_3x_2)</f>
        <v>0.8</v>
      </c>
      <c r="G59" s="1">
        <f>SUM(OSRRefD21_3x_3)</f>
        <v>0</v>
      </c>
      <c r="H59" s="1">
        <f>SUM(OSRRefE21_3x_0)</f>
        <v>0</v>
      </c>
      <c r="I59" s="1">
        <f>SUM(OSRRefE21_3x_1)</f>
        <v>0</v>
      </c>
      <c r="J59" s="1">
        <f>SUM(OSRRefE21_3x_2)</f>
        <v>0</v>
      </c>
      <c r="K59" s="1">
        <f>SUM(OSRRefE21_3x_3)</f>
        <v>0</v>
      </c>
      <c r="L59" s="1">
        <f>SUM(OSRRefE21_3x_4)</f>
        <v>0</v>
      </c>
      <c r="M59" s="1">
        <f>SUM(OSRRefE21_3x_5)</f>
        <v>0</v>
      </c>
      <c r="N59" s="1">
        <f>SUM(OSRRefE21_3x_6)</f>
        <v>0</v>
      </c>
      <c r="O59" s="1">
        <f>SUM(OSRRefE21_3x_7)</f>
        <v>0</v>
      </c>
      <c r="Q59" s="2">
        <f>SUM(OSRRefD20_3x)+IFERROR(SUM(OSRRefE20_3x),0)</f>
        <v>1.1000000000000001</v>
      </c>
    </row>
    <row r="60" spans="1:17" s="34" customFormat="1" hidden="1" outlineLevel="1" x14ac:dyDescent="0.25">
      <c r="A60" s="35"/>
      <c r="B60" s="13" t="str">
        <f>CONCATENATE("          ","6272", " - ","CASH (OVER/SHORT)")</f>
        <v xml:space="preserve">          6272 - CASH (OVER/SHORT)</v>
      </c>
      <c r="C60" s="15"/>
      <c r="D60" s="2"/>
      <c r="E60" s="2">
        <v>0.3</v>
      </c>
      <c r="F60" s="2">
        <v>0.8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SUM(OSRRefD21_3_0x)+IFERROR(SUM(OSRRefE21_3_0x),0)</f>
        <v>1.1000000000000001</v>
      </c>
    </row>
    <row r="61" spans="1:17" s="34" customFormat="1" collapsed="1" x14ac:dyDescent="0.25">
      <c r="A61" s="35"/>
      <c r="B61" s="15" t="str">
        <f>CONCATENATE("     ","Bank/card Fees                                    ")</f>
        <v xml:space="preserve">     Bank/card Fees                                    </v>
      </c>
      <c r="C61" s="15"/>
      <c r="D61" s="1">
        <f>SUM(OSRRefD21_4x_0)</f>
        <v>0</v>
      </c>
      <c r="E61" s="1">
        <f>SUM(OSRRefD21_4x_1)</f>
        <v>0</v>
      </c>
      <c r="F61" s="1">
        <f>SUM(OSRRefD21_4x_2)</f>
        <v>0</v>
      </c>
      <c r="G61" s="1">
        <f>SUM(OSRRefD21_4x_3)</f>
        <v>0</v>
      </c>
      <c r="H61" s="1">
        <f>SUM(OSRRefE21_4x_0)</f>
        <v>0</v>
      </c>
      <c r="I61" s="1">
        <f>SUM(OSRRefE21_4x_1)</f>
        <v>0</v>
      </c>
      <c r="J61" s="1">
        <f>SUM(OSRRefE21_4x_2)</f>
        <v>0</v>
      </c>
      <c r="K61" s="1">
        <f>SUM(OSRRefE21_4x_3)</f>
        <v>0</v>
      </c>
      <c r="L61" s="1">
        <f>SUM(OSRRefE21_4x_4)</f>
        <v>0</v>
      </c>
      <c r="M61" s="1">
        <f>SUM(OSRRefE21_4x_5)</f>
        <v>0</v>
      </c>
      <c r="N61" s="1">
        <f>SUM(OSRRefE21_4x_6)</f>
        <v>0</v>
      </c>
      <c r="O61" s="1">
        <f>SUM(OSRRefE21_4x_7)</f>
        <v>0</v>
      </c>
      <c r="Q61" s="2">
        <f>SUM(OSRRefD20_4x)+IFERROR(SUM(OSRRefE20_4x),0)</f>
        <v>0</v>
      </c>
    </row>
    <row r="62" spans="1:17" s="34" customFormat="1" hidden="1" outlineLevel="1" x14ac:dyDescent="0.25">
      <c r="A62" s="35"/>
      <c r="B62" s="13" t="str">
        <f>CONCATENATE("          ","6381", " - ","BANK/CREDIT CARD FEES")</f>
        <v xml:space="preserve">          6381 - BANK/CREDIT CARD FEES</v>
      </c>
      <c r="C62" s="15"/>
      <c r="D62" s="2"/>
      <c r="E62" s="2"/>
      <c r="F62" s="2"/>
      <c r="G62" s="2"/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SUM(OSRRefD21_4_0x)+IFERROR(SUM(OSRRefE21_4_0x),0)</f>
        <v>0</v>
      </c>
    </row>
    <row r="63" spans="1:17" s="34" customFormat="1" collapsed="1" x14ac:dyDescent="0.25">
      <c r="A63" s="35"/>
      <c r="B63" s="15" t="str">
        <f>CONCATENATE("     ","Discounts and Markdowns                           ")</f>
        <v xml:space="preserve">     Discounts and Markdowns                           </v>
      </c>
      <c r="C63" s="15"/>
      <c r="D63" s="1">
        <f>SUM(OSRRefD21_5x_0)</f>
        <v>0</v>
      </c>
      <c r="E63" s="1">
        <f>SUM(OSRRefD21_5x_1)</f>
        <v>0</v>
      </c>
      <c r="F63" s="1">
        <f>SUM(OSRRefD21_5x_2)</f>
        <v>0</v>
      </c>
      <c r="G63" s="1">
        <f>SUM(OSRRefD21_5x_3)</f>
        <v>-418.85</v>
      </c>
      <c r="H63" s="1">
        <f>SUM(OSRRefE21_5x_0)</f>
        <v>0</v>
      </c>
      <c r="I63" s="1">
        <f>SUM(OSRRefE21_5x_1)</f>
        <v>0</v>
      </c>
      <c r="J63" s="1">
        <f>SUM(OSRRefE21_5x_2)</f>
        <v>0</v>
      </c>
      <c r="K63" s="1">
        <f>SUM(OSRRefE21_5x_3)</f>
        <v>0</v>
      </c>
      <c r="L63" s="1">
        <f>SUM(OSRRefE21_5x_4)</f>
        <v>0</v>
      </c>
      <c r="M63" s="1">
        <f>SUM(OSRRefE21_5x_5)</f>
        <v>0</v>
      </c>
      <c r="N63" s="1">
        <f>SUM(OSRRefE21_5x_6)</f>
        <v>0</v>
      </c>
      <c r="O63" s="1">
        <f>SUM(OSRRefE21_5x_7)</f>
        <v>0</v>
      </c>
      <c r="Q63" s="2">
        <f>SUM(OSRRefD20_5x)+IFERROR(SUM(OSRRefE20_5x),0)</f>
        <v>-418.85</v>
      </c>
    </row>
    <row r="64" spans="1:17" s="34" customFormat="1" hidden="1" outlineLevel="1" x14ac:dyDescent="0.25">
      <c r="A64" s="35"/>
      <c r="B64" s="13" t="str">
        <f>CONCATENATE("          ","6382", " - ","DISCOUNTS/MARK DOWNS")</f>
        <v xml:space="preserve">          6382 - DISCOUNTS/MARK DOWNS</v>
      </c>
      <c r="C64" s="15"/>
      <c r="D64" s="2"/>
      <c r="E64" s="2"/>
      <c r="F64" s="2"/>
      <c r="G64" s="2"/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SUM(OSRRefD21_5_0x)+IFERROR(SUM(OSRRefE21_5_0x),0)</f>
        <v>0</v>
      </c>
    </row>
    <row r="65" spans="1:17" s="34" customFormat="1" hidden="1" outlineLevel="1" x14ac:dyDescent="0.25">
      <c r="A65" s="35"/>
      <c r="B65" s="13" t="str">
        <f>CONCATENATE("          ","9175", " - ","EARNED DISCOUNTS")</f>
        <v xml:space="preserve">          9175 - EARNED DISCOUNTS</v>
      </c>
      <c r="C65" s="15"/>
      <c r="D65" s="2"/>
      <c r="E65" s="2"/>
      <c r="F65" s="2"/>
      <c r="G65" s="2">
        <v>-418.85</v>
      </c>
      <c r="H65" s="2"/>
      <c r="I65" s="2"/>
      <c r="J65" s="2"/>
      <c r="K65" s="2"/>
      <c r="L65" s="2"/>
      <c r="M65" s="2"/>
      <c r="N65" s="2"/>
      <c r="O65" s="2"/>
      <c r="P65" s="9"/>
      <c r="Q65" s="2">
        <f>SUM(OSRRefD21_5_1x)+IFERROR(SUM(OSRRefE21_5_1x),0)</f>
        <v>-418.85</v>
      </c>
    </row>
    <row r="66" spans="1:17" s="34" customFormat="1" collapsed="1" x14ac:dyDescent="0.25">
      <c r="A66" s="35"/>
      <c r="B66" s="15" t="str">
        <f>CONCATENATE("     ","Freight out/Postage                               ")</f>
        <v xml:space="preserve">     Freight out/Postage                               </v>
      </c>
      <c r="C66" s="15"/>
      <c r="D66" s="1">
        <f>SUM(OSRRefD21_6x_0)</f>
        <v>0</v>
      </c>
      <c r="E66" s="1">
        <f>SUM(OSRRefD21_6x_1)</f>
        <v>0</v>
      </c>
      <c r="F66" s="1">
        <f>SUM(OSRRefD21_6x_2)</f>
        <v>0</v>
      </c>
      <c r="G66" s="1">
        <f>SUM(OSRRefD21_6x_3)</f>
        <v>0</v>
      </c>
      <c r="H66" s="1">
        <f>SUM(OSRRefE21_6x_0)</f>
        <v>0</v>
      </c>
      <c r="I66" s="1">
        <f>SUM(OSRRefE21_6x_1)</f>
        <v>0</v>
      </c>
      <c r="J66" s="1">
        <f>SUM(OSRRefE21_6x_2)</f>
        <v>0</v>
      </c>
      <c r="K66" s="1">
        <f>SUM(OSRRefE21_6x_3)</f>
        <v>0</v>
      </c>
      <c r="L66" s="1">
        <f>SUM(OSRRefE21_6x_4)</f>
        <v>0</v>
      </c>
      <c r="M66" s="1">
        <f>SUM(OSRRefE21_6x_5)</f>
        <v>0</v>
      </c>
      <c r="N66" s="1">
        <f>SUM(OSRRefE21_6x_6)</f>
        <v>0</v>
      </c>
      <c r="O66" s="1">
        <f>SUM(OSRRefE21_6x_7)</f>
        <v>0</v>
      </c>
      <c r="Q66" s="2">
        <f>SUM(OSRRefD20_6x)+IFERROR(SUM(OSRRefE20_6x),0)</f>
        <v>0</v>
      </c>
    </row>
    <row r="67" spans="1:17" s="34" customFormat="1" hidden="1" outlineLevel="1" x14ac:dyDescent="0.25">
      <c r="A67" s="35"/>
      <c r="B67" s="13" t="str">
        <f>CONCATENATE("          ","6305", " - ","FREIGHT OUT")</f>
        <v xml:space="preserve">          6305 - FREIGHT OUT</v>
      </c>
      <c r="C67" s="15"/>
      <c r="D67" s="2"/>
      <c r="E67" s="2"/>
      <c r="F67" s="2"/>
      <c r="G67" s="2"/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SUM(OSRRefD21_6_0x)+IFERROR(SUM(OSRRefE21_6_0x),0)</f>
        <v>0</v>
      </c>
    </row>
    <row r="68" spans="1:17" s="34" customFormat="1" hidden="1" outlineLevel="1" x14ac:dyDescent="0.25">
      <c r="A68" s="35"/>
      <c r="B68" s="13" t="str">
        <f>CONCATENATE("          ","6307", " - ","POSTAGE")</f>
        <v xml:space="preserve">          6307 - POSTAGE</v>
      </c>
      <c r="C68" s="15"/>
      <c r="D68" s="2"/>
      <c r="E68" s="2"/>
      <c r="F68" s="2"/>
      <c r="G68" s="2"/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SUM(OSRRefD21_6_1x)+IFERROR(SUM(OSRRefE21_6_1x),0)</f>
        <v>0</v>
      </c>
    </row>
    <row r="69" spans="1:17" s="34" customFormat="1" collapsed="1" x14ac:dyDescent="0.25">
      <c r="A69" s="35"/>
      <c r="B69" s="15" t="str">
        <f>CONCATENATE("     ","General                                           ")</f>
        <v xml:space="preserve">     General                                           </v>
      </c>
      <c r="C69" s="15"/>
      <c r="D69" s="1">
        <f>SUM(OSRRefD21_7x_0)</f>
        <v>719.55</v>
      </c>
      <c r="E69" s="1">
        <f>SUM(OSRRefD21_7x_1)</f>
        <v>0</v>
      </c>
      <c r="F69" s="1">
        <f>SUM(OSRRefD21_7x_2)</f>
        <v>0</v>
      </c>
      <c r="G69" s="1">
        <f>SUM(OSRRefD21_7x_3)</f>
        <v>0</v>
      </c>
      <c r="H69" s="1">
        <f>SUM(OSRRefE21_7x_0)</f>
        <v>0</v>
      </c>
      <c r="I69" s="1">
        <f>SUM(OSRRefE21_7x_1)</f>
        <v>0</v>
      </c>
      <c r="J69" s="1">
        <f>SUM(OSRRefE21_7x_2)</f>
        <v>0</v>
      </c>
      <c r="K69" s="1">
        <f>SUM(OSRRefE21_7x_3)</f>
        <v>0</v>
      </c>
      <c r="L69" s="1">
        <f>SUM(OSRRefE21_7x_4)</f>
        <v>0</v>
      </c>
      <c r="M69" s="1">
        <f>SUM(OSRRefE21_7x_5)</f>
        <v>0</v>
      </c>
      <c r="N69" s="1">
        <f>SUM(OSRRefE21_7x_6)</f>
        <v>0</v>
      </c>
      <c r="O69" s="1">
        <f>SUM(OSRRefE21_7x_7)</f>
        <v>0</v>
      </c>
      <c r="Q69" s="2">
        <f>SUM(OSRRefD20_7x)+IFERROR(SUM(OSRRefE20_7x),0)</f>
        <v>719.55</v>
      </c>
    </row>
    <row r="70" spans="1:17" s="34" customFormat="1" hidden="1" outlineLevel="1" x14ac:dyDescent="0.25">
      <c r="A70" s="35"/>
      <c r="B70" s="13" t="str">
        <f>CONCATENATE("          ","6279", " - ","GENERAL EXPENSE")</f>
        <v xml:space="preserve">          6279 - GENERAL EXPENSE</v>
      </c>
      <c r="C70" s="15"/>
      <c r="D70" s="2">
        <v>719.55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9"/>
      <c r="Q70" s="2">
        <f>SUM(OSRRefD21_7_0x)+IFERROR(SUM(OSRRefE21_7_0x),0)</f>
        <v>719.55</v>
      </c>
    </row>
    <row r="71" spans="1:17" s="34" customFormat="1" collapsed="1" x14ac:dyDescent="0.25">
      <c r="A71" s="35"/>
      <c r="B71" s="15" t="str">
        <f>CONCATENATE("     ","Repair and Maintenance                            ")</f>
        <v xml:space="preserve">     Repair and Maintenance                            </v>
      </c>
      <c r="C71" s="15"/>
      <c r="D71" s="1">
        <f>SUM(OSRRefD21_8x_0)</f>
        <v>0</v>
      </c>
      <c r="E71" s="1">
        <f>SUM(OSRRefD21_8x_1)</f>
        <v>78.599999999999994</v>
      </c>
      <c r="F71" s="1">
        <f>SUM(OSRRefD21_8x_2)</f>
        <v>61.11</v>
      </c>
      <c r="G71" s="1">
        <f>SUM(OSRRefD21_8x_3)</f>
        <v>0</v>
      </c>
      <c r="H71" s="1">
        <f>SUM(OSRRefE21_8x_0)</f>
        <v>0</v>
      </c>
      <c r="I71" s="1">
        <f>SUM(OSRRefE21_8x_1)</f>
        <v>0</v>
      </c>
      <c r="J71" s="1">
        <f>SUM(OSRRefE21_8x_2)</f>
        <v>0</v>
      </c>
      <c r="K71" s="1">
        <f>SUM(OSRRefE21_8x_3)</f>
        <v>0</v>
      </c>
      <c r="L71" s="1">
        <f>SUM(OSRRefE21_8x_4)</f>
        <v>0</v>
      </c>
      <c r="M71" s="1">
        <f>SUM(OSRRefE21_8x_5)</f>
        <v>0</v>
      </c>
      <c r="N71" s="1">
        <f>SUM(OSRRefE21_8x_6)</f>
        <v>0</v>
      </c>
      <c r="O71" s="1">
        <f>SUM(OSRRefE21_8x_7)</f>
        <v>0</v>
      </c>
      <c r="Q71" s="2">
        <f>SUM(OSRRefD20_8x)+IFERROR(SUM(OSRRefE20_8x),0)</f>
        <v>139.70999999999998</v>
      </c>
    </row>
    <row r="72" spans="1:17" s="34" customFormat="1" hidden="1" outlineLevel="1" x14ac:dyDescent="0.25">
      <c r="A72" s="35"/>
      <c r="B72" s="13" t="str">
        <f>CONCATENATE("          ","6373", " - ","MAINTENANCE CONTRACTS")</f>
        <v xml:space="preserve">          6373 - MAINTENANCE CONTRACTS</v>
      </c>
      <c r="C72" s="15"/>
      <c r="D72" s="2"/>
      <c r="E72" s="2">
        <v>78.599999999999994</v>
      </c>
      <c r="F72" s="2">
        <v>61.11</v>
      </c>
      <c r="G72" s="2"/>
      <c r="H72" s="2"/>
      <c r="I72" s="2"/>
      <c r="J72" s="2"/>
      <c r="K72" s="2"/>
      <c r="L72" s="2"/>
      <c r="M72" s="2"/>
      <c r="N72" s="2"/>
      <c r="O72" s="2"/>
      <c r="P72" s="9"/>
      <c r="Q72" s="2">
        <f>SUM(OSRRefD21_8_0x)+IFERROR(SUM(OSRRefE21_8_0x),0)</f>
        <v>139.70999999999998</v>
      </c>
    </row>
    <row r="73" spans="1:17" s="34" customFormat="1" hidden="1" outlineLevel="1" x14ac:dyDescent="0.25">
      <c r="A73" s="35"/>
      <c r="B73" s="13" t="str">
        <f>CONCATENATE("          ","6375", " - ","OUTSIDE REPAIRS &amp; MAINTENANCE")</f>
        <v xml:space="preserve">          6375 - OUTSIDE REPAIRS &amp; MAINTENANCE</v>
      </c>
      <c r="C73" s="15"/>
      <c r="D73" s="2"/>
      <c r="E73" s="2"/>
      <c r="F73" s="2"/>
      <c r="G73" s="2"/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SUM(OSRRefD21_8_1x)+IFERROR(SUM(OSRRefE21_8_1x),0)</f>
        <v>0</v>
      </c>
    </row>
    <row r="74" spans="1:17" s="34" customFormat="1" collapsed="1" x14ac:dyDescent="0.25">
      <c r="A74" s="35"/>
      <c r="B74" s="15" t="str">
        <f>CONCATENATE("     ","Services                                          ")</f>
        <v xml:space="preserve">     Services                                          </v>
      </c>
      <c r="C74" s="15"/>
      <c r="D74" s="1">
        <f>SUM(OSRRefD21_9x_0)</f>
        <v>-113.5</v>
      </c>
      <c r="E74" s="1">
        <f>SUM(OSRRefD21_9x_1)</f>
        <v>44</v>
      </c>
      <c r="F74" s="1">
        <f>SUM(OSRRefD21_9x_2)</f>
        <v>44</v>
      </c>
      <c r="G74" s="1">
        <f>SUM(OSRRefD21_9x_3)</f>
        <v>0</v>
      </c>
      <c r="H74" s="1">
        <f>SUM(OSRRefE21_9x_0)</f>
        <v>0</v>
      </c>
      <c r="I74" s="1">
        <f>SUM(OSRRefE21_9x_1)</f>
        <v>0</v>
      </c>
      <c r="J74" s="1">
        <f>SUM(OSRRefE21_9x_2)</f>
        <v>0</v>
      </c>
      <c r="K74" s="1">
        <f>SUM(OSRRefE21_9x_3)</f>
        <v>0</v>
      </c>
      <c r="L74" s="1">
        <f>SUM(OSRRefE21_9x_4)</f>
        <v>0</v>
      </c>
      <c r="M74" s="1">
        <f>SUM(OSRRefE21_9x_5)</f>
        <v>0</v>
      </c>
      <c r="N74" s="1">
        <f>SUM(OSRRefE21_9x_6)</f>
        <v>0</v>
      </c>
      <c r="O74" s="1">
        <f>SUM(OSRRefE21_9x_7)</f>
        <v>0</v>
      </c>
      <c r="Q74" s="2">
        <f>SUM(OSRRefD20_9x)+IFERROR(SUM(OSRRefE20_9x),0)</f>
        <v>-25.5</v>
      </c>
    </row>
    <row r="75" spans="1:17" s="34" customFormat="1" hidden="1" outlineLevel="1" x14ac:dyDescent="0.25">
      <c r="A75" s="35"/>
      <c r="B75" s="13" t="str">
        <f>CONCATENATE("          ","6282", " - ","JANITORIAL/EXTERMINATOR EXPENS")</f>
        <v xml:space="preserve">          6282 - JANITORIAL/EXTERMINATOR EXPENS</v>
      </c>
      <c r="C75" s="15"/>
      <c r="D75" s="2">
        <v>44</v>
      </c>
      <c r="E75" s="2">
        <v>44</v>
      </c>
      <c r="F75" s="2">
        <v>44</v>
      </c>
      <c r="G75" s="2"/>
      <c r="H75" s="2"/>
      <c r="I75" s="2"/>
      <c r="J75" s="2"/>
      <c r="K75" s="2"/>
      <c r="L75" s="2"/>
      <c r="M75" s="2"/>
      <c r="N75" s="2"/>
      <c r="O75" s="2"/>
      <c r="P75" s="9"/>
      <c r="Q75" s="2">
        <f>SUM(OSRRefD21_9_0x)+IFERROR(SUM(OSRRefE21_9_0x),0)</f>
        <v>132</v>
      </c>
    </row>
    <row r="76" spans="1:17" s="34" customFormat="1" hidden="1" outlineLevel="1" x14ac:dyDescent="0.25">
      <c r="A76" s="35"/>
      <c r="B76" s="13" t="str">
        <f>CONCATENATE("          ","6285", " - ","JANITORIAL SERVICES")</f>
        <v xml:space="preserve">          6285 - JANITORIAL SERVICES</v>
      </c>
      <c r="C76" s="15"/>
      <c r="D76" s="2">
        <v>-157.5</v>
      </c>
      <c r="E76" s="2"/>
      <c r="F76" s="2"/>
      <c r="G76" s="2"/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SUM(OSRRefD21_9_1x)+IFERROR(SUM(OSRRefE21_9_1x),0)</f>
        <v>-157.5</v>
      </c>
    </row>
    <row r="77" spans="1:17" s="34" customFormat="1" collapsed="1" x14ac:dyDescent="0.25">
      <c r="A77" s="35"/>
      <c r="B77" s="15" t="str">
        <f>CONCATENATE("     ","Supplies                                          ")</f>
        <v xml:space="preserve">     Supplies                                          </v>
      </c>
      <c r="C77" s="15"/>
      <c r="D77" s="1">
        <f>SUM(OSRRefD21_10x_0)</f>
        <v>444.3</v>
      </c>
      <c r="E77" s="1">
        <f>SUM(OSRRefD21_10x_1)</f>
        <v>485.36</v>
      </c>
      <c r="F77" s="1">
        <f>SUM(OSRRefD21_10x_2)</f>
        <v>418.01</v>
      </c>
      <c r="G77" s="1">
        <f>SUM(OSRRefD21_10x_3)</f>
        <v>544.6</v>
      </c>
      <c r="H77" s="1">
        <f>SUM(OSRRefE21_10x_0)</f>
        <v>0</v>
      </c>
      <c r="I77" s="1">
        <f>SUM(OSRRefE21_10x_1)</f>
        <v>0</v>
      </c>
      <c r="J77" s="1">
        <f>SUM(OSRRefE21_10x_2)</f>
        <v>0</v>
      </c>
      <c r="K77" s="1">
        <f>SUM(OSRRefE21_10x_3)</f>
        <v>0</v>
      </c>
      <c r="L77" s="1">
        <f>SUM(OSRRefE21_10x_4)</f>
        <v>0</v>
      </c>
      <c r="M77" s="1">
        <f>SUM(OSRRefE21_10x_5)</f>
        <v>0</v>
      </c>
      <c r="N77" s="1">
        <f>SUM(OSRRefE21_10x_6)</f>
        <v>0</v>
      </c>
      <c r="O77" s="1">
        <f>SUM(OSRRefE21_10x_7)</f>
        <v>0</v>
      </c>
      <c r="Q77" s="2">
        <f>SUM(OSRRefD20_10x)+IFERROR(SUM(OSRRefE20_10x),0)</f>
        <v>1892.27</v>
      </c>
    </row>
    <row r="78" spans="1:17" s="34" customFormat="1" hidden="1" outlineLevel="1" x14ac:dyDescent="0.25">
      <c r="A78" s="35"/>
      <c r="B78" s="13" t="str">
        <f>CONCATENATE("          ","6235", " - ","COVID-19 EXPENSES")</f>
        <v xml:space="preserve">          6235 - COVID-19 EXPENSES</v>
      </c>
      <c r="C78" s="15"/>
      <c r="D78" s="2">
        <v>444.3</v>
      </c>
      <c r="E78" s="2"/>
      <c r="F78" s="2"/>
      <c r="G78" s="2"/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SUM(OSRRefD21_10_0x)+IFERROR(SUM(OSRRefE21_10_0x),0)</f>
        <v>444.3</v>
      </c>
    </row>
    <row r="79" spans="1:17" s="34" customFormat="1" hidden="1" outlineLevel="1" x14ac:dyDescent="0.25">
      <c r="A79" s="35"/>
      <c r="B79" s="13" t="str">
        <f>CONCATENATE("          ","6241", " - ","OFFICE EXPENSE")</f>
        <v xml:space="preserve">          6241 - OFFICE EXPENSE</v>
      </c>
      <c r="C79" s="15"/>
      <c r="D79" s="2"/>
      <c r="E79" s="2">
        <v>225.24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9"/>
      <c r="Q79" s="2">
        <f>SUM(OSRRefD21_10_1x)+IFERROR(SUM(OSRRefE21_10_1x),0)</f>
        <v>225.24</v>
      </c>
    </row>
    <row r="80" spans="1:17" s="34" customFormat="1" hidden="1" outlineLevel="1" x14ac:dyDescent="0.25">
      <c r="A80" s="35"/>
      <c r="B80" s="13" t="str">
        <f>CONCATENATE("          ","6247", " - ","STORE SUPPLIES")</f>
        <v xml:space="preserve">          6247 - STORE SUPPLIES</v>
      </c>
      <c r="C80" s="15"/>
      <c r="D80" s="2"/>
      <c r="E80" s="2">
        <v>260.12</v>
      </c>
      <c r="F80" s="2">
        <v>418.01</v>
      </c>
      <c r="G80" s="2">
        <v>544.6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SUM(OSRRefD21_10_2x)+IFERROR(SUM(OSRRefE21_10_2x),0)</f>
        <v>1222.73</v>
      </c>
    </row>
    <row r="81" spans="1:17" s="34" customFormat="1" hidden="1" outlineLevel="1" x14ac:dyDescent="0.25">
      <c r="A81" s="35"/>
      <c r="B81" s="13" t="str">
        <f>CONCATENATE("          ","6248", " - ","UNIFORMS")</f>
        <v xml:space="preserve">          6248 - UNIFORMS</v>
      </c>
      <c r="C81" s="15"/>
      <c r="D81" s="2"/>
      <c r="E81" s="2"/>
      <c r="F81" s="2"/>
      <c r="G81" s="2"/>
      <c r="H81" s="2"/>
      <c r="I81" s="2"/>
      <c r="J81" s="2">
        <v>0</v>
      </c>
      <c r="K81" s="2"/>
      <c r="L81" s="2"/>
      <c r="M81" s="2"/>
      <c r="N81" s="2"/>
      <c r="O81" s="2"/>
      <c r="P81" s="9"/>
      <c r="Q81" s="2">
        <f>SUM(OSRRefD21_10_3x)+IFERROR(SUM(OSRRefE21_10_3x),0)</f>
        <v>0</v>
      </c>
    </row>
    <row r="82" spans="1:17" s="34" customFormat="1" collapsed="1" x14ac:dyDescent="0.25">
      <c r="A82" s="35"/>
      <c r="B82" s="15" t="str">
        <f>CONCATENATE("     ","Telephone/Data Lines                              ")</f>
        <v xml:space="preserve">     Telephone/Data Lines                              </v>
      </c>
      <c r="C82" s="15"/>
      <c r="D82" s="1">
        <f>SUM(OSRRefD21_11x_0)</f>
        <v>53</v>
      </c>
      <c r="E82" s="1">
        <f>SUM(OSRRefD21_11x_1)</f>
        <v>53</v>
      </c>
      <c r="F82" s="1">
        <f>SUM(OSRRefD21_11x_2)</f>
        <v>100</v>
      </c>
      <c r="G82" s="1">
        <f>SUM(OSRRefD21_11x_3)</f>
        <v>53.9</v>
      </c>
      <c r="H82" s="1">
        <f>SUM(OSRRefE21_11x_0)</f>
        <v>0</v>
      </c>
      <c r="I82" s="1">
        <f>SUM(OSRRefE21_11x_1)</f>
        <v>0</v>
      </c>
      <c r="J82" s="1">
        <f>SUM(OSRRefE21_11x_2)</f>
        <v>0</v>
      </c>
      <c r="K82" s="1">
        <f>SUM(OSRRefE21_11x_3)</f>
        <v>0</v>
      </c>
      <c r="L82" s="1">
        <f>SUM(OSRRefE21_11x_4)</f>
        <v>0</v>
      </c>
      <c r="M82" s="1">
        <f>SUM(OSRRefE21_11x_5)</f>
        <v>0</v>
      </c>
      <c r="N82" s="1">
        <f>SUM(OSRRefE21_11x_6)</f>
        <v>0</v>
      </c>
      <c r="O82" s="1">
        <f>SUM(OSRRefE21_11x_7)</f>
        <v>0</v>
      </c>
      <c r="Q82" s="2">
        <f>SUM(OSRRefD20_11x)+IFERROR(SUM(OSRRefE20_11x),0)</f>
        <v>259.89999999999998</v>
      </c>
    </row>
    <row r="83" spans="1:17" s="34" customFormat="1" hidden="1" outlineLevel="1" x14ac:dyDescent="0.25">
      <c r="A83" s="35"/>
      <c r="B83" s="13" t="str">
        <f>CONCATENATE("          ","6303", " - ","DATA PHONE LINES")</f>
        <v xml:space="preserve">          6303 - DATA PHONE LINES</v>
      </c>
      <c r="C83" s="15"/>
      <c r="D83" s="2"/>
      <c r="E83" s="2"/>
      <c r="F83" s="2"/>
      <c r="G83" s="2"/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9"/>
      <c r="Q83" s="2">
        <f>SUM(OSRRefD21_11_0x)+IFERROR(SUM(OSRRefE21_11_0x),0)</f>
        <v>0</v>
      </c>
    </row>
    <row r="84" spans="1:17" s="34" customFormat="1" hidden="1" outlineLevel="1" x14ac:dyDescent="0.25">
      <c r="A84" s="35"/>
      <c r="B84" s="13" t="str">
        <f>CONCATENATE("          ","6309", " - ","TELEPHONE")</f>
        <v xml:space="preserve">          6309 - TELEPHONE</v>
      </c>
      <c r="C84" s="15"/>
      <c r="D84" s="2">
        <v>53</v>
      </c>
      <c r="E84" s="2">
        <v>53</v>
      </c>
      <c r="F84" s="2">
        <v>100</v>
      </c>
      <c r="G84" s="2">
        <v>53.9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9"/>
      <c r="Q84" s="2">
        <f>SUM(OSRRefD21_11_1x)+IFERROR(SUM(OSRRefE21_11_1x),0)</f>
        <v>259.89999999999998</v>
      </c>
    </row>
    <row r="85" spans="1:17" s="34" customFormat="1" collapsed="1" x14ac:dyDescent="0.25">
      <c r="A85" s="35"/>
      <c r="B85" s="15" t="str">
        <f>CONCATENATE("     ","Training                                          ")</f>
        <v xml:space="preserve">     Training                                          </v>
      </c>
      <c r="C85" s="15"/>
      <c r="D85" s="1">
        <f>SUM(OSRRefD21_12x_0)</f>
        <v>0</v>
      </c>
      <c r="E85" s="1">
        <f>SUM(OSRRefD21_12x_1)</f>
        <v>0</v>
      </c>
      <c r="F85" s="1">
        <f>SUM(OSRRefD21_12x_2)</f>
        <v>0</v>
      </c>
      <c r="G85" s="1">
        <f>SUM(OSRRefD21_12x_3)</f>
        <v>14</v>
      </c>
      <c r="H85" s="1">
        <f>SUM(OSRRefE21_12x_0)</f>
        <v>0</v>
      </c>
      <c r="I85" s="1">
        <f>SUM(OSRRefE21_12x_1)</f>
        <v>0</v>
      </c>
      <c r="J85" s="1">
        <f>SUM(OSRRefE21_12x_2)</f>
        <v>0</v>
      </c>
      <c r="K85" s="1">
        <f>SUM(OSRRefE21_12x_3)</f>
        <v>0</v>
      </c>
      <c r="L85" s="1">
        <f>SUM(OSRRefE21_12x_4)</f>
        <v>0</v>
      </c>
      <c r="M85" s="1">
        <f>SUM(OSRRefE21_12x_5)</f>
        <v>0</v>
      </c>
      <c r="N85" s="1">
        <f>SUM(OSRRefE21_12x_6)</f>
        <v>0</v>
      </c>
      <c r="O85" s="1">
        <f>SUM(OSRRefE21_12x_7)</f>
        <v>0</v>
      </c>
      <c r="Q85" s="2">
        <f>SUM(OSRRefD20_12x)+IFERROR(SUM(OSRRefE20_12x),0)</f>
        <v>14</v>
      </c>
    </row>
    <row r="86" spans="1:17" s="34" customFormat="1" hidden="1" outlineLevel="1" x14ac:dyDescent="0.25">
      <c r="A86" s="35"/>
      <c r="B86" s="13" t="str">
        <f>CONCATENATE("          ","6376", " - ","TRAINING")</f>
        <v xml:space="preserve">          6376 - TRAINING</v>
      </c>
      <c r="C86" s="15"/>
      <c r="D86" s="2"/>
      <c r="E86" s="2"/>
      <c r="F86" s="2"/>
      <c r="G86" s="2">
        <v>14</v>
      </c>
      <c r="H86" s="2"/>
      <c r="I86" s="2"/>
      <c r="J86" s="2">
        <v>0</v>
      </c>
      <c r="K86" s="2"/>
      <c r="L86" s="2"/>
      <c r="M86" s="2"/>
      <c r="N86" s="2"/>
      <c r="O86" s="2"/>
      <c r="P86" s="9"/>
      <c r="Q86" s="2">
        <f>SUM(OSRRefD21_12_0x)+IFERROR(SUM(OSRRefE21_12_0x),0)</f>
        <v>14</v>
      </c>
    </row>
    <row r="87" spans="1:17" s="28" customFormat="1" x14ac:dyDescent="0.25">
      <c r="A87" s="20"/>
      <c r="B87" s="20"/>
      <c r="C87" s="20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25">
      <c r="A88" s="22"/>
      <c r="B88" s="16" t="s">
        <v>0</v>
      </c>
      <c r="C88" s="23"/>
      <c r="D88" s="3">
        <f t="shared" ref="D88:G88" si="7">0</f>
        <v>0</v>
      </c>
      <c r="E88" s="3">
        <f t="shared" si="7"/>
        <v>0</v>
      </c>
      <c r="F88" s="3">
        <f t="shared" si="7"/>
        <v>0</v>
      </c>
      <c r="G88" s="3">
        <f t="shared" si="7"/>
        <v>0</v>
      </c>
      <c r="H88" s="3"/>
      <c r="I88" s="3"/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25">
      <c r="A89" s="5"/>
      <c r="B89" s="8"/>
      <c r="C89" s="8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4" customFormat="1" x14ac:dyDescent="0.25">
      <c r="A90" s="8"/>
      <c r="B90" s="17" t="s">
        <v>3</v>
      </c>
      <c r="C90" s="17"/>
      <c r="D90" s="6">
        <f t="shared" ref="D90:O90" si="8">IFERROR(+D33-D36+D88, 0)</f>
        <v>-1141.3999999999999</v>
      </c>
      <c r="E90" s="6">
        <f t="shared" si="8"/>
        <v>-2088.7799999999997</v>
      </c>
      <c r="F90" s="6">
        <f t="shared" si="8"/>
        <v>147.47999999999956</v>
      </c>
      <c r="G90" s="6">
        <f t="shared" si="8"/>
        <v>-1406.4899999999957</v>
      </c>
      <c r="H90" s="6">
        <f t="shared" si="8"/>
        <v>0</v>
      </c>
      <c r="I90" s="6">
        <f t="shared" si="8"/>
        <v>0</v>
      </c>
      <c r="J90" s="6">
        <f t="shared" si="8"/>
        <v>0</v>
      </c>
      <c r="K90" s="6">
        <f t="shared" si="8"/>
        <v>0</v>
      </c>
      <c r="L90" s="6">
        <f t="shared" si="8"/>
        <v>0</v>
      </c>
      <c r="M90" s="6">
        <f t="shared" si="8"/>
        <v>0</v>
      </c>
      <c r="N90" s="6">
        <f t="shared" si="8"/>
        <v>0</v>
      </c>
      <c r="O90" s="6">
        <f t="shared" si="8"/>
        <v>0</v>
      </c>
      <c r="Q90" s="6">
        <f>IFERROR(+Q33-Q36+Q88, 0)</f>
        <v>-4489.1899999999932</v>
      </c>
    </row>
    <row r="91" spans="1:17" s="8" customFormat="1" x14ac:dyDescent="0.25">
      <c r="B91" s="16"/>
      <c r="C91" s="16"/>
      <c r="D91" s="4">
        <f t="shared" ref="D91:O91" si="9">IFERROR(D90/D10, 0)</f>
        <v>0</v>
      </c>
      <c r="E91" s="4">
        <f t="shared" si="9"/>
        <v>-0.1684779890852835</v>
      </c>
      <c r="F91" s="4">
        <f t="shared" si="9"/>
        <v>1.6578088326543776E-2</v>
      </c>
      <c r="G91" s="4">
        <f t="shared" si="9"/>
        <v>-78.574860335195297</v>
      </c>
      <c r="H91" s="4">
        <f t="shared" si="9"/>
        <v>0</v>
      </c>
      <c r="I91" s="4">
        <f t="shared" si="9"/>
        <v>0</v>
      </c>
      <c r="J91" s="4">
        <f t="shared" si="9"/>
        <v>0</v>
      </c>
      <c r="K91" s="4">
        <f t="shared" si="9"/>
        <v>0</v>
      </c>
      <c r="L91" s="4">
        <f t="shared" si="9"/>
        <v>0</v>
      </c>
      <c r="M91" s="4">
        <f t="shared" si="9"/>
        <v>0</v>
      </c>
      <c r="N91" s="4">
        <f t="shared" si="9"/>
        <v>0</v>
      </c>
      <c r="O91" s="4">
        <f t="shared" si="9"/>
        <v>0</v>
      </c>
      <c r="P91" s="18"/>
      <c r="Q91" s="4">
        <f>IFERROR(Q90/Q10, 0)</f>
        <v>-0.21064221337167152</v>
      </c>
    </row>
    <row r="92" spans="1:17" x14ac:dyDescent="0.25">
      <c r="A92" s="5"/>
      <c r="B92" s="8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4" customFormat="1" x14ac:dyDescent="0.25">
      <c r="A93" s="25"/>
      <c r="B93" s="8" t="s">
        <v>8</v>
      </c>
      <c r="C93" s="8"/>
      <c r="D93" s="3"/>
      <c r="E93" s="3">
        <v>2093.23</v>
      </c>
      <c r="F93" s="3">
        <v>1851.59</v>
      </c>
      <c r="G93" s="3">
        <v>671.8</v>
      </c>
      <c r="H93" s="3">
        <v>1413</v>
      </c>
      <c r="I93" s="3">
        <v>5490</v>
      </c>
      <c r="J93" s="3">
        <v>4298</v>
      </c>
      <c r="K93" s="3">
        <v>4013</v>
      </c>
      <c r="L93" s="3">
        <v>4619</v>
      </c>
      <c r="M93" s="3">
        <v>2142</v>
      </c>
      <c r="N93" s="3">
        <v>709</v>
      </c>
      <c r="O93" s="3">
        <v>-2526</v>
      </c>
      <c r="Q93" s="2">
        <f>SUM(OSRRefD28_0x)+IFERROR(SUM(OSRRefE28_0x),0)</f>
        <v>24774.62</v>
      </c>
    </row>
    <row r="94" spans="1:17" x14ac:dyDescent="0.25">
      <c r="A94" s="5"/>
      <c r="B94" s="8"/>
      <c r="C94" s="8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4" customFormat="1" ht="15.75" thickBot="1" x14ac:dyDescent="0.3">
      <c r="A95" s="8"/>
      <c r="B95" s="17" t="s">
        <v>4</v>
      </c>
      <c r="C95" s="17"/>
      <c r="D95" s="7">
        <f t="shared" ref="D95:O95" si="10">IFERROR(+D90-D93, 0)</f>
        <v>-1141.3999999999999</v>
      </c>
      <c r="E95" s="7">
        <f t="shared" si="10"/>
        <v>-4182.01</v>
      </c>
      <c r="F95" s="7">
        <f t="shared" si="10"/>
        <v>-1704.1100000000004</v>
      </c>
      <c r="G95" s="7">
        <f t="shared" si="10"/>
        <v>-2078.2899999999954</v>
      </c>
      <c r="H95" s="7">
        <f t="shared" si="10"/>
        <v>-1413</v>
      </c>
      <c r="I95" s="7">
        <f t="shared" si="10"/>
        <v>-5490</v>
      </c>
      <c r="J95" s="7">
        <f t="shared" si="10"/>
        <v>-4298</v>
      </c>
      <c r="K95" s="7">
        <f t="shared" si="10"/>
        <v>-4013</v>
      </c>
      <c r="L95" s="7">
        <f t="shared" si="10"/>
        <v>-4619</v>
      </c>
      <c r="M95" s="7">
        <f t="shared" si="10"/>
        <v>-2142</v>
      </c>
      <c r="N95" s="7">
        <f t="shared" si="10"/>
        <v>-709</v>
      </c>
      <c r="O95" s="7">
        <f t="shared" si="10"/>
        <v>2526</v>
      </c>
      <c r="Q95" s="7">
        <f>IFERROR(+Q90-Q93, 0)</f>
        <v>-29263.80999999999</v>
      </c>
    </row>
    <row r="96" spans="1:17" ht="15.75" thickTop="1" x14ac:dyDescent="0.25">
      <c r="A96" s="5"/>
      <c r="B96" s="5"/>
      <c r="C96" s="5"/>
      <c r="D96" s="4">
        <f t="shared" ref="D96:O96" si="11">IFERROR(D95/D10, 0)</f>
        <v>0</v>
      </c>
      <c r="E96" s="4">
        <f t="shared" si="11"/>
        <v>-0.33731490876710163</v>
      </c>
      <c r="F96" s="4">
        <f t="shared" si="11"/>
        <v>-0.19155740505930707</v>
      </c>
      <c r="G96" s="4">
        <f t="shared" si="11"/>
        <v>-116.10558659217853</v>
      </c>
      <c r="H96" s="4">
        <f t="shared" si="11"/>
        <v>0</v>
      </c>
      <c r="I96" s="4">
        <f t="shared" si="11"/>
        <v>0</v>
      </c>
      <c r="J96" s="4">
        <f t="shared" si="11"/>
        <v>0</v>
      </c>
      <c r="K96" s="4">
        <f t="shared" si="11"/>
        <v>0</v>
      </c>
      <c r="L96" s="4">
        <f t="shared" si="11"/>
        <v>0</v>
      </c>
      <c r="M96" s="4">
        <f t="shared" si="11"/>
        <v>0</v>
      </c>
      <c r="N96" s="4">
        <f t="shared" si="11"/>
        <v>0</v>
      </c>
      <c r="O96" s="4">
        <f t="shared" si="11"/>
        <v>0</v>
      </c>
      <c r="P96" s="18"/>
      <c r="Q96" s="4">
        <f>IFERROR(Q95/Q10, 0)</f>
        <v>-1.3731193623099183</v>
      </c>
    </row>
    <row r="97" spans="1:17" x14ac:dyDescent="0.2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25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4" customFormat="1" ht="15.75" thickBot="1" x14ac:dyDescent="0.3">
      <c r="A99" s="8"/>
      <c r="B99" s="17" t="s">
        <v>5</v>
      </c>
      <c r="C99" s="17"/>
      <c r="D99" s="7">
        <f t="shared" ref="D99:O99" si="12">IFERROR(SUM(D95:D98), 0)</f>
        <v>-1141.3999999999999</v>
      </c>
      <c r="E99" s="7">
        <f t="shared" si="12"/>
        <v>-4182.3473149087677</v>
      </c>
      <c r="F99" s="7">
        <f t="shared" si="12"/>
        <v>-1704.3015574050596</v>
      </c>
      <c r="G99" s="7">
        <f t="shared" si="12"/>
        <v>-2194.3955865921739</v>
      </c>
      <c r="H99" s="7">
        <f t="shared" si="12"/>
        <v>-1413</v>
      </c>
      <c r="I99" s="7">
        <f t="shared" si="12"/>
        <v>-5490</v>
      </c>
      <c r="J99" s="7">
        <f t="shared" si="12"/>
        <v>-4298</v>
      </c>
      <c r="K99" s="7">
        <f t="shared" si="12"/>
        <v>-4013</v>
      </c>
      <c r="L99" s="7">
        <f t="shared" si="12"/>
        <v>-4619</v>
      </c>
      <c r="M99" s="7">
        <f t="shared" si="12"/>
        <v>-2142</v>
      </c>
      <c r="N99" s="7">
        <f t="shared" si="12"/>
        <v>-709</v>
      </c>
      <c r="O99" s="7">
        <f t="shared" si="12"/>
        <v>2526</v>
      </c>
      <c r="Q99" s="7">
        <f>IFERROR(SUM(Q95:Q98), 0)</f>
        <v>-29265.1831193623</v>
      </c>
    </row>
    <row r="100" spans="1:17" ht="15.75" thickTop="1" x14ac:dyDescent="0.25">
      <c r="A100" s="5"/>
      <c r="C100" s="5"/>
      <c r="D100" s="4">
        <f t="shared" ref="D100:O100" si="13">IFERROR(D99/D10, 0)</f>
        <v>0</v>
      </c>
      <c r="E100" s="4">
        <f t="shared" si="13"/>
        <v>-0.33734211610225306</v>
      </c>
      <c r="F100" s="4">
        <f t="shared" si="13"/>
        <v>-0.19157893784735069</v>
      </c>
      <c r="G100" s="4">
        <f t="shared" si="13"/>
        <v>-122.5919322118533</v>
      </c>
      <c r="H100" s="4">
        <f t="shared" si="13"/>
        <v>0</v>
      </c>
      <c r="I100" s="4">
        <f t="shared" si="13"/>
        <v>0</v>
      </c>
      <c r="J100" s="4">
        <f t="shared" si="13"/>
        <v>0</v>
      </c>
      <c r="K100" s="4">
        <f t="shared" si="13"/>
        <v>0</v>
      </c>
      <c r="L100" s="4">
        <f t="shared" si="13"/>
        <v>0</v>
      </c>
      <c r="M100" s="4">
        <f t="shared" si="13"/>
        <v>0</v>
      </c>
      <c r="N100" s="4">
        <f t="shared" si="13"/>
        <v>0</v>
      </c>
      <c r="O100" s="4">
        <f t="shared" si="13"/>
        <v>0</v>
      </c>
      <c r="P100" s="18"/>
      <c r="Q100" s="4">
        <f>IFERROR(Q99/Q10, 0)</f>
        <v>-1.373183791951279</v>
      </c>
    </row>
    <row r="101" spans="1:17" x14ac:dyDescent="0.25">
      <c r="A101" s="5"/>
      <c r="B101" s="26">
        <v>44151.564804942129</v>
      </c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Q101" s="12"/>
    </row>
    <row r="102" spans="1:17" x14ac:dyDescent="0.25">
      <c r="A102" s="5"/>
      <c r="B102" s="30" t="s">
        <v>311</v>
      </c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Q102" s="12"/>
    </row>
    <row r="103" spans="1:17" x14ac:dyDescent="0.25">
      <c r="A103" s="5"/>
      <c r="B103" s="31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Q103" s="12"/>
    </row>
    <row r="104" spans="1:17" x14ac:dyDescent="0.25"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Q104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24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">
        <v>300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48038.560000000005</v>
      </c>
      <c r="E10" s="3">
        <f>SUM(OSRRefD11x_1)</f>
        <v>1226108.5600000003</v>
      </c>
      <c r="F10" s="3">
        <f>SUM(OSRRefD11x_2)</f>
        <v>237375.66999999998</v>
      </c>
      <c r="G10" s="3">
        <f>SUM(OSRRefD11x_3)</f>
        <v>34183.24</v>
      </c>
      <c r="H10" s="3">
        <f>SUM(OSRRefE11x_0)</f>
        <v>6213</v>
      </c>
      <c r="I10" s="3">
        <f>SUM(OSRRefE11x_1)</f>
        <v>34774</v>
      </c>
      <c r="J10" s="3">
        <f>SUM(OSRRefE11x_2)</f>
        <v>901026.10000000009</v>
      </c>
      <c r="K10" s="3">
        <f>SUM(OSRRefE11x_3)</f>
        <v>108891.4</v>
      </c>
      <c r="L10" s="3">
        <f>SUM(OSRRefE11x_4)</f>
        <v>13605.5</v>
      </c>
      <c r="M10" s="3">
        <f>SUM(OSRRefE11x_5)</f>
        <v>7019.55</v>
      </c>
      <c r="N10" s="3">
        <f>SUM(OSRRefE11x_6)</f>
        <v>40742.5</v>
      </c>
      <c r="O10" s="3">
        <f>SUM(OSRRefE11x_7)</f>
        <v>11415.9</v>
      </c>
      <c r="P10" s="24"/>
      <c r="Q10" s="3">
        <f>SUM(OSRRefG11x)</f>
        <v>2669393.9800000009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-770.07</f>
        <v>-770.07</v>
      </c>
      <c r="E11" s="2">
        <f>-3258.19</f>
        <v>-3258.19</v>
      </c>
      <c r="F11" s="2">
        <f>-965.28</f>
        <v>-965.28</v>
      </c>
      <c r="G11" s="2">
        <f>-1377.28</f>
        <v>-1377.28</v>
      </c>
      <c r="H11" s="2">
        <v>6213</v>
      </c>
      <c r="I11" s="2">
        <v>34774</v>
      </c>
      <c r="J11" s="2">
        <v>901026.10000000009</v>
      </c>
      <c r="K11" s="2">
        <v>108891.4</v>
      </c>
      <c r="L11" s="2">
        <v>13605.5</v>
      </c>
      <c r="M11" s="2">
        <v>7019.55</v>
      </c>
      <c r="N11" s="2">
        <v>40742.5</v>
      </c>
      <c r="O11" s="2">
        <v>11415.9</v>
      </c>
      <c r="Q11" s="2">
        <f>SUM(OSRRefD11_0x)+IFERROR(SUM(OSRRefE11_0x),0)</f>
        <v>1117317.1299999999</v>
      </c>
    </row>
    <row r="12" spans="1:18" s="9" customFormat="1" hidden="1" outlineLevel="1" x14ac:dyDescent="0.2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712327.57</v>
      </c>
    </row>
    <row r="13" spans="1:18" s="9" customFormat="1" hidden="1" outlineLevel="1" x14ac:dyDescent="0.2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319139.52</v>
      </c>
    </row>
    <row r="14" spans="1:18" s="9" customFormat="1" hidden="1" outlineLevel="1" x14ac:dyDescent="0.2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10665.630000000001</v>
      </c>
    </row>
    <row r="15" spans="1:18" s="9" customFormat="1" hidden="1" outlineLevel="1" x14ac:dyDescent="0.2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2459.56</v>
      </c>
    </row>
    <row r="16" spans="1:18" s="9" customFormat="1" hidden="1" outlineLevel="1" x14ac:dyDescent="0.2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197.37</v>
      </c>
    </row>
    <row r="17" spans="1:17" s="9" customFormat="1" hidden="1" outlineLevel="1" x14ac:dyDescent="0.2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/>
      <c r="I17" s="2"/>
      <c r="J17" s="2"/>
      <c r="K17" s="2"/>
      <c r="L17" s="2"/>
      <c r="M17" s="2"/>
      <c r="N17" s="2"/>
      <c r="O17" s="2"/>
      <c r="Q17" s="2">
        <f>SUM(OSRRefD11_6x)+IFERROR(SUM(OSRRefE11_6x),0)</f>
        <v>340.24</v>
      </c>
    </row>
    <row r="18" spans="1:17" s="9" customFormat="1" hidden="1" outlineLevel="1" x14ac:dyDescent="0.2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/>
      <c r="I18" s="2"/>
      <c r="J18" s="2"/>
      <c r="K18" s="2"/>
      <c r="L18" s="2"/>
      <c r="M18" s="2"/>
      <c r="N18" s="2"/>
      <c r="O18" s="2"/>
      <c r="Q18" s="2">
        <f>SUM(OSRRefD11_7x)+IFERROR(SUM(OSRRefE11_7x),0)</f>
        <v>183.89000000000001</v>
      </c>
    </row>
    <row r="19" spans="1:17" s="9" customFormat="1" hidden="1" outlineLevel="1" x14ac:dyDescent="0.25">
      <c r="A19" s="22"/>
      <c r="B19" s="13" t="str">
        <f>CONCATENATE("          ","4100", " - ","NON-TAXABLE SALES")</f>
        <v xml:space="preserve">          4100 - NON-TAXABLE SALES</v>
      </c>
      <c r="C19" s="23"/>
      <c r="D19" s="2">
        <f>--3038.3</f>
        <v>3038.3</v>
      </c>
      <c r="E19" s="2">
        <f>--150360.03</f>
        <v>150360.03</v>
      </c>
      <c r="F19" s="2">
        <f>--10945.69</f>
        <v>10945.69</v>
      </c>
      <c r="G19" s="2">
        <f>--135.79</f>
        <v>135.79</v>
      </c>
      <c r="H19" s="2"/>
      <c r="I19" s="2"/>
      <c r="J19" s="2"/>
      <c r="K19" s="2"/>
      <c r="L19" s="2"/>
      <c r="M19" s="2"/>
      <c r="N19" s="2"/>
      <c r="O19" s="2"/>
      <c r="Q19" s="2">
        <f>SUM(OSRRefD11_8x)+IFERROR(SUM(OSRRefE11_8x),0)</f>
        <v>164479.81</v>
      </c>
    </row>
    <row r="20" spans="1:17" s="9" customFormat="1" hidden="1" outlineLevel="1" x14ac:dyDescent="0.25">
      <c r="A20" s="22"/>
      <c r="B20" s="13" t="str">
        <f>CONCATENATE("          ","4101", " - ","NON-TAXABLE SALES-NEW TEXT")</f>
        <v xml:space="preserve">          4101 - NON-TAXABLE SALES-NEW TEXT</v>
      </c>
      <c r="C20" s="23"/>
      <c r="D20" s="2">
        <f>--10341.86</f>
        <v>10341.86</v>
      </c>
      <c r="E20" s="2">
        <f>--41238.82</f>
        <v>41238.82</v>
      </c>
      <c r="F20" s="2">
        <f>--18824.16</f>
        <v>18824.16</v>
      </c>
      <c r="G20" s="2">
        <f>--7260.05</f>
        <v>7260.05</v>
      </c>
      <c r="H20" s="2"/>
      <c r="I20" s="2"/>
      <c r="J20" s="2"/>
      <c r="K20" s="2"/>
      <c r="L20" s="2"/>
      <c r="M20" s="2"/>
      <c r="N20" s="2"/>
      <c r="O20" s="2"/>
      <c r="Q20" s="2">
        <f>SUM(OSRRefD11_9x)+IFERROR(SUM(OSRRefE11_9x),0)</f>
        <v>77664.89</v>
      </c>
    </row>
    <row r="21" spans="1:17" s="9" customFormat="1" hidden="1" outlineLevel="1" x14ac:dyDescent="0.25">
      <c r="A21" s="22"/>
      <c r="B21" s="13" t="str">
        <f>CONCATENATE("          ","4102", " - ","NON-TAXABLE SALES-USED TEXT")</f>
        <v xml:space="preserve">          4102 - NON-TAXABLE SALES-USED TEXT</v>
      </c>
      <c r="C21" s="23"/>
      <c r="D21" s="2">
        <f>--4190.44</f>
        <v>4190.4399999999996</v>
      </c>
      <c r="E21" s="2">
        <f>--17373.3</f>
        <v>17373.3</v>
      </c>
      <c r="F21" s="2">
        <f>--8807.08</f>
        <v>8807.08</v>
      </c>
      <c r="G21" s="2">
        <f>--2341.65</f>
        <v>2341.65</v>
      </c>
      <c r="H21" s="2"/>
      <c r="I21" s="2"/>
      <c r="J21" s="2"/>
      <c r="K21" s="2"/>
      <c r="L21" s="2"/>
      <c r="M21" s="2"/>
      <c r="N21" s="2"/>
      <c r="O21" s="2"/>
      <c r="Q21" s="2">
        <f>SUM(OSRRefD11_10x)+IFERROR(SUM(OSRRefE11_10x),0)</f>
        <v>32712.47</v>
      </c>
    </row>
    <row r="22" spans="1:17" s="9" customFormat="1" hidden="1" outlineLevel="1" x14ac:dyDescent="0.25">
      <c r="A22" s="22"/>
      <c r="B22" s="13" t="str">
        <f>CONCATENATE("          ","4103", " - ","NON-TAXABLE SALES-RENTAL TEXT")</f>
        <v xml:space="preserve">          4103 - NON-TAXABLE SALES-RENTAL TEXT</v>
      </c>
      <c r="C22" s="23"/>
      <c r="D22" s="2">
        <f t="shared" ref="D22:E22" si="1">0</f>
        <v>0</v>
      </c>
      <c r="E22" s="2">
        <f t="shared" si="1"/>
        <v>0</v>
      </c>
      <c r="F22" s="2">
        <f>--284.97</f>
        <v>284.97000000000003</v>
      </c>
      <c r="G22" s="2">
        <f>0</f>
        <v>0</v>
      </c>
      <c r="H22" s="2"/>
      <c r="I22" s="2"/>
      <c r="J22" s="2"/>
      <c r="K22" s="2"/>
      <c r="L22" s="2"/>
      <c r="M22" s="2"/>
      <c r="N22" s="2"/>
      <c r="O22" s="2"/>
      <c r="Q22" s="2">
        <f>SUM(OSRRefD11_11x)+IFERROR(SUM(OSRRefE11_11x),0)</f>
        <v>284.97000000000003</v>
      </c>
    </row>
    <row r="23" spans="1:17" s="9" customFormat="1" hidden="1" outlineLevel="1" x14ac:dyDescent="0.25">
      <c r="A23" s="22"/>
      <c r="B23" s="13" t="str">
        <f>CONCATENATE("          ","4104", " - ","NON-TAXABLE SALES-DIGITAL TEXT")</f>
        <v xml:space="preserve">          4104 - NON-TAXABLE SALES-DIGITAL TEXT</v>
      </c>
      <c r="C23" s="23"/>
      <c r="D23" s="2">
        <f>--7485.52</f>
        <v>7485.52</v>
      </c>
      <c r="E23" s="2">
        <f>--205404.66</f>
        <v>205404.66</v>
      </c>
      <c r="F23" s="2">
        <f>--73817.67</f>
        <v>73817.67</v>
      </c>
      <c r="G23" s="2">
        <f>--6767.67</f>
        <v>6767.67</v>
      </c>
      <c r="H23" s="2"/>
      <c r="I23" s="2"/>
      <c r="J23" s="2"/>
      <c r="K23" s="2"/>
      <c r="L23" s="2"/>
      <c r="M23" s="2"/>
      <c r="N23" s="2"/>
      <c r="O23" s="2"/>
      <c r="Q23" s="2">
        <f>SUM(OSRRefD11_12x)+IFERROR(SUM(OSRRefE11_12x),0)</f>
        <v>293475.51999999996</v>
      </c>
    </row>
    <row r="24" spans="1:17" s="9" customFormat="1" hidden="1" outlineLevel="1" x14ac:dyDescent="0.25">
      <c r="A24" s="22"/>
      <c r="B24" s="13" t="str">
        <f>CONCATENATE("          ","4113", " - ","NON-TAXABLE SALES-TRADE BOOKS")</f>
        <v xml:space="preserve">          4113 - NON-TAXABLE SALES-TRADE BOOKS</v>
      </c>
      <c r="C24" s="23"/>
      <c r="D24" s="2">
        <f t="shared" ref="D24:F24" si="2">0</f>
        <v>0</v>
      </c>
      <c r="E24" s="2">
        <f t="shared" si="2"/>
        <v>0</v>
      </c>
      <c r="F24" s="2">
        <f t="shared" si="2"/>
        <v>0</v>
      </c>
      <c r="G24" s="2">
        <f>--1655.95</f>
        <v>1655.95</v>
      </c>
      <c r="H24" s="2"/>
      <c r="I24" s="2"/>
      <c r="J24" s="2"/>
      <c r="K24" s="2"/>
      <c r="L24" s="2"/>
      <c r="M24" s="2"/>
      <c r="N24" s="2"/>
      <c r="O24" s="2"/>
      <c r="Q24" s="2">
        <f>SUM(OSRRefD11_13x)+IFERROR(SUM(OSRRefE11_13x),0)</f>
        <v>1655.95</v>
      </c>
    </row>
    <row r="25" spans="1:17" s="9" customFormat="1" hidden="1" outlineLevel="1" x14ac:dyDescent="0.25">
      <c r="A25" s="22"/>
      <c r="B25" s="13" t="str">
        <f>CONCATENATE("          ","4118", " - ","NON-TAXABLE SALES-STUDY GUIDES")</f>
        <v xml:space="preserve">          4118 - NON-TAXABLE SALES-STUDY GUIDES</v>
      </c>
      <c r="C25" s="23"/>
      <c r="D25" s="2">
        <f>--53.96</f>
        <v>53.96</v>
      </c>
      <c r="E25" s="2">
        <f>--47.87</f>
        <v>47.87</v>
      </c>
      <c r="F25" s="2">
        <f>--6.5</f>
        <v>6.5</v>
      </c>
      <c r="G25" s="2">
        <f>--97.3</f>
        <v>97.3</v>
      </c>
      <c r="H25" s="2"/>
      <c r="I25" s="2"/>
      <c r="J25" s="2"/>
      <c r="K25" s="2"/>
      <c r="L25" s="2"/>
      <c r="M25" s="2"/>
      <c r="N25" s="2"/>
      <c r="O25" s="2"/>
      <c r="Q25" s="2">
        <f>SUM(OSRRefD11_14x)+IFERROR(SUM(OSRRefE11_14x),0)</f>
        <v>205.63</v>
      </c>
    </row>
    <row r="26" spans="1:17" s="9" customFormat="1" hidden="1" outlineLevel="1" x14ac:dyDescent="0.25">
      <c r="A26" s="22"/>
      <c r="B26" s="13" t="str">
        <f>CONCATENATE("          ","4201", " - ","SALES RETURN TAXABLE-NEW TEXT")</f>
        <v xml:space="preserve">          4201 - SALES RETURN TAXABLE-NEW TEXT</v>
      </c>
      <c r="C26" s="23"/>
      <c r="D26" s="2">
        <f>-633.4</f>
        <v>-633.4</v>
      </c>
      <c r="E26" s="2">
        <f>-18222.39</f>
        <v>-18222.39</v>
      </c>
      <c r="F26" s="2">
        <f>-13393.2</f>
        <v>-13393.2</v>
      </c>
      <c r="G26" s="2">
        <f>-1512.25</f>
        <v>-1512.25</v>
      </c>
      <c r="H26" s="2"/>
      <c r="I26" s="2"/>
      <c r="J26" s="2"/>
      <c r="K26" s="2"/>
      <c r="L26" s="2"/>
      <c r="M26" s="2"/>
      <c r="N26" s="2"/>
      <c r="O26" s="2"/>
      <c r="Q26" s="2">
        <f>SUM(OSRRefD11_15x)+IFERROR(SUM(OSRRefE11_15x),0)</f>
        <v>-33761.240000000005</v>
      </c>
    </row>
    <row r="27" spans="1:17" s="9" customFormat="1" hidden="1" outlineLevel="1" x14ac:dyDescent="0.25">
      <c r="A27" s="22"/>
      <c r="B27" s="13" t="str">
        <f>CONCATENATE("          ","4202", " - ","SALES RETURN TAXABLE-USED TEXT")</f>
        <v xml:space="preserve">          4202 - SALES RETURN TAXABLE-USED TEXT</v>
      </c>
      <c r="C27" s="23"/>
      <c r="D27" s="2">
        <f>-178.35</f>
        <v>-178.35</v>
      </c>
      <c r="E27" s="2">
        <f>-8869.4</f>
        <v>-8869.4</v>
      </c>
      <c r="F27" s="2">
        <f>-1345.2</f>
        <v>-1345.2</v>
      </c>
      <c r="G27" s="2">
        <f>-136.05</f>
        <v>-136.05000000000001</v>
      </c>
      <c r="H27" s="2"/>
      <c r="I27" s="2"/>
      <c r="J27" s="2"/>
      <c r="K27" s="2"/>
      <c r="L27" s="2"/>
      <c r="M27" s="2"/>
      <c r="N27" s="2"/>
      <c r="O27" s="2"/>
      <c r="Q27" s="2">
        <f>SUM(OSRRefD11_16x)+IFERROR(SUM(OSRRefE11_16x),0)</f>
        <v>-10529</v>
      </c>
    </row>
    <row r="28" spans="1:17" s="9" customFormat="1" hidden="1" outlineLevel="1" x14ac:dyDescent="0.25">
      <c r="A28" s="22"/>
      <c r="B28" s="13" t="str">
        <f>CONCATENATE("          ","4204", " - ","SALES RETURN TAXABLE-DIGITAL T")</f>
        <v xml:space="preserve">          4204 - SALES RETURN TAXABLE-DIGITAL T</v>
      </c>
      <c r="C28" s="23"/>
      <c r="D28" s="2">
        <f t="shared" ref="D28:D29" si="3">0</f>
        <v>0</v>
      </c>
      <c r="E28" s="2">
        <f>-1141.08</f>
        <v>-1141.08</v>
      </c>
      <c r="F28" s="2">
        <f>-105.87</f>
        <v>-105.87</v>
      </c>
      <c r="G28" s="2">
        <f>-383.9</f>
        <v>-383.9</v>
      </c>
      <c r="H28" s="2"/>
      <c r="I28" s="2"/>
      <c r="J28" s="2"/>
      <c r="K28" s="2"/>
      <c r="L28" s="2"/>
      <c r="M28" s="2"/>
      <c r="N28" s="2"/>
      <c r="O28" s="2"/>
      <c r="Q28" s="2">
        <f>SUM(OSRRefD11_17x)+IFERROR(SUM(OSRRefE11_17x),0)</f>
        <v>-1630.85</v>
      </c>
    </row>
    <row r="29" spans="1:17" s="9" customFormat="1" hidden="1" outlineLevel="1" x14ac:dyDescent="0.25">
      <c r="A29" s="22"/>
      <c r="B29" s="13" t="str">
        <f>CONCATENATE("          ","4301", " - ","SALES RETURN NON TAXABLE-NEW T")</f>
        <v xml:space="preserve">          4301 - SALES RETURN NON TAXABLE-NEW T</v>
      </c>
      <c r="C29" s="23"/>
      <c r="D29" s="2">
        <f t="shared" si="3"/>
        <v>0</v>
      </c>
      <c r="E29" s="2">
        <f>-20.25</f>
        <v>-20.25</v>
      </c>
      <c r="F29" s="2">
        <f>-1820.43</f>
        <v>-1820.43</v>
      </c>
      <c r="G29" s="2">
        <f>-535.49</f>
        <v>-535.49</v>
      </c>
      <c r="H29" s="2"/>
      <c r="I29" s="2"/>
      <c r="J29" s="2"/>
      <c r="K29" s="2"/>
      <c r="L29" s="2"/>
      <c r="M29" s="2"/>
      <c r="N29" s="2"/>
      <c r="O29" s="2"/>
      <c r="Q29" s="2">
        <f>SUM(OSRRefD11_18x)+IFERROR(SUM(OSRRefE11_18x),0)</f>
        <v>-2376.17</v>
      </c>
    </row>
    <row r="30" spans="1:17" s="9" customFormat="1" hidden="1" outlineLevel="1" x14ac:dyDescent="0.25">
      <c r="A30" s="22"/>
      <c r="B30" s="13" t="str">
        <f>CONCATENATE("          ","4302", " - ","SALES RETURN NON TAXABLE-TEXT")</f>
        <v xml:space="preserve">          4302 - SALES RETURN NON TAXABLE-TEXT</v>
      </c>
      <c r="C30" s="23"/>
      <c r="D30" s="2">
        <f>-63.67</f>
        <v>-63.67</v>
      </c>
      <c r="E30" s="2">
        <f>-346.17</f>
        <v>-346.17</v>
      </c>
      <c r="F30" s="2">
        <f>-737.24</f>
        <v>-737.24</v>
      </c>
      <c r="G30" s="2">
        <f>-169.72</f>
        <v>-169.72</v>
      </c>
      <c r="H30" s="2"/>
      <c r="I30" s="2"/>
      <c r="J30" s="2"/>
      <c r="K30" s="2"/>
      <c r="L30" s="2"/>
      <c r="M30" s="2"/>
      <c r="N30" s="2"/>
      <c r="O30" s="2"/>
      <c r="Q30" s="2">
        <f>SUM(OSRRefD11_19x)+IFERROR(SUM(OSRRefE11_19x),0)</f>
        <v>-1316.8</v>
      </c>
    </row>
    <row r="31" spans="1:17" s="9" customFormat="1" hidden="1" outlineLevel="1" x14ac:dyDescent="0.25">
      <c r="A31" s="22"/>
      <c r="B31" s="13" t="str">
        <f>CONCATENATE("          ","4304", " - ","SALES RETURN NON TAXABLE-DIGIT")</f>
        <v xml:space="preserve">          4304 - SALES RETURN NON TAXABLE-DIGIT</v>
      </c>
      <c r="C31" s="23"/>
      <c r="D31" s="2">
        <f>-452.05</f>
        <v>-452.05</v>
      </c>
      <c r="E31" s="2">
        <f>-5500.68</f>
        <v>-5500.68</v>
      </c>
      <c r="F31" s="2">
        <f>-7456.63</f>
        <v>-7456.63</v>
      </c>
      <c r="G31" s="2">
        <f>-692.75</f>
        <v>-692.75</v>
      </c>
      <c r="H31" s="2"/>
      <c r="I31" s="2"/>
      <c r="J31" s="2"/>
      <c r="K31" s="2"/>
      <c r="L31" s="2"/>
      <c r="M31" s="2"/>
      <c r="N31" s="2"/>
      <c r="O31" s="2"/>
      <c r="Q31" s="2">
        <f>SUM(OSRRefD11_20x)+IFERROR(SUM(OSRRefE11_20x),0)</f>
        <v>-14102.11</v>
      </c>
    </row>
    <row r="32" spans="1:17" x14ac:dyDescent="0.25">
      <c r="A32" s="5"/>
      <c r="B32" s="8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9" customFormat="1" collapsed="1" x14ac:dyDescent="0.25">
      <c r="A33" s="22"/>
      <c r="B33" s="16" t="s">
        <v>290</v>
      </c>
      <c r="C33" s="23"/>
      <c r="D33" s="3">
        <f>SUM(OSRRefD14x_0)</f>
        <v>30817.280000000042</v>
      </c>
      <c r="E33" s="3">
        <f>SUM(OSRRefD14x_1)</f>
        <v>892362.06000000017</v>
      </c>
      <c r="F33" s="3">
        <f>SUM(OSRRefD14x_2)</f>
        <v>157316.49999999988</v>
      </c>
      <c r="G33" s="3">
        <f>SUM(OSRRefD14x_3)</f>
        <v>26221.499999999985</v>
      </c>
      <c r="H33" s="3">
        <f>SUM(OSRRefE14x_0)</f>
        <v>4539</v>
      </c>
      <c r="I33" s="3">
        <f>SUM(OSRRefE14x_1)</f>
        <v>25386</v>
      </c>
      <c r="J33" s="3">
        <f>SUM(OSRRefE14x_2)</f>
        <v>665204</v>
      </c>
      <c r="K33" s="3">
        <f>SUM(OSRRefE14x_3)</f>
        <v>79873</v>
      </c>
      <c r="L33" s="3">
        <f>SUM(OSRRefE14x_4)</f>
        <v>9957</v>
      </c>
      <c r="M33" s="3">
        <f>SUM(OSRRefE14x_5)</f>
        <v>5139</v>
      </c>
      <c r="N33" s="3">
        <f>SUM(OSRRefE14x_6)</f>
        <v>29821</v>
      </c>
      <c r="O33" s="3">
        <f>SUM(OSRRefE14x_7)</f>
        <v>8288</v>
      </c>
      <c r="Q33" s="3">
        <f>SUM(OSRRefG14x)</f>
        <v>1934924.34</v>
      </c>
    </row>
    <row r="34" spans="1:17" s="9" customFormat="1" hidden="1" outlineLevel="1" x14ac:dyDescent="0.25">
      <c r="A34" s="22"/>
      <c r="B34" s="13" t="str">
        <f>CONCATENATE("          ","5000", " - ","PURCHASES @ COST")</f>
        <v xml:space="preserve">          5000 - PURCHASES @ COST</v>
      </c>
      <c r="C34" s="23"/>
      <c r="D34" s="2"/>
      <c r="E34" s="2"/>
      <c r="F34" s="2"/>
      <c r="G34" s="2"/>
      <c r="H34" s="2">
        <v>4539</v>
      </c>
      <c r="I34" s="2">
        <v>25386</v>
      </c>
      <c r="J34" s="2">
        <v>665204</v>
      </c>
      <c r="K34" s="2">
        <v>79873</v>
      </c>
      <c r="L34" s="2">
        <v>9957</v>
      </c>
      <c r="M34" s="2">
        <v>5139</v>
      </c>
      <c r="N34" s="2">
        <v>29821</v>
      </c>
      <c r="O34" s="2">
        <v>8288</v>
      </c>
      <c r="Q34" s="2">
        <f>SUM(OSRRefD14_0x)+IFERROR(SUM(OSRRefE14_0x),0)</f>
        <v>828207</v>
      </c>
    </row>
    <row r="35" spans="1:17" s="9" customFormat="1" hidden="1" outlineLevel="1" x14ac:dyDescent="0.25">
      <c r="A35" s="22"/>
      <c r="B35" s="13" t="str">
        <f>CONCATENATE("          ","5001", " - ","PURCHASES @ COST-NEW TEXT")</f>
        <v xml:space="preserve">          5001 - PURCHASES @ COST-NEW TEXT</v>
      </c>
      <c r="C35" s="23"/>
      <c r="D35" s="2">
        <v>153110.63</v>
      </c>
      <c r="E35" s="2">
        <v>538222.14</v>
      </c>
      <c r="F35" s="2">
        <v>602088.99</v>
      </c>
      <c r="G35" s="2">
        <v>55775.07</v>
      </c>
      <c r="H35" s="2"/>
      <c r="I35" s="2"/>
      <c r="J35" s="2"/>
      <c r="K35" s="2"/>
      <c r="L35" s="2"/>
      <c r="M35" s="2"/>
      <c r="N35" s="2"/>
      <c r="O35" s="2"/>
      <c r="Q35" s="2">
        <f>SUM(OSRRefD14_1x)+IFERROR(SUM(OSRRefE14_1x),0)</f>
        <v>1349196.83</v>
      </c>
    </row>
    <row r="36" spans="1:17" s="9" customFormat="1" hidden="1" outlineLevel="1" x14ac:dyDescent="0.25">
      <c r="A36" s="22"/>
      <c r="B36" s="13" t="str">
        <f>CONCATENATE("          ","5002", " - ","PURCHASES @ COST-USED TEXT")</f>
        <v xml:space="preserve">          5002 - PURCHASES @ COST-USED TEXT</v>
      </c>
      <c r="C36" s="23"/>
      <c r="D36" s="2">
        <v>60324.850000000006</v>
      </c>
      <c r="E36" s="2">
        <v>128042.67</v>
      </c>
      <c r="F36" s="2">
        <v>108363.86</v>
      </c>
      <c r="G36" s="2">
        <v>6331.95</v>
      </c>
      <c r="H36" s="2"/>
      <c r="I36" s="2"/>
      <c r="J36" s="2"/>
      <c r="K36" s="2"/>
      <c r="L36" s="2"/>
      <c r="M36" s="2"/>
      <c r="N36" s="2"/>
      <c r="O36" s="2"/>
      <c r="Q36" s="2">
        <f>SUM(OSRRefD14_2x)+IFERROR(SUM(OSRRefE14_2x),0)</f>
        <v>303063.33</v>
      </c>
    </row>
    <row r="37" spans="1:17" s="9" customFormat="1" hidden="1" outlineLevel="1" x14ac:dyDescent="0.25">
      <c r="A37" s="22"/>
      <c r="B37" s="13" t="str">
        <f>CONCATENATE("          ","5003", " - ","PURCHASES @ COST-RENTAL TEXT")</f>
        <v xml:space="preserve">          5003 - PURCHASES @ COST-RENTAL TEXT</v>
      </c>
      <c r="C37" s="23"/>
      <c r="D37" s="2">
        <v>-11926.64</v>
      </c>
      <c r="E37" s="2">
        <v>58.8</v>
      </c>
      <c r="F37" s="2">
        <v>781.74</v>
      </c>
      <c r="G37" s="2">
        <v>10600.69</v>
      </c>
      <c r="H37" s="2"/>
      <c r="I37" s="2"/>
      <c r="J37" s="2"/>
      <c r="K37" s="2"/>
      <c r="L37" s="2"/>
      <c r="M37" s="2"/>
      <c r="N37" s="2"/>
      <c r="O37" s="2"/>
      <c r="Q37" s="2">
        <f>SUM(OSRRefD14_3x)+IFERROR(SUM(OSRRefE14_3x),0)</f>
        <v>-485.40999999999985</v>
      </c>
    </row>
    <row r="38" spans="1:17" s="9" customFormat="1" hidden="1" outlineLevel="1" x14ac:dyDescent="0.25">
      <c r="A38" s="22"/>
      <c r="B38" s="13" t="str">
        <f>CONCATENATE("          ","5004", " - ","PURCHASES @ COST-DIGITAL TEXT")</f>
        <v xml:space="preserve">          5004 - PURCHASES @ COST-DIGITAL TEXT</v>
      </c>
      <c r="C38" s="23"/>
      <c r="D38" s="2">
        <v>4925.4799999999996</v>
      </c>
      <c r="E38" s="2">
        <v>117504.49</v>
      </c>
      <c r="F38" s="2">
        <v>60186.1</v>
      </c>
      <c r="G38" s="2">
        <v>12903.46</v>
      </c>
      <c r="H38" s="2"/>
      <c r="I38" s="2"/>
      <c r="J38" s="2"/>
      <c r="K38" s="2"/>
      <c r="L38" s="2"/>
      <c r="M38" s="2"/>
      <c r="N38" s="2"/>
      <c r="O38" s="2"/>
      <c r="Q38" s="2">
        <f>SUM(OSRRefD14_4x)+IFERROR(SUM(OSRRefE14_4x),0)</f>
        <v>195519.53</v>
      </c>
    </row>
    <row r="39" spans="1:17" s="9" customFormat="1" hidden="1" outlineLevel="1" x14ac:dyDescent="0.25">
      <c r="A39" s="22"/>
      <c r="B39" s="13" t="str">
        <f>CONCATENATE("          ","5011", " - ","PURCHASES @ COST-NO VALUE TEXT")</f>
        <v xml:space="preserve">          5011 - PURCHASES @ COST-NO VALUE TEXT</v>
      </c>
      <c r="C39" s="23"/>
      <c r="D39" s="2"/>
      <c r="E39" s="2"/>
      <c r="F39" s="2"/>
      <c r="G39" s="2">
        <v>67.17</v>
      </c>
      <c r="H39" s="2"/>
      <c r="I39" s="2"/>
      <c r="J39" s="2"/>
      <c r="K39" s="2"/>
      <c r="L39" s="2"/>
      <c r="M39" s="2"/>
      <c r="N39" s="2"/>
      <c r="O39" s="2"/>
      <c r="Q39" s="2">
        <f>SUM(OSRRefD14_5x)+IFERROR(SUM(OSRRefE14_5x),0)</f>
        <v>67.17</v>
      </c>
    </row>
    <row r="40" spans="1:17" s="9" customFormat="1" hidden="1" outlineLevel="1" x14ac:dyDescent="0.25">
      <c r="A40" s="22"/>
      <c r="B40" s="13" t="str">
        <f>CONCATENATE("          ","5013", " - ","PURCHASES @ COST-TRADE BOOKS")</f>
        <v xml:space="preserve">          5013 - PURCHASES @ COST-TRADE BOOKS</v>
      </c>
      <c r="C40" s="23"/>
      <c r="D40" s="2">
        <v>108.54</v>
      </c>
      <c r="E40" s="2"/>
      <c r="F40" s="2">
        <v>-9.36</v>
      </c>
      <c r="G40" s="2">
        <v>1384.46</v>
      </c>
      <c r="H40" s="2"/>
      <c r="I40" s="2"/>
      <c r="J40" s="2"/>
      <c r="K40" s="2"/>
      <c r="L40" s="2"/>
      <c r="M40" s="2"/>
      <c r="N40" s="2"/>
      <c r="O40" s="2"/>
      <c r="Q40" s="2">
        <f>SUM(OSRRefD14_6x)+IFERROR(SUM(OSRRefE14_6x),0)</f>
        <v>1483.64</v>
      </c>
    </row>
    <row r="41" spans="1:17" s="9" customFormat="1" hidden="1" outlineLevel="1" x14ac:dyDescent="0.25">
      <c r="A41" s="22"/>
      <c r="B41" s="13" t="str">
        <f>CONCATENATE("          ","5014", " - ","PURCHASES @ COST-REMAINDERS")</f>
        <v xml:space="preserve">          5014 - PURCHASES @ COST-REMAINDERS</v>
      </c>
      <c r="C41" s="23"/>
      <c r="D41" s="2">
        <v>-12.51</v>
      </c>
      <c r="E41" s="2"/>
      <c r="F41" s="2"/>
      <c r="G41" s="2">
        <v>102.92</v>
      </c>
      <c r="H41" s="2"/>
      <c r="I41" s="2"/>
      <c r="J41" s="2"/>
      <c r="K41" s="2"/>
      <c r="L41" s="2"/>
      <c r="M41" s="2"/>
      <c r="N41" s="2"/>
      <c r="O41" s="2"/>
      <c r="Q41" s="2">
        <f>SUM(OSRRefD14_7x)+IFERROR(SUM(OSRRefE14_7x),0)</f>
        <v>90.41</v>
      </c>
    </row>
    <row r="42" spans="1:17" s="9" customFormat="1" hidden="1" outlineLevel="1" x14ac:dyDescent="0.25">
      <c r="A42" s="22"/>
      <c r="B42" s="13" t="str">
        <f>CONCATENATE("          ","5200", " - ","PURCHASES OFFSET")</f>
        <v xml:space="preserve">          5200 - PURCHASES OFFSET</v>
      </c>
      <c r="C42" s="23"/>
      <c r="D42" s="2">
        <v>-202651.68</v>
      </c>
      <c r="E42" s="2">
        <v>-478701.25999999995</v>
      </c>
      <c r="F42" s="2">
        <v>-757174.69000000006</v>
      </c>
      <c r="G42" s="2">
        <v>-111446.85</v>
      </c>
      <c r="H42" s="2"/>
      <c r="I42" s="2"/>
      <c r="J42" s="2"/>
      <c r="K42" s="2"/>
      <c r="L42" s="2"/>
      <c r="M42" s="2"/>
      <c r="N42" s="2"/>
      <c r="O42" s="2"/>
      <c r="Q42" s="2">
        <f>SUM(OSRRefD14_8x)+IFERROR(SUM(OSRRefE14_8x),0)</f>
        <v>-1549974.48</v>
      </c>
    </row>
    <row r="43" spans="1:17" s="9" customFormat="1" hidden="1" outlineLevel="1" x14ac:dyDescent="0.25">
      <c r="A43" s="22"/>
      <c r="B43" s="13" t="str">
        <f>CONCATENATE("          ","5300", " - ","COG$ OFFSET")</f>
        <v xml:space="preserve">          5300 - COG$ OFFSET</v>
      </c>
      <c r="C43" s="23"/>
      <c r="D43" s="2">
        <v>26088</v>
      </c>
      <c r="E43" s="2">
        <v>581368</v>
      </c>
      <c r="F43" s="2">
        <v>130513</v>
      </c>
      <c r="G43" s="2">
        <v>24962</v>
      </c>
      <c r="H43" s="2"/>
      <c r="I43" s="2"/>
      <c r="J43" s="2"/>
      <c r="K43" s="2"/>
      <c r="L43" s="2"/>
      <c r="M43" s="2"/>
      <c r="N43" s="2"/>
      <c r="O43" s="2"/>
      <c r="Q43" s="2">
        <f>SUM(OSRRefD14_9x)+IFERROR(SUM(OSRRefE14_9x),0)</f>
        <v>762931</v>
      </c>
    </row>
    <row r="44" spans="1:17" s="9" customFormat="1" hidden="1" outlineLevel="1" x14ac:dyDescent="0.25">
      <c r="A44" s="22"/>
      <c r="B44" s="13" t="str">
        <f>CONCATENATE("          ","5501", " - ","FREIGHT-IN-NEW TEXT")</f>
        <v xml:space="preserve">          5501 - FREIGHT-IN-NEW TEXT</v>
      </c>
      <c r="C44" s="23"/>
      <c r="D44" s="2">
        <v>802.72</v>
      </c>
      <c r="E44" s="2">
        <v>4680.5600000000004</v>
      </c>
      <c r="F44" s="2">
        <v>5279.6</v>
      </c>
      <c r="G44" s="2">
        <v>23295.74</v>
      </c>
      <c r="H44" s="2"/>
      <c r="I44" s="2"/>
      <c r="J44" s="2"/>
      <c r="K44" s="2"/>
      <c r="L44" s="2"/>
      <c r="M44" s="2"/>
      <c r="N44" s="2"/>
      <c r="O44" s="2"/>
      <c r="Q44" s="2">
        <f>SUM(OSRRefD14_10x)+IFERROR(SUM(OSRRefE14_10x),0)</f>
        <v>34058.620000000003</v>
      </c>
    </row>
    <row r="45" spans="1:17" s="9" customFormat="1" hidden="1" outlineLevel="1" x14ac:dyDescent="0.25">
      <c r="A45" s="22"/>
      <c r="B45" s="13" t="str">
        <f>CONCATENATE("          ","5502", " - ","FREIGHT-IN-USED TEXT")</f>
        <v xml:space="preserve">          5502 - FREIGHT-IN-USED TEXT</v>
      </c>
      <c r="C45" s="23"/>
      <c r="D45" s="2">
        <v>47.89</v>
      </c>
      <c r="E45" s="2">
        <v>1186.6600000000001</v>
      </c>
      <c r="F45" s="2">
        <v>7276.27</v>
      </c>
      <c r="G45" s="2">
        <v>2233.9</v>
      </c>
      <c r="H45" s="2"/>
      <c r="I45" s="2"/>
      <c r="J45" s="2"/>
      <c r="K45" s="2"/>
      <c r="L45" s="2"/>
      <c r="M45" s="2"/>
      <c r="N45" s="2"/>
      <c r="O45" s="2"/>
      <c r="Q45" s="2">
        <f>SUM(OSRRefD14_11x)+IFERROR(SUM(OSRRefE14_11x),0)</f>
        <v>10744.72</v>
      </c>
    </row>
    <row r="46" spans="1:17" s="9" customFormat="1" hidden="1" outlineLevel="1" x14ac:dyDescent="0.25">
      <c r="A46" s="22"/>
      <c r="B46" s="13" t="str">
        <f>CONCATENATE("          ","5504", " - ","FREIGHT-IN-DIGITAL TEXT")</f>
        <v xml:space="preserve">          5504 - FREIGHT-IN-DIGITAL TEXT</v>
      </c>
      <c r="C46" s="23"/>
      <c r="D46" s="2"/>
      <c r="E46" s="2"/>
      <c r="F46" s="2">
        <v>10.99</v>
      </c>
      <c r="G46" s="2">
        <v>10.99</v>
      </c>
      <c r="H46" s="2"/>
      <c r="I46" s="2"/>
      <c r="J46" s="2"/>
      <c r="K46" s="2"/>
      <c r="L46" s="2"/>
      <c r="M46" s="2"/>
      <c r="N46" s="2"/>
      <c r="O46" s="2"/>
      <c r="Q46" s="2">
        <f>SUM(OSRRefD14_12x)+IFERROR(SUM(OSRRefE14_12x),0)</f>
        <v>21.98</v>
      </c>
    </row>
    <row r="47" spans="1:17" x14ac:dyDescent="0.25">
      <c r="A47" s="5"/>
      <c r="B47" s="8"/>
      <c r="C47" s="8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Q47" s="3"/>
    </row>
    <row r="48" spans="1:17" s="14" customFormat="1" x14ac:dyDescent="0.25">
      <c r="A48" s="8"/>
      <c r="B48" s="17" t="s">
        <v>6</v>
      </c>
      <c r="C48" s="17"/>
      <c r="D48" s="6">
        <f t="shared" ref="D48:O48" si="4">IFERROR(+D10-D33, 0)</f>
        <v>17221.279999999962</v>
      </c>
      <c r="E48" s="6">
        <f t="shared" si="4"/>
        <v>333746.50000000012</v>
      </c>
      <c r="F48" s="6">
        <f t="shared" si="4"/>
        <v>80059.1700000001</v>
      </c>
      <c r="G48" s="6">
        <f t="shared" si="4"/>
        <v>7961.7400000000125</v>
      </c>
      <c r="H48" s="6">
        <f t="shared" si="4"/>
        <v>1674</v>
      </c>
      <c r="I48" s="6">
        <f t="shared" si="4"/>
        <v>9388</v>
      </c>
      <c r="J48" s="6">
        <f t="shared" si="4"/>
        <v>235822.10000000009</v>
      </c>
      <c r="K48" s="6">
        <f t="shared" si="4"/>
        <v>29018.399999999994</v>
      </c>
      <c r="L48" s="6">
        <f t="shared" si="4"/>
        <v>3648.5</v>
      </c>
      <c r="M48" s="6">
        <f t="shared" si="4"/>
        <v>1880.5500000000002</v>
      </c>
      <c r="N48" s="6">
        <f t="shared" si="4"/>
        <v>10921.5</v>
      </c>
      <c r="O48" s="6">
        <f t="shared" si="4"/>
        <v>3127.8999999999996</v>
      </c>
      <c r="Q48" s="6">
        <f>IFERROR(+Q10-Q33, 0)</f>
        <v>734469.64000000083</v>
      </c>
    </row>
    <row r="49" spans="1:17" s="8" customFormat="1" x14ac:dyDescent="0.25">
      <c r="B49" s="16"/>
      <c r="C49" s="16"/>
      <c r="D49" s="4">
        <f t="shared" ref="D49:O49" si="5">IFERROR(D48/D10, 0)</f>
        <v>0.35848868075978879</v>
      </c>
      <c r="E49" s="4">
        <f t="shared" si="5"/>
        <v>0.27219979607678463</v>
      </c>
      <c r="F49" s="4">
        <f t="shared" si="5"/>
        <v>0.33726780002348222</v>
      </c>
      <c r="G49" s="4">
        <f t="shared" si="5"/>
        <v>0.23291355646802389</v>
      </c>
      <c r="H49" s="4">
        <f t="shared" si="5"/>
        <v>0.26943505552873009</v>
      </c>
      <c r="I49" s="4">
        <f t="shared" si="5"/>
        <v>0.26997181802496117</v>
      </c>
      <c r="J49" s="4">
        <f t="shared" si="5"/>
        <v>0.26172615865400578</v>
      </c>
      <c r="K49" s="4">
        <f t="shared" si="5"/>
        <v>0.26648936463301964</v>
      </c>
      <c r="L49" s="4">
        <f t="shared" si="5"/>
        <v>0.26816361030465619</v>
      </c>
      <c r="M49" s="4">
        <f t="shared" si="5"/>
        <v>0.26790178857619079</v>
      </c>
      <c r="N49" s="4">
        <f t="shared" si="5"/>
        <v>0.26806160643063143</v>
      </c>
      <c r="O49" s="4">
        <f t="shared" si="5"/>
        <v>0.2739950420028206</v>
      </c>
      <c r="P49" s="18"/>
      <c r="Q49" s="4">
        <f>IFERROR(Q48/Q10, 0)</f>
        <v>0.27514471280856062</v>
      </c>
    </row>
    <row r="50" spans="1:17" x14ac:dyDescent="0.25">
      <c r="A50" s="5"/>
      <c r="B50" s="8"/>
      <c r="C50" s="5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Q50" s="1"/>
    </row>
    <row r="51" spans="1:17" s="14" customFormat="1" x14ac:dyDescent="0.25">
      <c r="A51" s="8"/>
      <c r="B51" s="16" t="s">
        <v>291</v>
      </c>
      <c r="C51" s="8"/>
      <c r="D51" s="10">
        <f>SUM(OSRRefD20x_0)</f>
        <v>40144.110000000008</v>
      </c>
      <c r="E51" s="10">
        <f>SUM(OSRRefD20x_1)</f>
        <v>48390.54</v>
      </c>
      <c r="F51" s="10">
        <f>SUM(OSRRefD20x_2)</f>
        <v>39896.36</v>
      </c>
      <c r="G51" s="10">
        <f>SUM(OSRRefD20x_3)</f>
        <v>41286.31</v>
      </c>
      <c r="H51" s="10">
        <f>SUM(OSRRefE20x_0)</f>
        <v>41822.505273861527</v>
      </c>
      <c r="I51" s="10">
        <f>SUM(OSRRefE20x_1)</f>
        <v>45252.210673861526</v>
      </c>
      <c r="J51" s="10">
        <f>SUM(OSRRefE20x_2)</f>
        <v>92464.761198826949</v>
      </c>
      <c r="K51" s="10">
        <f>SUM(OSRRefE20x_3)</f>
        <v>52855.049649611523</v>
      </c>
      <c r="L51" s="10">
        <f>SUM(OSRRefE20x_4)</f>
        <v>44427.072049611525</v>
      </c>
      <c r="M51" s="10">
        <f>SUM(OSRRefE20x_5)</f>
        <v>50819.782569826944</v>
      </c>
      <c r="N51" s="10">
        <f>SUM(OSRRefE20x_6)</f>
        <v>55369.072558111526</v>
      </c>
      <c r="O51" s="10">
        <f>SUM(OSRRefE20x_7)</f>
        <v>84961.888306236535</v>
      </c>
      <c r="Q51" s="10">
        <f>SUM(OSRRefG20x)</f>
        <v>637689.66227994801</v>
      </c>
    </row>
    <row r="52" spans="1:17" s="34" customFormat="1" collapsed="1" x14ac:dyDescent="0.25">
      <c r="A52" s="35"/>
      <c r="B52" s="15" t="str">
        <f>CONCATENATE("     ","*Benefits                                         ")</f>
        <v xml:space="preserve">     *Benefits                                         </v>
      </c>
      <c r="C52" s="15"/>
      <c r="D52" s="1">
        <f>SUM(OSRRefD21_0x_0)</f>
        <v>11154.429999999998</v>
      </c>
      <c r="E52" s="1">
        <f>SUM(OSRRefD21_0x_1)</f>
        <v>10659.73</v>
      </c>
      <c r="F52" s="1">
        <f>SUM(OSRRefD21_0x_2)</f>
        <v>10776.93</v>
      </c>
      <c r="G52" s="1">
        <f>SUM(OSRRefD21_0x_3)</f>
        <v>13021.619999999999</v>
      </c>
      <c r="H52" s="1">
        <f>SUM(OSRRefE21_0x_0)</f>
        <v>11111.503130169229</v>
      </c>
      <c r="I52" s="1">
        <f>SUM(OSRRefE21_0x_1)</f>
        <v>11159.70853016923</v>
      </c>
      <c r="J52" s="1">
        <f>SUM(OSRRefE21_0x_2)</f>
        <v>16013.202269211539</v>
      </c>
      <c r="K52" s="1">
        <f>SUM(OSRRefE21_0x_3)</f>
        <v>11498.365005919226</v>
      </c>
      <c r="L52" s="1">
        <f>SUM(OSRRefE21_0x_4)</f>
        <v>11211.387405919226</v>
      </c>
      <c r="M52" s="1">
        <f>SUM(OSRRefE21_0x_5)</f>
        <v>12995.254890211541</v>
      </c>
      <c r="N52" s="1">
        <f>SUM(OSRRefE21_0x_6)</f>
        <v>11355.815414419229</v>
      </c>
      <c r="O52" s="1">
        <f>SUM(OSRRefE21_0x_7)</f>
        <v>11671.693662544229</v>
      </c>
      <c r="Q52" s="2">
        <f>SUM(OSRRefD20_0x)+IFERROR(SUM(OSRRefE20_0x),0)</f>
        <v>142629.64030856342</v>
      </c>
    </row>
    <row r="53" spans="1:17" s="34" customFormat="1" hidden="1" outlineLevel="1" x14ac:dyDescent="0.25">
      <c r="A53" s="35"/>
      <c r="B53" s="13" t="str">
        <f>CONCATENATE("          ","6111", " - ","F.I.C.A.")</f>
        <v xml:space="preserve">          6111 - F.I.C.A.</v>
      </c>
      <c r="C53" s="15"/>
      <c r="D53" s="2">
        <v>1802.45</v>
      </c>
      <c r="E53" s="2">
        <v>2291.5500000000002</v>
      </c>
      <c r="F53" s="2">
        <v>2005.88</v>
      </c>
      <c r="G53" s="2">
        <v>3122.76</v>
      </c>
      <c r="H53" s="2">
        <v>1568.3171629384599</v>
      </c>
      <c r="I53" s="2">
        <v>1589.3629129384599</v>
      </c>
      <c r="J53" s="2">
        <v>3099.0375357980797</v>
      </c>
      <c r="K53" s="2">
        <v>1568.3171629384599</v>
      </c>
      <c r="L53" s="2">
        <v>1568.3171629384599</v>
      </c>
      <c r="M53" s="2">
        <v>1960.39645367308</v>
      </c>
      <c r="N53" s="2">
        <v>1633.6642166884599</v>
      </c>
      <c r="O53" s="2">
        <v>1927.7259585634599</v>
      </c>
      <c r="P53" s="9"/>
      <c r="Q53" s="2">
        <f>SUM(OSRRefD21_0_0x)+IFERROR(SUM(OSRRefE21_0_0x),0)</f>
        <v>24137.778566476918</v>
      </c>
    </row>
    <row r="54" spans="1:17" s="34" customFormat="1" hidden="1" outlineLevel="1" x14ac:dyDescent="0.25">
      <c r="A54" s="35"/>
      <c r="B54" s="13" t="str">
        <f>CONCATENATE("          ","6112", " - ","COMPENSATION INSURANCE")</f>
        <v xml:space="preserve">          6112 - COMPENSATION INSURANCE</v>
      </c>
      <c r="C54" s="15"/>
      <c r="D54" s="2">
        <v>147.41999999999999</v>
      </c>
      <c r="E54" s="2">
        <v>190.93</v>
      </c>
      <c r="F54" s="2">
        <v>94.94</v>
      </c>
      <c r="G54" s="2">
        <v>89.88</v>
      </c>
      <c r="H54" s="2">
        <v>430.048068461539</v>
      </c>
      <c r="I54" s="2">
        <v>439.88081846153904</v>
      </c>
      <c r="J54" s="2">
        <v>1273.01012620192</v>
      </c>
      <c r="K54" s="2">
        <v>570.10569471153792</v>
      </c>
      <c r="L54" s="2">
        <v>466.20969471153796</v>
      </c>
      <c r="M54" s="2">
        <v>592.635048076923</v>
      </c>
      <c r="N54" s="2">
        <v>494.83978596153895</v>
      </c>
      <c r="O54" s="2">
        <v>502.73812971153899</v>
      </c>
      <c r="P54" s="9"/>
      <c r="Q54" s="2">
        <f>SUM(OSRRefD21_0_1x)+IFERROR(SUM(OSRRefE21_0_1x),0)</f>
        <v>5292.637366298075</v>
      </c>
    </row>
    <row r="55" spans="1:17" s="34" customFormat="1" hidden="1" outlineLevel="1" x14ac:dyDescent="0.25">
      <c r="A55" s="35"/>
      <c r="B55" s="13" t="str">
        <f>CONCATENATE("          ","6113", " - ","GROUP INSURANCE")</f>
        <v xml:space="preserve">          6113 - GROUP INSURANCE</v>
      </c>
      <c r="C55" s="15"/>
      <c r="D55" s="2">
        <v>4248.21</v>
      </c>
      <c r="E55" s="2">
        <v>4114</v>
      </c>
      <c r="F55" s="2">
        <v>4248.21</v>
      </c>
      <c r="G55" s="2">
        <v>4248.21</v>
      </c>
      <c r="H55" s="2">
        <v>4662.6923076923094</v>
      </c>
      <c r="I55" s="2">
        <v>4662.6923076923094</v>
      </c>
      <c r="J55" s="2">
        <v>4969.6153846153802</v>
      </c>
      <c r="K55" s="2">
        <v>4662.6923076923094</v>
      </c>
      <c r="L55" s="2">
        <v>4662.6923076923094</v>
      </c>
      <c r="M55" s="2">
        <v>4969.6153846153802</v>
      </c>
      <c r="N55" s="2">
        <v>4662.6923076923094</v>
      </c>
      <c r="O55" s="2">
        <v>4662.6923076923094</v>
      </c>
      <c r="P55" s="9"/>
      <c r="Q55" s="2">
        <f>SUM(OSRRefD21_0_2x)+IFERROR(SUM(OSRRefE21_0_2x),0)</f>
        <v>54774.014615384614</v>
      </c>
    </row>
    <row r="56" spans="1:17" s="34" customFormat="1" hidden="1" outlineLevel="1" x14ac:dyDescent="0.25">
      <c r="A56" s="35"/>
      <c r="B56" s="13" t="str">
        <f>CONCATENATE("          ","6114", " - ","STATE UNEMPLOYMENT INSURANCE")</f>
        <v xml:space="preserve">          6114 - STATE UNEMPLOYMENT INSURANCE</v>
      </c>
      <c r="C56" s="15"/>
      <c r="D56" s="2">
        <v>61.43</v>
      </c>
      <c r="E56" s="2">
        <v>71.989999999999995</v>
      </c>
      <c r="F56" s="2">
        <v>74.8</v>
      </c>
      <c r="G56" s="2">
        <v>60.94</v>
      </c>
      <c r="H56" s="2">
        <v>60.439188000000001</v>
      </c>
      <c r="I56" s="2">
        <v>61.821088000000003</v>
      </c>
      <c r="J56" s="2">
        <v>178.90953124999999</v>
      </c>
      <c r="K56" s="2">
        <v>80.1229625</v>
      </c>
      <c r="L56" s="2">
        <v>65.521362499999995</v>
      </c>
      <c r="M56" s="2">
        <v>83.289249999999996</v>
      </c>
      <c r="N56" s="2">
        <v>69.545051000000001</v>
      </c>
      <c r="O56" s="2">
        <v>70.655088500000005</v>
      </c>
      <c r="P56" s="9"/>
      <c r="Q56" s="2">
        <f>SUM(OSRRefD21_0_3x)+IFERROR(SUM(OSRRefE21_0_3x),0)</f>
        <v>939.46352174999993</v>
      </c>
    </row>
    <row r="57" spans="1:17" s="34" customFormat="1" hidden="1" outlineLevel="1" x14ac:dyDescent="0.25">
      <c r="A57" s="35"/>
      <c r="B57" s="13" t="str">
        <f>CONCATENATE("          ","6115", " - ","P.E.R.S.")</f>
        <v xml:space="preserve">          6115 - P.E.R.S.</v>
      </c>
      <c r="C57" s="15"/>
      <c r="D57" s="2">
        <v>2220.3200000000002</v>
      </c>
      <c r="E57" s="2">
        <v>1480.2</v>
      </c>
      <c r="F57" s="2">
        <v>1480.2</v>
      </c>
      <c r="G57" s="2">
        <v>1480.2</v>
      </c>
      <c r="H57" s="2">
        <v>1268.5379723076899</v>
      </c>
      <c r="I57" s="2">
        <v>1268.5379723076899</v>
      </c>
      <c r="J57" s="2">
        <v>1585.67246538462</v>
      </c>
      <c r="K57" s="2">
        <v>1268.5379723076899</v>
      </c>
      <c r="L57" s="2">
        <v>1268.5379723076899</v>
      </c>
      <c r="M57" s="2">
        <v>1585.67246538462</v>
      </c>
      <c r="N57" s="2">
        <v>1268.5379723076899</v>
      </c>
      <c r="O57" s="2">
        <v>1268.5379723076899</v>
      </c>
      <c r="P57" s="9"/>
      <c r="Q57" s="2">
        <f>SUM(OSRRefD21_0_4x)+IFERROR(SUM(OSRRefE21_0_4x),0)</f>
        <v>17443.492764615377</v>
      </c>
    </row>
    <row r="58" spans="1:17" s="34" customFormat="1" hidden="1" outlineLevel="1" x14ac:dyDescent="0.25">
      <c r="A58" s="35"/>
      <c r="B58" s="13" t="str">
        <f>CONCATENATE("          ","6116", " - ","EDUCATIONAL BENEFITS")</f>
        <v xml:space="preserve">          6116 - EDUCATIONAL BENEFITS</v>
      </c>
      <c r="C58" s="15"/>
      <c r="D58" s="2"/>
      <c r="E58" s="2"/>
      <c r="F58" s="2"/>
      <c r="G58" s="2"/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SUM(OSRRefD21_0_5x)+IFERROR(SUM(OSRRefE21_0_5x),0)</f>
        <v>0</v>
      </c>
    </row>
    <row r="59" spans="1:17" s="34" customFormat="1" hidden="1" outlineLevel="1" x14ac:dyDescent="0.25">
      <c r="A59" s="35"/>
      <c r="B59" s="13" t="str">
        <f>CONCATENATE("          ","6117", " - ","RETIREMENT STAFF HOURLY")</f>
        <v xml:space="preserve">          6117 - RETIREMENT STAFF HOURLY</v>
      </c>
      <c r="C59" s="15"/>
      <c r="D59" s="2">
        <v>333.14</v>
      </c>
      <c r="E59" s="2">
        <v>255.65</v>
      </c>
      <c r="F59" s="2">
        <v>248.98</v>
      </c>
      <c r="G59" s="2">
        <v>222.97</v>
      </c>
      <c r="H59" s="2"/>
      <c r="I59" s="2"/>
      <c r="J59" s="2"/>
      <c r="K59" s="2"/>
      <c r="L59" s="2"/>
      <c r="M59" s="2"/>
      <c r="N59" s="2"/>
      <c r="O59" s="2"/>
      <c r="P59" s="9"/>
      <c r="Q59" s="2">
        <f>SUM(OSRRefD21_0_6x)+IFERROR(SUM(OSRRefE21_0_6x),0)</f>
        <v>1060.74</v>
      </c>
    </row>
    <row r="60" spans="1:17" s="34" customFormat="1" hidden="1" outlineLevel="1" x14ac:dyDescent="0.25">
      <c r="A60" s="35"/>
      <c r="B60" s="13" t="str">
        <f>CONCATENATE("          ","6118", " - ","VACATION")</f>
        <v xml:space="preserve">          6118 - VACATION</v>
      </c>
      <c r="C60" s="15"/>
      <c r="D60" s="2">
        <v>967.81</v>
      </c>
      <c r="E60" s="2">
        <v>942.5</v>
      </c>
      <c r="F60" s="2">
        <v>1121.07</v>
      </c>
      <c r="G60" s="2">
        <v>1853.32</v>
      </c>
      <c r="H60" s="2">
        <v>1346.2077200000001</v>
      </c>
      <c r="I60" s="2">
        <v>1346.2077200000001</v>
      </c>
      <c r="J60" s="2">
        <v>1682.75965</v>
      </c>
      <c r="K60" s="2">
        <v>1346.2077200000001</v>
      </c>
      <c r="L60" s="2">
        <v>1346.2077200000001</v>
      </c>
      <c r="M60" s="2">
        <v>1682.75965</v>
      </c>
      <c r="N60" s="2">
        <v>1346.2077200000001</v>
      </c>
      <c r="O60" s="2">
        <v>1346.2077200000001</v>
      </c>
      <c r="P60" s="9"/>
      <c r="Q60" s="2">
        <f>SUM(OSRRefD21_0_7x)+IFERROR(SUM(OSRRefE21_0_7x),0)</f>
        <v>16327.465620000003</v>
      </c>
    </row>
    <row r="61" spans="1:17" s="34" customFormat="1" hidden="1" outlineLevel="1" x14ac:dyDescent="0.25">
      <c r="A61" s="35"/>
      <c r="B61" s="13" t="str">
        <f>CONCATENATE("          ","6119", " - ","SICK LEAVE")</f>
        <v xml:space="preserve">          6119 - SICK LEAVE</v>
      </c>
      <c r="C61" s="15"/>
      <c r="D61" s="2">
        <v>944.6</v>
      </c>
      <c r="E61" s="2">
        <v>944.6</v>
      </c>
      <c r="F61" s="2">
        <v>944.6</v>
      </c>
      <c r="G61" s="2">
        <v>1416.9</v>
      </c>
      <c r="H61" s="2">
        <v>1025.2607107692299</v>
      </c>
      <c r="I61" s="2">
        <v>1041.2057107692301</v>
      </c>
      <c r="J61" s="2">
        <v>2474.1975759615402</v>
      </c>
      <c r="K61" s="2">
        <v>1252.3811857692299</v>
      </c>
      <c r="L61" s="2">
        <v>1083.9011857692299</v>
      </c>
      <c r="M61" s="2">
        <v>1370.8866384615399</v>
      </c>
      <c r="N61" s="2">
        <v>1130.3283607692301</v>
      </c>
      <c r="O61" s="2">
        <v>1143.1364857692299</v>
      </c>
      <c r="P61" s="9"/>
      <c r="Q61" s="2">
        <f>SUM(OSRRefD21_0_8x)+IFERROR(SUM(OSRRefE21_0_8x),0)</f>
        <v>14771.99785403846</v>
      </c>
    </row>
    <row r="62" spans="1:17" s="34" customFormat="1" hidden="1" outlineLevel="1" x14ac:dyDescent="0.25">
      <c r="A62" s="35"/>
      <c r="B62" s="13" t="str">
        <f>CONCATENATE("          ","6156", " - ","EMPLOYEE MEALS")</f>
        <v xml:space="preserve">          6156 - EMPLOYEE MEALS</v>
      </c>
      <c r="C62" s="15"/>
      <c r="D62" s="2">
        <v>429.05</v>
      </c>
      <c r="E62" s="2">
        <v>368.31</v>
      </c>
      <c r="F62" s="2">
        <v>558.25</v>
      </c>
      <c r="G62" s="2">
        <v>526.44000000000005</v>
      </c>
      <c r="H62" s="2">
        <v>750</v>
      </c>
      <c r="I62" s="2">
        <v>750</v>
      </c>
      <c r="J62" s="2">
        <v>750</v>
      </c>
      <c r="K62" s="2">
        <v>750</v>
      </c>
      <c r="L62" s="2">
        <v>750</v>
      </c>
      <c r="M62" s="2">
        <v>750</v>
      </c>
      <c r="N62" s="2">
        <v>750</v>
      </c>
      <c r="O62" s="2">
        <v>750</v>
      </c>
      <c r="P62" s="9"/>
      <c r="Q62" s="2">
        <f>SUM(OSRRefD21_0_9x)+IFERROR(SUM(OSRRefE21_0_9x),0)</f>
        <v>7882.05</v>
      </c>
    </row>
    <row r="63" spans="1:17" s="34" customFormat="1" collapsed="1" x14ac:dyDescent="0.25">
      <c r="A63" s="35"/>
      <c r="B63" s="15" t="str">
        <f>CONCATENATE("     ","*Payroll                                          ")</f>
        <v xml:space="preserve">     *Payroll                                          </v>
      </c>
      <c r="C63" s="15"/>
      <c r="D63" s="1">
        <f>SUM(OSRRefD21_1x_0)</f>
        <v>29301.230000000003</v>
      </c>
      <c r="E63" s="1">
        <f>SUM(OSRRefD21_1x_1)</f>
        <v>35256.06</v>
      </c>
      <c r="F63" s="1">
        <f>SUM(OSRRefD21_1x_2)</f>
        <v>25117.03</v>
      </c>
      <c r="G63" s="1">
        <f>SUM(OSRRefD21_1x_3)</f>
        <v>26770.510000000002</v>
      </c>
      <c r="H63" s="1">
        <f>SUM(OSRRefE21_1x_0)</f>
        <v>21146.002143692298</v>
      </c>
      <c r="I63" s="1">
        <f>SUM(OSRRefE21_1x_1)</f>
        <v>21677.502143692298</v>
      </c>
      <c r="J63" s="1">
        <f>SUM(OSRRefE21_1x_2)</f>
        <v>66186.558929615407</v>
      </c>
      <c r="K63" s="1">
        <f>SUM(OSRRefE21_1x_3)</f>
        <v>28716.684643692297</v>
      </c>
      <c r="L63" s="1">
        <f>SUM(OSRRefE21_1x_4)</f>
        <v>23100.684643692297</v>
      </c>
      <c r="M63" s="1">
        <f>SUM(OSRRefE21_1x_5)</f>
        <v>29409.527679615403</v>
      </c>
      <c r="N63" s="1">
        <f>SUM(OSRRefE21_1x_6)</f>
        <v>24648.257143692299</v>
      </c>
      <c r="O63" s="1">
        <f>SUM(OSRRefE21_1x_7)</f>
        <v>25075.194643692299</v>
      </c>
      <c r="Q63" s="2">
        <f>SUM(OSRRefD20_1x)+IFERROR(SUM(OSRRefE20_1x),0)</f>
        <v>356405.24197138462</v>
      </c>
    </row>
    <row r="64" spans="1:17" s="34" customFormat="1" hidden="1" outlineLevel="1" x14ac:dyDescent="0.25">
      <c r="A64" s="35"/>
      <c r="B64" s="13" t="str">
        <f>CONCATENATE("          ","6001", " - ","ADMINISTRATIVE SALARIES")</f>
        <v xml:space="preserve">          6001 - ADMINISTRATIVE SALARIES</v>
      </c>
      <c r="C64" s="15"/>
      <c r="D64" s="2">
        <v>-311.32</v>
      </c>
      <c r="E64" s="2"/>
      <c r="F64" s="2"/>
      <c r="G64" s="2"/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SUM(OSRRefD21_1_0x)+IFERROR(SUM(OSRRefE21_1_0x),0)</f>
        <v>-311.32</v>
      </c>
    </row>
    <row r="65" spans="1:17" s="34" customFormat="1" hidden="1" outlineLevel="1" x14ac:dyDescent="0.25">
      <c r="A65" s="35"/>
      <c r="B65" s="13" t="str">
        <f>CONCATENATE("          ","6002", " - ","STAFF SALARIES")</f>
        <v xml:space="preserve">          6002 - STAFF SALARIES</v>
      </c>
      <c r="C65" s="15"/>
      <c r="D65" s="2">
        <v>18429.759999999998</v>
      </c>
      <c r="E65" s="2">
        <v>14705.64</v>
      </c>
      <c r="F65" s="2">
        <v>14307.52</v>
      </c>
      <c r="G65" s="2">
        <v>16701.230000000003</v>
      </c>
      <c r="H65" s="2">
        <v>13107.2520636923</v>
      </c>
      <c r="I65" s="2">
        <v>13107.2520636923</v>
      </c>
      <c r="J65" s="2">
        <v>16384.0650796154</v>
      </c>
      <c r="K65" s="2">
        <v>13107.2520636923</v>
      </c>
      <c r="L65" s="2">
        <v>13107.2520636923</v>
      </c>
      <c r="M65" s="2">
        <v>16384.0650796154</v>
      </c>
      <c r="N65" s="2">
        <v>13107.2520636923</v>
      </c>
      <c r="O65" s="2">
        <v>13107.2520636923</v>
      </c>
      <c r="P65" s="9"/>
      <c r="Q65" s="2">
        <f>SUM(OSRRefD21_1_1x)+IFERROR(SUM(OSRRefE21_1_1x),0)</f>
        <v>175555.79254138458</v>
      </c>
    </row>
    <row r="66" spans="1:17" s="34" customFormat="1" hidden="1" outlineLevel="1" x14ac:dyDescent="0.25">
      <c r="A66" s="35"/>
      <c r="B66" s="13" t="str">
        <f>CONCATENATE("          ","6003", " - ","STAFF HOURLY-9 MONTH")</f>
        <v xml:space="preserve">          6003 - STAFF HOURLY-9 MONTH</v>
      </c>
      <c r="C66" s="15"/>
      <c r="D66" s="2"/>
      <c r="E66" s="2"/>
      <c r="F66" s="2"/>
      <c r="G66" s="2"/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SUM(OSRRefD21_1_2x)+IFERROR(SUM(OSRRefE21_1_2x),0)</f>
        <v>0</v>
      </c>
    </row>
    <row r="67" spans="1:17" s="34" customFormat="1" hidden="1" outlineLevel="1" x14ac:dyDescent="0.25">
      <c r="A67" s="35"/>
      <c r="B67" s="13" t="str">
        <f>CONCATENATE("          ","6004", " - ","STAFF HOURLY")</f>
        <v xml:space="preserve">          6004 - STAFF HOURLY</v>
      </c>
      <c r="C67" s="15"/>
      <c r="D67" s="2">
        <v>5507.97</v>
      </c>
      <c r="E67" s="2">
        <v>6665.13</v>
      </c>
      <c r="F67" s="2">
        <v>6404.63</v>
      </c>
      <c r="G67" s="2">
        <v>8733.7900000000009</v>
      </c>
      <c r="H67" s="2">
        <v>5285.7500799999998</v>
      </c>
      <c r="I67" s="2">
        <v>5285.7500799999998</v>
      </c>
      <c r="J67" s="2">
        <v>6607.1876000000002</v>
      </c>
      <c r="K67" s="2">
        <v>5285.7500799999998</v>
      </c>
      <c r="L67" s="2">
        <v>5285.7500799999998</v>
      </c>
      <c r="M67" s="2">
        <v>6607.1876000000002</v>
      </c>
      <c r="N67" s="2">
        <v>5285.7500799999998</v>
      </c>
      <c r="O67" s="2">
        <v>5285.7500799999998</v>
      </c>
      <c r="P67" s="9"/>
      <c r="Q67" s="2">
        <f>SUM(OSRRefD21_1_3x)+IFERROR(SUM(OSRRefE21_1_3x),0)</f>
        <v>72240.395679999987</v>
      </c>
    </row>
    <row r="68" spans="1:17" s="34" customFormat="1" hidden="1" outlineLevel="1" x14ac:dyDescent="0.25">
      <c r="A68" s="35"/>
      <c r="B68" s="13" t="str">
        <f>CONCATENATE("          ","6005", " - ","TEMPORARY WAGES-HOURLY")</f>
        <v xml:space="preserve">          6005 - TEMPORARY WAGES-HOURLY</v>
      </c>
      <c r="C68" s="15"/>
      <c r="D68" s="2">
        <v>1986.02</v>
      </c>
      <c r="E68" s="2">
        <v>3708.03</v>
      </c>
      <c r="F68" s="2">
        <v>5645.28</v>
      </c>
      <c r="G68" s="2">
        <v>1498.67</v>
      </c>
      <c r="H68" s="2">
        <v>1653</v>
      </c>
      <c r="I68" s="2">
        <v>1909.5</v>
      </c>
      <c r="J68" s="2">
        <v>2964</v>
      </c>
      <c r="K68" s="2">
        <v>1719.12</v>
      </c>
      <c r="L68" s="2">
        <v>1719.12</v>
      </c>
      <c r="M68" s="2">
        <v>2148.9</v>
      </c>
      <c r="N68" s="2">
        <v>1985.88</v>
      </c>
      <c r="O68" s="2">
        <v>1985.88</v>
      </c>
      <c r="P68" s="9"/>
      <c r="Q68" s="2">
        <f>SUM(OSRRefD21_1_4x)+IFERROR(SUM(OSRRefE21_1_4x),0)</f>
        <v>28923.399999999998</v>
      </c>
    </row>
    <row r="69" spans="1:17" s="34" customFormat="1" hidden="1" outlineLevel="1" x14ac:dyDescent="0.25">
      <c r="A69" s="35"/>
      <c r="B69" s="13" t="str">
        <f>CONCATENATE("          ","6006", " - ","TEMPORARY PART TIME")</f>
        <v xml:space="preserve">          6006 - TEMPORARY PART TIME</v>
      </c>
      <c r="C69" s="15"/>
      <c r="D69" s="2">
        <v>502.29</v>
      </c>
      <c r="E69" s="2"/>
      <c r="F69" s="2"/>
      <c r="G69" s="2"/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SUM(OSRRefD21_1_5x)+IFERROR(SUM(OSRRefE21_1_5x),0)</f>
        <v>502.29</v>
      </c>
    </row>
    <row r="70" spans="1:17" s="34" customFormat="1" hidden="1" outlineLevel="1" x14ac:dyDescent="0.25">
      <c r="A70" s="35"/>
      <c r="B70" s="13" t="str">
        <f>CONCATENATE("          ","6007", " - ","STUDENT HOURLY")</f>
        <v xml:space="preserve">          6007 - STUDENT HOURLY</v>
      </c>
      <c r="C70" s="15"/>
      <c r="D70" s="2">
        <v>3186.51</v>
      </c>
      <c r="E70" s="2">
        <v>10177.26</v>
      </c>
      <c r="F70" s="2">
        <v>-1240.4000000000001</v>
      </c>
      <c r="G70" s="2">
        <v>-163.18</v>
      </c>
      <c r="H70" s="2">
        <v>0</v>
      </c>
      <c r="I70" s="2">
        <v>275</v>
      </c>
      <c r="J70" s="2">
        <v>14878.362499999999</v>
      </c>
      <c r="K70" s="2">
        <v>0</v>
      </c>
      <c r="L70" s="2">
        <v>0</v>
      </c>
      <c r="M70" s="2">
        <v>0</v>
      </c>
      <c r="N70" s="2">
        <v>853.875</v>
      </c>
      <c r="O70" s="2">
        <v>4696.3125</v>
      </c>
      <c r="P70" s="9"/>
      <c r="Q70" s="2">
        <f>SUM(OSRRefD21_1_6x)+IFERROR(SUM(OSRRefE21_1_6x),0)</f>
        <v>32663.739999999998</v>
      </c>
    </row>
    <row r="71" spans="1:17" s="34" customFormat="1" hidden="1" outlineLevel="1" x14ac:dyDescent="0.25">
      <c r="A71" s="35"/>
      <c r="B71" s="13" t="str">
        <f>CONCATENATE("          ","6008", " - ","STUDENT HOURLY-FICA EXEMPT")</f>
        <v xml:space="preserve">          6008 - STUDENT HOURLY-FICA EXEMPT</v>
      </c>
      <c r="C71" s="15"/>
      <c r="D71" s="2"/>
      <c r="E71" s="2"/>
      <c r="F71" s="2"/>
      <c r="G71" s="2"/>
      <c r="H71" s="2">
        <v>1100</v>
      </c>
      <c r="I71" s="2">
        <v>1100</v>
      </c>
      <c r="J71" s="2">
        <v>25352.943750000002</v>
      </c>
      <c r="K71" s="2">
        <v>8604.5625</v>
      </c>
      <c r="L71" s="2">
        <v>2988.5625</v>
      </c>
      <c r="M71" s="2">
        <v>4269.375</v>
      </c>
      <c r="N71" s="2">
        <v>3415.5</v>
      </c>
      <c r="O71" s="2">
        <v>0</v>
      </c>
      <c r="P71" s="9"/>
      <c r="Q71" s="2">
        <f>SUM(OSRRefD21_1_7x)+IFERROR(SUM(OSRRefE21_1_7x),0)</f>
        <v>46830.943750000006</v>
      </c>
    </row>
    <row r="72" spans="1:17" s="34" customFormat="1" hidden="1" outlineLevel="1" x14ac:dyDescent="0.25">
      <c r="A72" s="35"/>
      <c r="B72" s="13" t="str">
        <f>CONCATENATE("          ","6009", " - ","TEMPORARY-SEASONAL")</f>
        <v xml:space="preserve">          6009 - TEMPORARY-SEASONAL</v>
      </c>
      <c r="C72" s="15"/>
      <c r="D72" s="2"/>
      <c r="E72" s="2"/>
      <c r="F72" s="2"/>
      <c r="G72" s="2"/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9"/>
      <c r="Q72" s="2">
        <f>SUM(OSRRefD21_1_8x)+IFERROR(SUM(OSRRefE21_1_8x),0)</f>
        <v>0</v>
      </c>
    </row>
    <row r="73" spans="1:17" s="34" customFormat="1" hidden="1" outlineLevel="1" x14ac:dyDescent="0.25">
      <c r="A73" s="35"/>
      <c r="B73" s="13" t="str">
        <f>CONCATENATE("          ","6010", " - ","GRATUITY")</f>
        <v xml:space="preserve">          6010 - GRATUITY</v>
      </c>
      <c r="C73" s="15"/>
      <c r="D73" s="2"/>
      <c r="E73" s="2"/>
      <c r="F73" s="2"/>
      <c r="G73" s="2"/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SUM(OSRRefD21_1_9x)+IFERROR(SUM(OSRRefE21_1_9x),0)</f>
        <v>0</v>
      </c>
    </row>
    <row r="74" spans="1:17" s="34" customFormat="1" collapsed="1" x14ac:dyDescent="0.25">
      <c r="A74" s="35"/>
      <c r="B74" s="15" t="str">
        <f>CONCATENATE("     ","Advertising/Promo                                 ")</f>
        <v xml:space="preserve">     Advertising/Promo                                 </v>
      </c>
      <c r="C74" s="15"/>
      <c r="D74" s="1">
        <f>SUM(OSRRefD21_2x_0)</f>
        <v>1249.9000000000001</v>
      </c>
      <c r="E74" s="1">
        <f>SUM(OSRRefD21_2x_1)</f>
        <v>109.98</v>
      </c>
      <c r="F74" s="1">
        <f>SUM(OSRRefD21_2x_2)</f>
        <v>0</v>
      </c>
      <c r="G74" s="1">
        <f>SUM(OSRRefD21_2x_3)</f>
        <v>0</v>
      </c>
      <c r="H74" s="1">
        <f>SUM(OSRRefE21_2x_0)</f>
        <v>100</v>
      </c>
      <c r="I74" s="1">
        <f>SUM(OSRRefE21_2x_1)</f>
        <v>500</v>
      </c>
      <c r="J74" s="1">
        <f>SUM(OSRRefE21_2x_2)</f>
        <v>250</v>
      </c>
      <c r="K74" s="1">
        <f>SUM(OSRRefE21_2x_3)</f>
        <v>100</v>
      </c>
      <c r="L74" s="1">
        <f>SUM(OSRRefE21_2x_4)</f>
        <v>100</v>
      </c>
      <c r="M74" s="1">
        <f>SUM(OSRRefE21_2x_5)</f>
        <v>100</v>
      </c>
      <c r="N74" s="1">
        <f>SUM(OSRRefE21_2x_6)</f>
        <v>500</v>
      </c>
      <c r="O74" s="1">
        <f>SUM(OSRRefE21_2x_7)</f>
        <v>100</v>
      </c>
      <c r="Q74" s="2">
        <f>SUM(OSRRefD20_2x)+IFERROR(SUM(OSRRefE20_2x),0)</f>
        <v>3109.88</v>
      </c>
    </row>
    <row r="75" spans="1:17" s="34" customFormat="1" hidden="1" outlineLevel="1" x14ac:dyDescent="0.25">
      <c r="A75" s="35"/>
      <c r="B75" s="13" t="str">
        <f>CONCATENATE("          ","6362", " - ","ADVERTISING EXPENSE")</f>
        <v xml:space="preserve">          6362 - ADVERTISING EXPENSE</v>
      </c>
      <c r="C75" s="15"/>
      <c r="D75" s="2">
        <v>1249.9000000000001</v>
      </c>
      <c r="E75" s="2">
        <v>109.98</v>
      </c>
      <c r="F75" s="2"/>
      <c r="G75" s="2"/>
      <c r="H75" s="2">
        <v>100</v>
      </c>
      <c r="I75" s="2">
        <v>500</v>
      </c>
      <c r="J75" s="2">
        <v>250</v>
      </c>
      <c r="K75" s="2">
        <v>100</v>
      </c>
      <c r="L75" s="2">
        <v>100</v>
      </c>
      <c r="M75" s="2">
        <v>100</v>
      </c>
      <c r="N75" s="2">
        <v>500</v>
      </c>
      <c r="O75" s="2">
        <v>100</v>
      </c>
      <c r="P75" s="9"/>
      <c r="Q75" s="2">
        <f>SUM(OSRRefD21_2_0x)+IFERROR(SUM(OSRRefE21_2_0x),0)</f>
        <v>3109.88</v>
      </c>
    </row>
    <row r="76" spans="1:17" s="34" customFormat="1" collapsed="1" x14ac:dyDescent="0.25">
      <c r="A76" s="35"/>
      <c r="B76" s="15" t="str">
        <f>CONCATENATE("     ","Discounts and Markdowns                           ")</f>
        <v xml:space="preserve">     Discounts and Markdowns                           </v>
      </c>
      <c r="C76" s="15"/>
      <c r="D76" s="1">
        <f>SUM(OSRRefD21_3x_0)</f>
        <v>0</v>
      </c>
      <c r="E76" s="1">
        <f>SUM(OSRRefD21_3x_1)</f>
        <v>0</v>
      </c>
      <c r="F76" s="1">
        <f>SUM(OSRRefD21_3x_2)</f>
        <v>0</v>
      </c>
      <c r="G76" s="1">
        <f>SUM(OSRRefD21_3x_3)</f>
        <v>0</v>
      </c>
      <c r="H76" s="1">
        <f>SUM(OSRRefE21_3x_0)</f>
        <v>1400</v>
      </c>
      <c r="I76" s="1">
        <f>SUM(OSRRefE21_3x_1)</f>
        <v>1200</v>
      </c>
      <c r="J76" s="1">
        <f>SUM(OSRRefE21_3x_2)</f>
        <v>3500</v>
      </c>
      <c r="K76" s="1">
        <f>SUM(OSRRefE21_3x_3)</f>
        <v>1200</v>
      </c>
      <c r="L76" s="1">
        <f>SUM(OSRRefE21_3x_4)</f>
        <v>1700</v>
      </c>
      <c r="M76" s="1">
        <f>SUM(OSRRefE21_3x_5)</f>
        <v>1200</v>
      </c>
      <c r="N76" s="1">
        <f>SUM(OSRRefE21_3x_6)</f>
        <v>1200</v>
      </c>
      <c r="O76" s="1">
        <f>SUM(OSRRefE21_3x_7)</f>
        <v>1200</v>
      </c>
      <c r="Q76" s="2">
        <f>SUM(OSRRefD20_3x)+IFERROR(SUM(OSRRefE20_3x),0)</f>
        <v>12600</v>
      </c>
    </row>
    <row r="77" spans="1:17" s="34" customFormat="1" hidden="1" outlineLevel="1" x14ac:dyDescent="0.25">
      <c r="A77" s="35"/>
      <c r="B77" s="13" t="str">
        <f>CONCATENATE("          ","6382", " - ","DISCOUNTS/MARK DOWNS")</f>
        <v xml:space="preserve">          6382 - DISCOUNTS/MARK DOWNS</v>
      </c>
      <c r="C77" s="15"/>
      <c r="D77" s="2"/>
      <c r="E77" s="2"/>
      <c r="F77" s="2"/>
      <c r="G77" s="2"/>
      <c r="H77" s="2">
        <v>1400</v>
      </c>
      <c r="I77" s="2">
        <v>1200</v>
      </c>
      <c r="J77" s="2">
        <v>3500</v>
      </c>
      <c r="K77" s="2">
        <v>1200</v>
      </c>
      <c r="L77" s="2">
        <v>1700</v>
      </c>
      <c r="M77" s="2">
        <v>1200</v>
      </c>
      <c r="N77" s="2">
        <v>1200</v>
      </c>
      <c r="O77" s="2">
        <v>1200</v>
      </c>
      <c r="P77" s="9"/>
      <c r="Q77" s="2">
        <f>SUM(OSRRefD21_3_0x)+IFERROR(SUM(OSRRefE21_3_0x),0)</f>
        <v>12600</v>
      </c>
    </row>
    <row r="78" spans="1:17" s="34" customFormat="1" collapsed="1" x14ac:dyDescent="0.25">
      <c r="A78" s="35"/>
      <c r="B78" s="15" t="str">
        <f>CONCATENATE("     ","Employees' Appreciation                           ")</f>
        <v xml:space="preserve">     Employees' Appreciation                           </v>
      </c>
      <c r="C78" s="15"/>
      <c r="D78" s="1">
        <f>SUM(OSRRefD21_4x_0)</f>
        <v>107.7</v>
      </c>
      <c r="E78" s="1">
        <f>SUM(OSRRefD21_4x_1)</f>
        <v>0</v>
      </c>
      <c r="F78" s="1">
        <f>SUM(OSRRefD21_4x_2)</f>
        <v>0</v>
      </c>
      <c r="G78" s="1">
        <f>SUM(OSRRefD21_4x_3)</f>
        <v>0</v>
      </c>
      <c r="H78" s="1">
        <f>SUM(OSRRefE21_4x_0)</f>
        <v>75</v>
      </c>
      <c r="I78" s="1">
        <f>SUM(OSRRefE21_4x_1)</f>
        <v>75</v>
      </c>
      <c r="J78" s="1">
        <f>SUM(OSRRefE21_4x_2)</f>
        <v>75</v>
      </c>
      <c r="K78" s="1">
        <f>SUM(OSRRefE21_4x_3)</f>
        <v>75</v>
      </c>
      <c r="L78" s="1">
        <f>SUM(OSRRefE21_4x_4)</f>
        <v>75</v>
      </c>
      <c r="M78" s="1">
        <f>SUM(OSRRefE21_4x_5)</f>
        <v>75</v>
      </c>
      <c r="N78" s="1">
        <f>SUM(OSRRefE21_4x_6)</f>
        <v>75</v>
      </c>
      <c r="O78" s="1">
        <f>SUM(OSRRefE21_4x_7)</f>
        <v>75</v>
      </c>
      <c r="Q78" s="2">
        <f>SUM(OSRRefD20_4x)+IFERROR(SUM(OSRRefE20_4x),0)</f>
        <v>707.7</v>
      </c>
    </row>
    <row r="79" spans="1:17" s="34" customFormat="1" hidden="1" outlineLevel="1" x14ac:dyDescent="0.25">
      <c r="A79" s="35"/>
      <c r="B79" s="13" t="str">
        <f>CONCATENATE("          ","6277", " - ","EMPLOYEE APPRECIATION")</f>
        <v xml:space="preserve">          6277 - EMPLOYEE APPRECIATION</v>
      </c>
      <c r="C79" s="15"/>
      <c r="D79" s="2">
        <v>107.7</v>
      </c>
      <c r="E79" s="2"/>
      <c r="F79" s="2"/>
      <c r="G79" s="2"/>
      <c r="H79" s="2">
        <v>75</v>
      </c>
      <c r="I79" s="2">
        <v>75</v>
      </c>
      <c r="J79" s="2">
        <v>75</v>
      </c>
      <c r="K79" s="2">
        <v>75</v>
      </c>
      <c r="L79" s="2">
        <v>75</v>
      </c>
      <c r="M79" s="2">
        <v>75</v>
      </c>
      <c r="N79" s="2">
        <v>75</v>
      </c>
      <c r="O79" s="2">
        <v>75</v>
      </c>
      <c r="P79" s="9"/>
      <c r="Q79" s="2">
        <f>SUM(OSRRefD21_4_0x)+IFERROR(SUM(OSRRefE21_4_0x),0)</f>
        <v>707.7</v>
      </c>
    </row>
    <row r="80" spans="1:17" s="34" customFormat="1" collapsed="1" x14ac:dyDescent="0.25">
      <c r="A80" s="35"/>
      <c r="B80" s="15" t="str">
        <f>CONCATENATE("     ","Equipment Rental                                  ")</f>
        <v xml:space="preserve">     Equipment Rental                                  </v>
      </c>
      <c r="C80" s="15"/>
      <c r="D80" s="1">
        <f>SUM(OSRRefD21_5x_0)</f>
        <v>91.26</v>
      </c>
      <c r="E80" s="1">
        <f>SUM(OSRRefD21_5x_1)</f>
        <v>91.26</v>
      </c>
      <c r="F80" s="1">
        <f>SUM(OSRRefD21_5x_2)</f>
        <v>91.26</v>
      </c>
      <c r="G80" s="1">
        <f>SUM(OSRRefD21_5x_3)</f>
        <v>182.52</v>
      </c>
      <c r="H80" s="1">
        <f>SUM(OSRRefE21_5x_0)</f>
        <v>100</v>
      </c>
      <c r="I80" s="1">
        <f>SUM(OSRRefE21_5x_1)</f>
        <v>100</v>
      </c>
      <c r="J80" s="1">
        <f>SUM(OSRRefE21_5x_2)</f>
        <v>100</v>
      </c>
      <c r="K80" s="1">
        <f>SUM(OSRRefE21_5x_3)</f>
        <v>100</v>
      </c>
      <c r="L80" s="1">
        <f>SUM(OSRRefE21_5x_4)</f>
        <v>100</v>
      </c>
      <c r="M80" s="1">
        <f>SUM(OSRRefE21_5x_5)</f>
        <v>100</v>
      </c>
      <c r="N80" s="1">
        <f>SUM(OSRRefE21_5x_6)</f>
        <v>100</v>
      </c>
      <c r="O80" s="1">
        <f>SUM(OSRRefE21_5x_7)</f>
        <v>100</v>
      </c>
      <c r="Q80" s="2">
        <f>SUM(OSRRefD20_5x)+IFERROR(SUM(OSRRefE20_5x),0)</f>
        <v>1256.3000000000002</v>
      </c>
    </row>
    <row r="81" spans="1:17" s="34" customFormat="1" hidden="1" outlineLevel="1" x14ac:dyDescent="0.25">
      <c r="A81" s="35"/>
      <c r="B81" s="13" t="str">
        <f>CONCATENATE("          ","6351", " - ","EQUIPMENT RENTAL")</f>
        <v xml:space="preserve">          6351 - EQUIPMENT RENTAL</v>
      </c>
      <c r="C81" s="15"/>
      <c r="D81" s="2">
        <v>91.26</v>
      </c>
      <c r="E81" s="2">
        <v>91.26</v>
      </c>
      <c r="F81" s="2">
        <v>91.26</v>
      </c>
      <c r="G81" s="2">
        <v>182.52</v>
      </c>
      <c r="H81" s="2">
        <v>100</v>
      </c>
      <c r="I81" s="2">
        <v>100</v>
      </c>
      <c r="J81" s="2">
        <v>100</v>
      </c>
      <c r="K81" s="2">
        <v>100</v>
      </c>
      <c r="L81" s="2">
        <v>100</v>
      </c>
      <c r="M81" s="2">
        <v>100</v>
      </c>
      <c r="N81" s="2">
        <v>100</v>
      </c>
      <c r="O81" s="2">
        <v>100</v>
      </c>
      <c r="P81" s="9"/>
      <c r="Q81" s="2">
        <f>SUM(OSRRefD21_5_0x)+IFERROR(SUM(OSRRefE21_5_0x),0)</f>
        <v>1256.3000000000002</v>
      </c>
    </row>
    <row r="82" spans="1:17" s="34" customFormat="1" collapsed="1" x14ac:dyDescent="0.25">
      <c r="A82" s="35"/>
      <c r="B82" s="15" t="str">
        <f>CONCATENATE("     ","Freight out/Postage                               ")</f>
        <v xml:space="preserve">     Freight out/Postage                               </v>
      </c>
      <c r="C82" s="15"/>
      <c r="D82" s="1">
        <f>SUM(OSRRefD21_6x_0)</f>
        <v>167.5</v>
      </c>
      <c r="E82" s="1">
        <f>SUM(OSRRefD21_6x_1)</f>
        <v>333.31</v>
      </c>
      <c r="F82" s="1">
        <f>SUM(OSRRefD21_6x_2)</f>
        <v>35.35</v>
      </c>
      <c r="G82" s="1">
        <f>SUM(OSRRefD21_6x_3)</f>
        <v>29.84</v>
      </c>
      <c r="H82" s="1">
        <f>SUM(OSRRefE21_6x_0)</f>
        <v>4000</v>
      </c>
      <c r="I82" s="1">
        <f>SUM(OSRRefE21_6x_1)</f>
        <v>1800</v>
      </c>
      <c r="J82" s="1">
        <f>SUM(OSRRefE21_6x_2)</f>
        <v>2000</v>
      </c>
      <c r="K82" s="1">
        <f>SUM(OSRRefE21_6x_3)</f>
        <v>2200</v>
      </c>
      <c r="L82" s="1">
        <f>SUM(OSRRefE21_6x_4)</f>
        <v>5000</v>
      </c>
      <c r="M82" s="1">
        <f>SUM(OSRRefE21_6x_5)</f>
        <v>2300</v>
      </c>
      <c r="N82" s="1">
        <f>SUM(OSRRefE21_6x_6)</f>
        <v>1000</v>
      </c>
      <c r="O82" s="1">
        <f>SUM(OSRRefE21_6x_7)</f>
        <v>1000</v>
      </c>
      <c r="Q82" s="2">
        <f>SUM(OSRRefD20_6x)+IFERROR(SUM(OSRRefE20_6x),0)</f>
        <v>19866</v>
      </c>
    </row>
    <row r="83" spans="1:17" s="34" customFormat="1" hidden="1" outlineLevel="1" x14ac:dyDescent="0.25">
      <c r="A83" s="35"/>
      <c r="B83" s="13" t="str">
        <f>CONCATENATE("          ","6305", " - ","FREIGHT OUT")</f>
        <v xml:space="preserve">          6305 - FREIGHT OUT</v>
      </c>
      <c r="C83" s="15"/>
      <c r="D83" s="2">
        <v>167.5</v>
      </c>
      <c r="E83" s="2">
        <v>333.31</v>
      </c>
      <c r="F83" s="2">
        <v>35.35</v>
      </c>
      <c r="G83" s="2">
        <v>29.84</v>
      </c>
      <c r="H83" s="2">
        <v>4000</v>
      </c>
      <c r="I83" s="2">
        <v>1800</v>
      </c>
      <c r="J83" s="2">
        <v>2000</v>
      </c>
      <c r="K83" s="2">
        <v>2200</v>
      </c>
      <c r="L83" s="2">
        <v>5000</v>
      </c>
      <c r="M83" s="2">
        <v>2300</v>
      </c>
      <c r="N83" s="2">
        <v>1000</v>
      </c>
      <c r="O83" s="2">
        <v>1000</v>
      </c>
      <c r="P83" s="9"/>
      <c r="Q83" s="2">
        <f>SUM(OSRRefD21_6_0x)+IFERROR(SUM(OSRRefE21_6_0x),0)</f>
        <v>19866</v>
      </c>
    </row>
    <row r="84" spans="1:17" s="34" customFormat="1" collapsed="1" x14ac:dyDescent="0.25">
      <c r="A84" s="35"/>
      <c r="B84" s="15" t="str">
        <f>CONCATENATE("     ","General                                           ")</f>
        <v xml:space="preserve">     General                                           </v>
      </c>
      <c r="C84" s="15"/>
      <c r="D84" s="1">
        <f>SUM(OSRRefD21_7x_0)</f>
        <v>-4794.1899999999996</v>
      </c>
      <c r="E84" s="1">
        <f>SUM(OSRRefD21_7x_1)</f>
        <v>0</v>
      </c>
      <c r="F84" s="1">
        <f>SUM(OSRRefD21_7x_2)</f>
        <v>0</v>
      </c>
      <c r="G84" s="1">
        <f>SUM(OSRRefD21_7x_3)</f>
        <v>-40</v>
      </c>
      <c r="H84" s="1">
        <f>SUM(OSRRefE21_7x_0)</f>
        <v>1250</v>
      </c>
      <c r="I84" s="1">
        <f>SUM(OSRRefE21_7x_1)</f>
        <v>0</v>
      </c>
      <c r="J84" s="1">
        <f>SUM(OSRRefE21_7x_2)</f>
        <v>0</v>
      </c>
      <c r="K84" s="1">
        <f>SUM(OSRRefE21_7x_3)</f>
        <v>125</v>
      </c>
      <c r="L84" s="1">
        <f>SUM(OSRRefE21_7x_4)</f>
        <v>0</v>
      </c>
      <c r="M84" s="1">
        <f>SUM(OSRRefE21_7x_5)</f>
        <v>0</v>
      </c>
      <c r="N84" s="1">
        <f>SUM(OSRRefE21_7x_6)</f>
        <v>1250</v>
      </c>
      <c r="O84" s="1">
        <f>SUM(OSRRefE21_7x_7)</f>
        <v>0</v>
      </c>
      <c r="Q84" s="2">
        <f>SUM(OSRRefD20_7x)+IFERROR(SUM(OSRRefE20_7x),0)</f>
        <v>-2209.1899999999996</v>
      </c>
    </row>
    <row r="85" spans="1:17" s="34" customFormat="1" hidden="1" outlineLevel="1" x14ac:dyDescent="0.25">
      <c r="A85" s="35"/>
      <c r="B85" s="13" t="str">
        <f>CONCATENATE("          ","6269", " - ","ENTERTAINMENT")</f>
        <v xml:space="preserve">          6269 - ENTERTAINMENT</v>
      </c>
      <c r="C85" s="15"/>
      <c r="D85" s="2"/>
      <c r="E85" s="2"/>
      <c r="F85" s="2"/>
      <c r="G85" s="2"/>
      <c r="H85" s="2">
        <v>1250</v>
      </c>
      <c r="I85" s="2">
        <v>0</v>
      </c>
      <c r="J85" s="2"/>
      <c r="K85" s="2">
        <v>125</v>
      </c>
      <c r="L85" s="2">
        <v>0</v>
      </c>
      <c r="M85" s="2"/>
      <c r="N85" s="2">
        <v>1250</v>
      </c>
      <c r="O85" s="2">
        <v>0</v>
      </c>
      <c r="P85" s="9"/>
      <c r="Q85" s="2">
        <f>SUM(OSRRefD21_7_0x)+IFERROR(SUM(OSRRefE21_7_0x),0)</f>
        <v>2625</v>
      </c>
    </row>
    <row r="86" spans="1:17" s="34" customFormat="1" hidden="1" outlineLevel="1" x14ac:dyDescent="0.25">
      <c r="A86" s="35"/>
      <c r="B86" s="13" t="str">
        <f>CONCATENATE("          ","6279", " - ","GENERAL EXPENSE")</f>
        <v xml:space="preserve">          6279 - GENERAL EXPENSE</v>
      </c>
      <c r="C86" s="15"/>
      <c r="D86" s="2">
        <v>-4794.1899999999996</v>
      </c>
      <c r="E86" s="2"/>
      <c r="F86" s="2"/>
      <c r="G86" s="2">
        <v>-40</v>
      </c>
      <c r="H86" s="2"/>
      <c r="I86" s="2"/>
      <c r="J86" s="2"/>
      <c r="K86" s="2"/>
      <c r="L86" s="2"/>
      <c r="M86" s="2"/>
      <c r="N86" s="2"/>
      <c r="O86" s="2"/>
      <c r="P86" s="9"/>
      <c r="Q86" s="2">
        <f>SUM(OSRRefD21_7_1x)+IFERROR(SUM(OSRRefE21_7_1x),0)</f>
        <v>-4834.1899999999996</v>
      </c>
    </row>
    <row r="87" spans="1:17" s="34" customFormat="1" collapsed="1" x14ac:dyDescent="0.25">
      <c r="A87" s="35"/>
      <c r="B87" s="15" t="str">
        <f>CONCATENATE("     ","Inventory Adjustment                              ")</f>
        <v xml:space="preserve">     Inventory Adjustment                              </v>
      </c>
      <c r="C87" s="15"/>
      <c r="D87" s="1">
        <f>SUM(OSRRefD21_8x_0)</f>
        <v>1000</v>
      </c>
      <c r="E87" s="1">
        <f>SUM(OSRRefD21_8x_1)</f>
        <v>1000</v>
      </c>
      <c r="F87" s="1">
        <f>SUM(OSRRefD21_8x_2)</f>
        <v>1000</v>
      </c>
      <c r="G87" s="1">
        <f>SUM(OSRRefD21_8x_3)</f>
        <v>1000</v>
      </c>
      <c r="H87" s="1">
        <f>SUM(OSRRefE21_8x_0)</f>
        <v>1000</v>
      </c>
      <c r="I87" s="1">
        <f>SUM(OSRRefE21_8x_1)</f>
        <v>6000</v>
      </c>
      <c r="J87" s="1">
        <f>SUM(OSRRefE21_8x_2)</f>
        <v>1000</v>
      </c>
      <c r="K87" s="1">
        <f>SUM(OSRRefE21_8x_3)</f>
        <v>1000</v>
      </c>
      <c r="L87" s="1">
        <f>SUM(OSRRefE21_8x_4)</f>
        <v>1000</v>
      </c>
      <c r="M87" s="1">
        <f>SUM(OSRRefE21_8x_5)</f>
        <v>1000</v>
      </c>
      <c r="N87" s="1">
        <f>SUM(OSRRefE21_8x_6)</f>
        <v>1000</v>
      </c>
      <c r="O87" s="1">
        <f>SUM(OSRRefE21_8x_7)</f>
        <v>44000</v>
      </c>
      <c r="Q87" s="2">
        <f>SUM(OSRRefD20_8x)+IFERROR(SUM(OSRRefE20_8x),0)</f>
        <v>60000</v>
      </c>
    </row>
    <row r="88" spans="1:17" s="34" customFormat="1" hidden="1" outlineLevel="1" x14ac:dyDescent="0.25">
      <c r="A88" s="35"/>
      <c r="B88" s="13" t="str">
        <f>CONCATENATE("          ","6408", " - ","INVENTORY ADJUSTMENT")</f>
        <v xml:space="preserve">          6408 - INVENTORY ADJUSTMENT</v>
      </c>
      <c r="C88" s="15"/>
      <c r="D88" s="2">
        <v>1000</v>
      </c>
      <c r="E88" s="2">
        <v>1000</v>
      </c>
      <c r="F88" s="2">
        <v>1000</v>
      </c>
      <c r="G88" s="2">
        <v>1000</v>
      </c>
      <c r="H88" s="2">
        <v>1000</v>
      </c>
      <c r="I88" s="2">
        <v>6000</v>
      </c>
      <c r="J88" s="2">
        <v>1000</v>
      </c>
      <c r="K88" s="2">
        <v>1000</v>
      </c>
      <c r="L88" s="2">
        <v>1000</v>
      </c>
      <c r="M88" s="2">
        <v>1000</v>
      </c>
      <c r="N88" s="2">
        <v>1000</v>
      </c>
      <c r="O88" s="2">
        <v>44000</v>
      </c>
      <c r="P88" s="9"/>
      <c r="Q88" s="2">
        <f>SUM(OSRRefD21_8_0x)+IFERROR(SUM(OSRRefE21_8_0x),0)</f>
        <v>60000</v>
      </c>
    </row>
    <row r="89" spans="1:17" s="34" customFormat="1" collapsed="1" x14ac:dyDescent="0.25">
      <c r="A89" s="35"/>
      <c r="B89" s="15" t="str">
        <f>CONCATENATE("     ","Repair and Maintenance                            ")</f>
        <v xml:space="preserve">     Repair and Maintenance                            </v>
      </c>
      <c r="C89" s="15"/>
      <c r="D89" s="1">
        <f>SUM(OSRRefD21_9x_0)</f>
        <v>22.86</v>
      </c>
      <c r="E89" s="1">
        <f>SUM(OSRRefD21_9x_1)</f>
        <v>0</v>
      </c>
      <c r="F89" s="1">
        <f>SUM(OSRRefD21_9x_2)</f>
        <v>68.94</v>
      </c>
      <c r="G89" s="1">
        <f>SUM(OSRRefD21_9x_3)</f>
        <v>19.670000000000002</v>
      </c>
      <c r="H89" s="1">
        <f>SUM(OSRRefE21_9x_0)</f>
        <v>140</v>
      </c>
      <c r="I89" s="1">
        <f>SUM(OSRRefE21_9x_1)</f>
        <v>140</v>
      </c>
      <c r="J89" s="1">
        <f>SUM(OSRRefE21_9x_2)</f>
        <v>140</v>
      </c>
      <c r="K89" s="1">
        <f>SUM(OSRRefE21_9x_3)</f>
        <v>140</v>
      </c>
      <c r="L89" s="1">
        <f>SUM(OSRRefE21_9x_4)</f>
        <v>140</v>
      </c>
      <c r="M89" s="1">
        <f>SUM(OSRRefE21_9x_5)</f>
        <v>140</v>
      </c>
      <c r="N89" s="1">
        <f>SUM(OSRRefE21_9x_6)</f>
        <v>12140</v>
      </c>
      <c r="O89" s="1">
        <f>SUM(OSRRefE21_9x_7)</f>
        <v>140</v>
      </c>
      <c r="Q89" s="2">
        <f>SUM(OSRRefD20_9x)+IFERROR(SUM(OSRRefE20_9x),0)</f>
        <v>13231.47</v>
      </c>
    </row>
    <row r="90" spans="1:17" s="34" customFormat="1" hidden="1" outlineLevel="1" x14ac:dyDescent="0.25">
      <c r="A90" s="35"/>
      <c r="B90" s="13" t="str">
        <f>CONCATENATE("          ","6371", " - ","COMPUTER SOFTWARE MAINTENANCE")</f>
        <v xml:space="preserve">          6371 - COMPUTER SOFTWARE MAINTENANCE</v>
      </c>
      <c r="C90" s="15"/>
      <c r="D90" s="2"/>
      <c r="E90" s="2"/>
      <c r="F90" s="2"/>
      <c r="G90" s="2"/>
      <c r="H90" s="2"/>
      <c r="I90" s="2"/>
      <c r="J90" s="2"/>
      <c r="K90" s="2"/>
      <c r="L90" s="2"/>
      <c r="M90" s="2"/>
      <c r="N90" s="2">
        <v>12000</v>
      </c>
      <c r="O90" s="2"/>
      <c r="P90" s="9"/>
      <c r="Q90" s="2">
        <f>SUM(OSRRefD21_9_0x)+IFERROR(SUM(OSRRefE21_9_0x),0)</f>
        <v>12000</v>
      </c>
    </row>
    <row r="91" spans="1:17" s="34" customFormat="1" hidden="1" outlineLevel="1" x14ac:dyDescent="0.25">
      <c r="A91" s="35"/>
      <c r="B91" s="13" t="str">
        <f>CONCATENATE("          ","6373", " - ","MAINTENANCE CONTRACTS")</f>
        <v xml:space="preserve">          6373 - MAINTENANCE CONTRACTS</v>
      </c>
      <c r="C91" s="15"/>
      <c r="D91" s="2">
        <v>22.86</v>
      </c>
      <c r="E91" s="2"/>
      <c r="F91" s="2">
        <v>43.83</v>
      </c>
      <c r="G91" s="2">
        <v>19.670000000000002</v>
      </c>
      <c r="H91" s="2">
        <v>40</v>
      </c>
      <c r="I91" s="2">
        <v>40</v>
      </c>
      <c r="J91" s="2">
        <v>40</v>
      </c>
      <c r="K91" s="2">
        <v>40</v>
      </c>
      <c r="L91" s="2">
        <v>40</v>
      </c>
      <c r="M91" s="2">
        <v>40</v>
      </c>
      <c r="N91" s="2">
        <v>40</v>
      </c>
      <c r="O91" s="2">
        <v>40</v>
      </c>
      <c r="P91" s="9"/>
      <c r="Q91" s="2">
        <f>SUM(OSRRefD21_9_1x)+IFERROR(SUM(OSRRefE21_9_1x),0)</f>
        <v>406.36</v>
      </c>
    </row>
    <row r="92" spans="1:17" s="34" customFormat="1" hidden="1" outlineLevel="1" x14ac:dyDescent="0.25">
      <c r="A92" s="35"/>
      <c r="B92" s="13" t="str">
        <f>CONCATENATE("          ","6375", " - ","OUTSIDE REPAIRS &amp; MAINTENANCE")</f>
        <v xml:space="preserve">          6375 - OUTSIDE REPAIRS &amp; MAINTENANCE</v>
      </c>
      <c r="C92" s="15"/>
      <c r="D92" s="2"/>
      <c r="E92" s="2"/>
      <c r="F92" s="2">
        <v>25.11</v>
      </c>
      <c r="G92" s="2"/>
      <c r="H92" s="2">
        <v>100</v>
      </c>
      <c r="I92" s="2">
        <v>100</v>
      </c>
      <c r="J92" s="2">
        <v>100</v>
      </c>
      <c r="K92" s="2">
        <v>100</v>
      </c>
      <c r="L92" s="2">
        <v>100</v>
      </c>
      <c r="M92" s="2">
        <v>100</v>
      </c>
      <c r="N92" s="2">
        <v>100</v>
      </c>
      <c r="O92" s="2">
        <v>100</v>
      </c>
      <c r="P92" s="9"/>
      <c r="Q92" s="2">
        <f>SUM(OSRRefD21_9_2x)+IFERROR(SUM(OSRRefE21_9_2x),0)</f>
        <v>825.11</v>
      </c>
    </row>
    <row r="93" spans="1:17" s="34" customFormat="1" collapsed="1" x14ac:dyDescent="0.25">
      <c r="A93" s="35"/>
      <c r="B93" s="15" t="str">
        <f>CONCATENATE("     ","Subscriptions &amp; Dues                              ")</f>
        <v xml:space="preserve">     Subscriptions &amp; Dues                              </v>
      </c>
      <c r="C93" s="15"/>
      <c r="D93" s="1">
        <f>SUM(OSRRefD21_10x_0)</f>
        <v>290</v>
      </c>
      <c r="E93" s="1">
        <f>SUM(OSRRefD21_10x_1)</f>
        <v>270</v>
      </c>
      <c r="F93" s="1">
        <f>SUM(OSRRefD21_10x_2)</f>
        <v>73.040000000000006</v>
      </c>
      <c r="G93" s="1">
        <f>SUM(OSRRefD21_10x_3)</f>
        <v>790.32</v>
      </c>
      <c r="H93" s="1">
        <f>SUM(OSRRefE21_10x_0)</f>
        <v>300</v>
      </c>
      <c r="I93" s="1">
        <f>SUM(OSRRefE21_10x_1)</f>
        <v>300</v>
      </c>
      <c r="J93" s="1">
        <f>SUM(OSRRefE21_10x_2)</f>
        <v>300</v>
      </c>
      <c r="K93" s="1">
        <f>SUM(OSRRefE21_10x_3)</f>
        <v>300</v>
      </c>
      <c r="L93" s="1">
        <f>SUM(OSRRefE21_10x_4)</f>
        <v>300</v>
      </c>
      <c r="M93" s="1">
        <f>SUM(OSRRefE21_10x_5)</f>
        <v>2100</v>
      </c>
      <c r="N93" s="1">
        <f>SUM(OSRRefE21_10x_6)</f>
        <v>300</v>
      </c>
      <c r="O93" s="1">
        <f>SUM(OSRRefE21_10x_7)</f>
        <v>300</v>
      </c>
      <c r="Q93" s="2">
        <f>SUM(OSRRefD20_10x)+IFERROR(SUM(OSRRefE20_10x),0)</f>
        <v>5623.3600000000006</v>
      </c>
    </row>
    <row r="94" spans="1:17" s="34" customFormat="1" hidden="1" outlineLevel="1" x14ac:dyDescent="0.25">
      <c r="A94" s="35"/>
      <c r="B94" s="13" t="str">
        <f>CONCATENATE("          ","6258", " - ","MEMBERSHIP DUES")</f>
        <v xml:space="preserve">          6258 - MEMBERSHIP DUES</v>
      </c>
      <c r="C94" s="15"/>
      <c r="D94" s="2">
        <v>290</v>
      </c>
      <c r="E94" s="2">
        <v>270</v>
      </c>
      <c r="F94" s="2">
        <v>73.040000000000006</v>
      </c>
      <c r="G94" s="2">
        <v>790.32</v>
      </c>
      <c r="H94" s="2">
        <v>300</v>
      </c>
      <c r="I94" s="2">
        <v>300</v>
      </c>
      <c r="J94" s="2">
        <v>300</v>
      </c>
      <c r="K94" s="2">
        <v>300</v>
      </c>
      <c r="L94" s="2">
        <v>300</v>
      </c>
      <c r="M94" s="2">
        <v>300</v>
      </c>
      <c r="N94" s="2">
        <v>300</v>
      </c>
      <c r="O94" s="2">
        <v>300</v>
      </c>
      <c r="P94" s="9"/>
      <c r="Q94" s="2">
        <f>SUM(OSRRefD21_10_0x)+IFERROR(SUM(OSRRefE21_10_0x),0)</f>
        <v>3823.36</v>
      </c>
    </row>
    <row r="95" spans="1:17" s="34" customFormat="1" hidden="1" outlineLevel="1" x14ac:dyDescent="0.25">
      <c r="A95" s="35"/>
      <c r="B95" s="13" t="str">
        <f>CONCATENATE("          ","6275", " - ","SUBSCRIPTIONS")</f>
        <v xml:space="preserve">          6275 - SUBSCRIPTIONS</v>
      </c>
      <c r="C95" s="15"/>
      <c r="D95" s="2"/>
      <c r="E95" s="2"/>
      <c r="F95" s="2"/>
      <c r="G95" s="2"/>
      <c r="H95" s="2"/>
      <c r="I95" s="2"/>
      <c r="J95" s="2"/>
      <c r="K95" s="2"/>
      <c r="L95" s="2"/>
      <c r="M95" s="2">
        <v>1800</v>
      </c>
      <c r="N95" s="2"/>
      <c r="O95" s="2"/>
      <c r="P95" s="9"/>
      <c r="Q95" s="2">
        <f>SUM(OSRRefD21_10_1x)+IFERROR(SUM(OSRRefE21_10_1x),0)</f>
        <v>1800</v>
      </c>
    </row>
    <row r="96" spans="1:17" s="34" customFormat="1" collapsed="1" x14ac:dyDescent="0.25">
      <c r="A96" s="35"/>
      <c r="B96" s="15" t="str">
        <f>CONCATENATE("     ","Supplies                                          ")</f>
        <v xml:space="preserve">     Supplies                                          </v>
      </c>
      <c r="C96" s="15"/>
      <c r="D96" s="1">
        <f>SUM(OSRRefD21_11x_0)</f>
        <v>792.76</v>
      </c>
      <c r="E96" s="1">
        <f>SUM(OSRRefD21_11x_1)</f>
        <v>197.4</v>
      </c>
      <c r="F96" s="1">
        <f>SUM(OSRRefD21_11x_2)</f>
        <v>98.81</v>
      </c>
      <c r="G96" s="1">
        <f>SUM(OSRRefD21_11x_3)</f>
        <v>146.28</v>
      </c>
      <c r="H96" s="1">
        <f>SUM(OSRRefE21_11x_0)</f>
        <v>600</v>
      </c>
      <c r="I96" s="1">
        <f>SUM(OSRRefE21_11x_1)</f>
        <v>1400</v>
      </c>
      <c r="J96" s="1">
        <f>SUM(OSRRefE21_11x_2)</f>
        <v>1800</v>
      </c>
      <c r="K96" s="1">
        <f>SUM(OSRRefE21_11x_3)</f>
        <v>1800</v>
      </c>
      <c r="L96" s="1">
        <f>SUM(OSRRefE21_11x_4)</f>
        <v>1100</v>
      </c>
      <c r="M96" s="1">
        <f>SUM(OSRRefE21_11x_5)</f>
        <v>800</v>
      </c>
      <c r="N96" s="1">
        <f>SUM(OSRRefE21_11x_6)</f>
        <v>1200</v>
      </c>
      <c r="O96" s="1">
        <f>SUM(OSRRefE21_11x_7)</f>
        <v>700</v>
      </c>
      <c r="Q96" s="2">
        <f>SUM(OSRRefD20_11x)+IFERROR(SUM(OSRRefE20_11x),0)</f>
        <v>10635.25</v>
      </c>
    </row>
    <row r="97" spans="1:17" s="34" customFormat="1" hidden="1" outlineLevel="1" x14ac:dyDescent="0.25">
      <c r="A97" s="35"/>
      <c r="B97" s="13" t="str">
        <f>CONCATENATE("          ","6241", " - ","OFFICE EXPENSE")</f>
        <v xml:space="preserve">          6241 - OFFICE EXPENSE</v>
      </c>
      <c r="C97" s="15"/>
      <c r="D97" s="2">
        <v>159.66</v>
      </c>
      <c r="E97" s="2">
        <v>197.4</v>
      </c>
      <c r="F97" s="2">
        <v>98.81</v>
      </c>
      <c r="G97" s="2">
        <v>146.28</v>
      </c>
      <c r="H97" s="2">
        <v>300</v>
      </c>
      <c r="I97" s="2">
        <v>800</v>
      </c>
      <c r="J97" s="2">
        <v>500</v>
      </c>
      <c r="K97" s="2">
        <v>500</v>
      </c>
      <c r="L97" s="2">
        <v>300</v>
      </c>
      <c r="M97" s="2">
        <v>300</v>
      </c>
      <c r="N97" s="2">
        <v>300</v>
      </c>
      <c r="O97" s="2">
        <v>200</v>
      </c>
      <c r="P97" s="9"/>
      <c r="Q97" s="2">
        <f>SUM(OSRRefD21_11_0x)+IFERROR(SUM(OSRRefE21_11_0x),0)</f>
        <v>3802.15</v>
      </c>
    </row>
    <row r="98" spans="1:17" s="34" customFormat="1" hidden="1" outlineLevel="1" x14ac:dyDescent="0.25">
      <c r="A98" s="35"/>
      <c r="B98" s="13" t="str">
        <f>CONCATENATE("          ","6245", " - ","PRINTING")</f>
        <v xml:space="preserve">          6245 - PRINTING</v>
      </c>
      <c r="C98" s="15"/>
      <c r="D98" s="2"/>
      <c r="E98" s="2"/>
      <c r="F98" s="2"/>
      <c r="G98" s="2"/>
      <c r="H98" s="2">
        <v>100</v>
      </c>
      <c r="I98" s="2">
        <v>400</v>
      </c>
      <c r="J98" s="2">
        <v>500</v>
      </c>
      <c r="K98" s="2">
        <v>100</v>
      </c>
      <c r="L98" s="2">
        <v>100</v>
      </c>
      <c r="M98" s="2">
        <v>100</v>
      </c>
      <c r="N98" s="2">
        <v>500</v>
      </c>
      <c r="O98" s="2">
        <v>100</v>
      </c>
      <c r="P98" s="9"/>
      <c r="Q98" s="2">
        <f>SUM(OSRRefD21_11_1x)+IFERROR(SUM(OSRRefE21_11_1x),0)</f>
        <v>1900</v>
      </c>
    </row>
    <row r="99" spans="1:17" s="34" customFormat="1" hidden="1" outlineLevel="1" x14ac:dyDescent="0.25">
      <c r="A99" s="35"/>
      <c r="B99" s="13" t="str">
        <f>CONCATENATE("          ","6247", " - ","STORE SUPPLIES")</f>
        <v xml:space="preserve">          6247 - STORE SUPPLIES</v>
      </c>
      <c r="C99" s="15"/>
      <c r="D99" s="2">
        <v>633.1</v>
      </c>
      <c r="E99" s="2"/>
      <c r="F99" s="2"/>
      <c r="G99" s="2"/>
      <c r="H99" s="2">
        <v>200</v>
      </c>
      <c r="I99" s="2">
        <v>200</v>
      </c>
      <c r="J99" s="2">
        <v>800</v>
      </c>
      <c r="K99" s="2">
        <v>1200</v>
      </c>
      <c r="L99" s="2">
        <v>700</v>
      </c>
      <c r="M99" s="2">
        <v>400</v>
      </c>
      <c r="N99" s="2">
        <v>400</v>
      </c>
      <c r="O99" s="2">
        <v>400</v>
      </c>
      <c r="P99" s="9"/>
      <c r="Q99" s="2">
        <f>SUM(OSRRefD21_11_2x)+IFERROR(SUM(OSRRefE21_11_2x),0)</f>
        <v>4933.1000000000004</v>
      </c>
    </row>
    <row r="100" spans="1:17" s="34" customFormat="1" collapsed="1" x14ac:dyDescent="0.25">
      <c r="A100" s="35"/>
      <c r="B100" s="15" t="str">
        <f>CONCATENATE("     ","Telephone/Data Lines                              ")</f>
        <v xml:space="preserve">     Telephone/Data Lines                              </v>
      </c>
      <c r="C100" s="15"/>
      <c r="D100" s="1">
        <f>SUM(OSRRefD21_12x_0)</f>
        <v>760.5</v>
      </c>
      <c r="E100" s="1">
        <f>SUM(OSRRefD21_12x_1)</f>
        <v>472.8</v>
      </c>
      <c r="F100" s="1">
        <f>SUM(OSRRefD21_12x_2)</f>
        <v>2635</v>
      </c>
      <c r="G100" s="1">
        <f>SUM(OSRRefD21_12x_3)</f>
        <v>-634.45000000000005</v>
      </c>
      <c r="H100" s="1">
        <f>SUM(OSRRefE21_12x_0)</f>
        <v>600</v>
      </c>
      <c r="I100" s="1">
        <f>SUM(OSRRefE21_12x_1)</f>
        <v>900</v>
      </c>
      <c r="J100" s="1">
        <f>SUM(OSRRefE21_12x_2)</f>
        <v>1100</v>
      </c>
      <c r="K100" s="1">
        <f>SUM(OSRRefE21_12x_3)</f>
        <v>600</v>
      </c>
      <c r="L100" s="1">
        <f>SUM(OSRRefE21_12x_4)</f>
        <v>600</v>
      </c>
      <c r="M100" s="1">
        <f>SUM(OSRRefE21_12x_5)</f>
        <v>600</v>
      </c>
      <c r="N100" s="1">
        <f>SUM(OSRRefE21_12x_6)</f>
        <v>600</v>
      </c>
      <c r="O100" s="1">
        <f>SUM(OSRRefE21_12x_7)</f>
        <v>600</v>
      </c>
      <c r="Q100" s="2">
        <f>SUM(OSRRefD20_12x)+IFERROR(SUM(OSRRefE20_12x),0)</f>
        <v>8833.85</v>
      </c>
    </row>
    <row r="101" spans="1:17" s="34" customFormat="1" hidden="1" outlineLevel="1" x14ac:dyDescent="0.25">
      <c r="A101" s="35"/>
      <c r="B101" s="13" t="str">
        <f>CONCATENATE("          ","6303", " - ","DATA PHONE LINES")</f>
        <v xml:space="preserve">          6303 - DATA PHONE LINES</v>
      </c>
      <c r="C101" s="15"/>
      <c r="D101" s="2">
        <v>295</v>
      </c>
      <c r="E101" s="2"/>
      <c r="F101" s="2">
        <v>885</v>
      </c>
      <c r="G101" s="2"/>
      <c r="H101" s="2">
        <v>300</v>
      </c>
      <c r="I101" s="2">
        <v>300</v>
      </c>
      <c r="J101" s="2">
        <v>300</v>
      </c>
      <c r="K101" s="2">
        <v>300</v>
      </c>
      <c r="L101" s="2">
        <v>300</v>
      </c>
      <c r="M101" s="2">
        <v>300</v>
      </c>
      <c r="N101" s="2">
        <v>300</v>
      </c>
      <c r="O101" s="2">
        <v>300</v>
      </c>
      <c r="P101" s="9"/>
      <c r="Q101" s="2">
        <f>SUM(OSRRefD21_12_0x)+IFERROR(SUM(OSRRefE21_12_0x),0)</f>
        <v>3580</v>
      </c>
    </row>
    <row r="102" spans="1:17" s="34" customFormat="1" hidden="1" outlineLevel="1" x14ac:dyDescent="0.25">
      <c r="A102" s="35"/>
      <c r="B102" s="13" t="str">
        <f>CONCATENATE("          ","6309", " - ","TELEPHONE")</f>
        <v xml:space="preserve">          6309 - TELEPHONE</v>
      </c>
      <c r="C102" s="15"/>
      <c r="D102" s="2">
        <v>465.5</v>
      </c>
      <c r="E102" s="2">
        <v>472.8</v>
      </c>
      <c r="F102" s="2">
        <v>1750</v>
      </c>
      <c r="G102" s="2">
        <v>-634.45000000000005</v>
      </c>
      <c r="H102" s="2">
        <v>300</v>
      </c>
      <c r="I102" s="2">
        <v>600</v>
      </c>
      <c r="J102" s="2">
        <v>800</v>
      </c>
      <c r="K102" s="2">
        <v>300</v>
      </c>
      <c r="L102" s="2">
        <v>300</v>
      </c>
      <c r="M102" s="2">
        <v>300</v>
      </c>
      <c r="N102" s="2">
        <v>300</v>
      </c>
      <c r="O102" s="2">
        <v>300</v>
      </c>
      <c r="P102" s="9"/>
      <c r="Q102" s="2">
        <f>SUM(OSRRefD21_12_1x)+IFERROR(SUM(OSRRefE21_12_1x),0)</f>
        <v>5253.85</v>
      </c>
    </row>
    <row r="103" spans="1:17" s="34" customFormat="1" collapsed="1" x14ac:dyDescent="0.25">
      <c r="A103" s="35"/>
      <c r="B103" s="15" t="str">
        <f>CONCATENATE("     ","Training                                          ")</f>
        <v xml:space="preserve">     Training                                          </v>
      </c>
      <c r="C103" s="15"/>
      <c r="D103" s="1">
        <f>SUM(OSRRefD21_13x_0)</f>
        <v>0</v>
      </c>
      <c r="E103" s="1">
        <f>SUM(OSRRefD21_13x_1)</f>
        <v>0</v>
      </c>
      <c r="F103" s="1">
        <f>SUM(OSRRefD21_13x_2)</f>
        <v>0</v>
      </c>
      <c r="G103" s="1">
        <f>SUM(OSRRefD21_13x_3)</f>
        <v>0</v>
      </c>
      <c r="H103" s="1">
        <f>SUM(OSRRefE21_13x_0)</f>
        <v>0</v>
      </c>
      <c r="I103" s="1">
        <f>SUM(OSRRefE21_13x_1)</f>
        <v>0</v>
      </c>
      <c r="J103" s="1">
        <f>SUM(OSRRefE21_13x_2)</f>
        <v>0</v>
      </c>
      <c r="K103" s="1">
        <f>SUM(OSRRefE21_13x_3)</f>
        <v>5000</v>
      </c>
      <c r="L103" s="1">
        <f>SUM(OSRRefE21_13x_4)</f>
        <v>0</v>
      </c>
      <c r="M103" s="1">
        <f>SUM(OSRRefE21_13x_5)</f>
        <v>0</v>
      </c>
      <c r="N103" s="1">
        <f>SUM(OSRRefE21_13x_6)</f>
        <v>0</v>
      </c>
      <c r="O103" s="1">
        <f>SUM(OSRRefE21_13x_7)</f>
        <v>0</v>
      </c>
      <c r="Q103" s="2">
        <f>SUM(OSRRefD20_13x)+IFERROR(SUM(OSRRefE20_13x),0)</f>
        <v>5000</v>
      </c>
    </row>
    <row r="104" spans="1:17" s="34" customFormat="1" hidden="1" outlineLevel="1" x14ac:dyDescent="0.25">
      <c r="A104" s="35"/>
      <c r="B104" s="13" t="str">
        <f>CONCATENATE("          ","6376", " - ","TRAINING")</f>
        <v xml:space="preserve">          6376 - TRAINING</v>
      </c>
      <c r="C104" s="15"/>
      <c r="D104" s="2"/>
      <c r="E104" s="2"/>
      <c r="F104" s="2"/>
      <c r="G104" s="2"/>
      <c r="H104" s="2"/>
      <c r="I104" s="2"/>
      <c r="J104" s="2"/>
      <c r="K104" s="2">
        <v>5000</v>
      </c>
      <c r="L104" s="2"/>
      <c r="M104" s="2"/>
      <c r="N104" s="2"/>
      <c r="O104" s="2"/>
      <c r="P104" s="9"/>
      <c r="Q104" s="2">
        <f>SUM(OSRRefD21_13_0x)+IFERROR(SUM(OSRRefE21_13_0x),0)</f>
        <v>5000</v>
      </c>
    </row>
    <row r="105" spans="1:17" s="34" customFormat="1" collapsed="1" x14ac:dyDescent="0.25">
      <c r="A105" s="35"/>
      <c r="B105" s="15" t="str">
        <f>CONCATENATE("     ","Travel                                            ")</f>
        <v xml:space="preserve">     Travel                                            </v>
      </c>
      <c r="C105" s="15"/>
      <c r="D105" s="1">
        <f>SUM(OSRRefD21_14x_0)</f>
        <v>0.16</v>
      </c>
      <c r="E105" s="1">
        <f>SUM(OSRRefD21_14x_1)</f>
        <v>0</v>
      </c>
      <c r="F105" s="1">
        <f>SUM(OSRRefD21_14x_2)</f>
        <v>0</v>
      </c>
      <c r="G105" s="1">
        <f>SUM(OSRRefD21_14x_3)</f>
        <v>0</v>
      </c>
      <c r="H105" s="1">
        <f>SUM(OSRRefE21_14x_0)</f>
        <v>0</v>
      </c>
      <c r="I105" s="1">
        <f>SUM(OSRRefE21_14x_1)</f>
        <v>0</v>
      </c>
      <c r="J105" s="1">
        <f>SUM(OSRRefE21_14x_2)</f>
        <v>0</v>
      </c>
      <c r="K105" s="1">
        <f>SUM(OSRRefE21_14x_3)</f>
        <v>0</v>
      </c>
      <c r="L105" s="1">
        <f>SUM(OSRRefE21_14x_4)</f>
        <v>0</v>
      </c>
      <c r="M105" s="1">
        <f>SUM(OSRRefE21_14x_5)</f>
        <v>0</v>
      </c>
      <c r="N105" s="1">
        <f>SUM(OSRRefE21_14x_6)</f>
        <v>0</v>
      </c>
      <c r="O105" s="1">
        <f>SUM(OSRRefE21_14x_7)</f>
        <v>0</v>
      </c>
      <c r="Q105" s="2">
        <f>SUM(OSRRefD20_14x)+IFERROR(SUM(OSRRefE20_14x),0)</f>
        <v>0.16</v>
      </c>
    </row>
    <row r="106" spans="1:17" s="34" customFormat="1" hidden="1" outlineLevel="1" x14ac:dyDescent="0.25">
      <c r="A106" s="35"/>
      <c r="B106" s="13" t="str">
        <f>CONCATENATE("          ","6292", " - ","TRAVEL/CONFERENCE")</f>
        <v xml:space="preserve">          6292 - TRAVEL/CONFERENCE</v>
      </c>
      <c r="C106" s="15"/>
      <c r="D106" s="2">
        <v>0.16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9"/>
      <c r="Q106" s="2">
        <f>SUM(OSRRefD21_14_0x)+IFERROR(SUM(OSRRefE21_14_0x),0)</f>
        <v>0.16</v>
      </c>
    </row>
    <row r="107" spans="1:17" s="28" customFormat="1" x14ac:dyDescent="0.25">
      <c r="A107" s="20"/>
      <c r="B107" s="20"/>
      <c r="C107" s="20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Q107" s="1"/>
    </row>
    <row r="108" spans="1:17" s="9" customFormat="1" x14ac:dyDescent="0.25">
      <c r="A108" s="22"/>
      <c r="B108" s="16" t="s">
        <v>0</v>
      </c>
      <c r="C108" s="23"/>
      <c r="D108" s="3">
        <f>--2056.93</f>
        <v>2056.9299999999998</v>
      </c>
      <c r="E108" s="3">
        <f>--1890.48</f>
        <v>1890.48</v>
      </c>
      <c r="F108" s="3">
        <f>--156953.37</f>
        <v>156953.37</v>
      </c>
      <c r="G108" s="3">
        <f>--267.41</f>
        <v>267.41000000000003</v>
      </c>
      <c r="H108" s="3">
        <v>300</v>
      </c>
      <c r="I108" s="3">
        <v>2750</v>
      </c>
      <c r="J108" s="3">
        <v>6500</v>
      </c>
      <c r="K108" s="3">
        <v>91281</v>
      </c>
      <c r="L108" s="3">
        <v>300</v>
      </c>
      <c r="M108" s="3">
        <v>200</v>
      </c>
      <c r="N108" s="3">
        <v>2900</v>
      </c>
      <c r="O108" s="3">
        <v>3100</v>
      </c>
      <c r="Q108" s="2">
        <f>SUM(OSRRefD23_0x)+IFERROR(SUM(OSRRefE23_0x),0)</f>
        <v>268499.19</v>
      </c>
    </row>
    <row r="109" spans="1:17" x14ac:dyDescent="0.25">
      <c r="A109" s="5"/>
      <c r="B109" s="8"/>
      <c r="C109" s="8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Q109" s="3"/>
    </row>
    <row r="110" spans="1:17" s="14" customFormat="1" x14ac:dyDescent="0.25">
      <c r="A110" s="8"/>
      <c r="B110" s="17" t="s">
        <v>3</v>
      </c>
      <c r="C110" s="17"/>
      <c r="D110" s="6">
        <f t="shared" ref="D110:O110" si="6">IFERROR(+D48-D51+D108, 0)</f>
        <v>-20865.900000000045</v>
      </c>
      <c r="E110" s="6">
        <f t="shared" si="6"/>
        <v>287246.44000000012</v>
      </c>
      <c r="F110" s="6">
        <f t="shared" si="6"/>
        <v>197116.18000000011</v>
      </c>
      <c r="G110" s="6">
        <f t="shared" si="6"/>
        <v>-33057.159999999982</v>
      </c>
      <c r="H110" s="6">
        <f t="shared" si="6"/>
        <v>-39848.505273861527</v>
      </c>
      <c r="I110" s="6">
        <f t="shared" si="6"/>
        <v>-33114.210673861526</v>
      </c>
      <c r="J110" s="6">
        <f t="shared" si="6"/>
        <v>149857.33880117314</v>
      </c>
      <c r="K110" s="6">
        <f t="shared" si="6"/>
        <v>67444.350350388471</v>
      </c>
      <c r="L110" s="6">
        <f t="shared" si="6"/>
        <v>-40478.572049611525</v>
      </c>
      <c r="M110" s="6">
        <f t="shared" si="6"/>
        <v>-48739.232569826941</v>
      </c>
      <c r="N110" s="6">
        <f t="shared" si="6"/>
        <v>-41547.572558111526</v>
      </c>
      <c r="O110" s="6">
        <f t="shared" si="6"/>
        <v>-78733.988306236541</v>
      </c>
      <c r="Q110" s="6">
        <f>IFERROR(+Q48-Q51+Q108, 0)</f>
        <v>365279.16772005282</v>
      </c>
    </row>
    <row r="111" spans="1:17" s="8" customFormat="1" x14ac:dyDescent="0.25">
      <c r="B111" s="16"/>
      <c r="C111" s="16"/>
      <c r="D111" s="4">
        <f t="shared" ref="D111:O111" si="7">IFERROR(D110/D10, 0)</f>
        <v>-0.43435731628924851</v>
      </c>
      <c r="E111" s="4">
        <f t="shared" si="7"/>
        <v>0.23427488345730174</v>
      </c>
      <c r="F111" s="4">
        <f t="shared" si="7"/>
        <v>0.83039757191627994</v>
      </c>
      <c r="G111" s="4">
        <f t="shared" si="7"/>
        <v>-0.96705754047890091</v>
      </c>
      <c r="H111" s="4">
        <f t="shared" si="7"/>
        <v>-6.4137301261647393</v>
      </c>
      <c r="I111" s="4">
        <f t="shared" si="7"/>
        <v>-0.95226924351128794</v>
      </c>
      <c r="J111" s="4">
        <f t="shared" si="7"/>
        <v>0.16631853261650592</v>
      </c>
      <c r="K111" s="4">
        <f t="shared" si="7"/>
        <v>0.61937260748221146</v>
      </c>
      <c r="L111" s="4">
        <f t="shared" si="7"/>
        <v>-2.9751624012062421</v>
      </c>
      <c r="M111" s="4">
        <f t="shared" si="7"/>
        <v>-6.9433557093869176</v>
      </c>
      <c r="N111" s="4">
        <f t="shared" si="7"/>
        <v>-1.0197600186073885</v>
      </c>
      <c r="O111" s="4">
        <f t="shared" si="7"/>
        <v>-6.8968708823865432</v>
      </c>
      <c r="P111" s="18"/>
      <c r="Q111" s="4">
        <f>IFERROR(Q110/Q10, 0)</f>
        <v>0.1368397360812407</v>
      </c>
    </row>
    <row r="112" spans="1:17" x14ac:dyDescent="0.25">
      <c r="A112" s="5"/>
      <c r="B112" s="8"/>
      <c r="C112" s="5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Q112" s="3"/>
    </row>
    <row r="113" spans="1:17" s="14" customFormat="1" x14ac:dyDescent="0.25">
      <c r="A113" s="25"/>
      <c r="B113" s="8" t="s">
        <v>8</v>
      </c>
      <c r="C113" s="8"/>
      <c r="D113" s="3">
        <v>23474.36</v>
      </c>
      <c r="E113" s="3">
        <v>191648.44999999998</v>
      </c>
      <c r="F113" s="3">
        <v>64894.33</v>
      </c>
      <c r="G113" s="3">
        <v>54816.07</v>
      </c>
      <c r="H113" s="3">
        <v>40068</v>
      </c>
      <c r="I113" s="3">
        <v>40090</v>
      </c>
      <c r="J113" s="3">
        <v>222692</v>
      </c>
      <c r="K113" s="3">
        <v>25065</v>
      </c>
      <c r="L113" s="3">
        <v>25068</v>
      </c>
      <c r="M113" s="3">
        <v>22400</v>
      </c>
      <c r="N113" s="3">
        <v>26397</v>
      </c>
      <c r="O113" s="3">
        <v>-66372</v>
      </c>
      <c r="Q113" s="2">
        <f>SUM(OSRRefD28_0x)+IFERROR(SUM(OSRRefE28_0x),0)</f>
        <v>670241.21</v>
      </c>
    </row>
    <row r="114" spans="1:17" x14ac:dyDescent="0.25">
      <c r="A114" s="5"/>
      <c r="B114" s="8"/>
      <c r="C114" s="8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Q114" s="3"/>
    </row>
    <row r="115" spans="1:17" s="14" customFormat="1" ht="15.75" thickBot="1" x14ac:dyDescent="0.3">
      <c r="A115" s="8"/>
      <c r="B115" s="17" t="s">
        <v>4</v>
      </c>
      <c r="C115" s="17"/>
      <c r="D115" s="7">
        <f t="shared" ref="D115:O115" si="8">IFERROR(+D110-D113, 0)</f>
        <v>-44340.260000000046</v>
      </c>
      <c r="E115" s="7">
        <f t="shared" si="8"/>
        <v>95597.990000000136</v>
      </c>
      <c r="F115" s="7">
        <f t="shared" si="8"/>
        <v>132221.85000000009</v>
      </c>
      <c r="G115" s="7">
        <f t="shared" si="8"/>
        <v>-87873.229999999981</v>
      </c>
      <c r="H115" s="7">
        <f t="shared" si="8"/>
        <v>-79916.50527386152</v>
      </c>
      <c r="I115" s="7">
        <f t="shared" si="8"/>
        <v>-73204.210673861526</v>
      </c>
      <c r="J115" s="7">
        <f t="shared" si="8"/>
        <v>-72834.661198826856</v>
      </c>
      <c r="K115" s="7">
        <f t="shared" si="8"/>
        <v>42379.350350388471</v>
      </c>
      <c r="L115" s="7">
        <f t="shared" si="8"/>
        <v>-65546.572049611525</v>
      </c>
      <c r="M115" s="7">
        <f t="shared" si="8"/>
        <v>-71139.232569826941</v>
      </c>
      <c r="N115" s="7">
        <f t="shared" si="8"/>
        <v>-67944.572558111526</v>
      </c>
      <c r="O115" s="7">
        <f t="shared" si="8"/>
        <v>-12361.988306236541</v>
      </c>
      <c r="Q115" s="7">
        <f>IFERROR(+Q110-Q113, 0)</f>
        <v>-304962.04227994714</v>
      </c>
    </row>
    <row r="116" spans="1:17" ht="15.75" thickTop="1" x14ac:dyDescent="0.25">
      <c r="A116" s="5"/>
      <c r="B116" s="5"/>
      <c r="C116" s="5"/>
      <c r="D116" s="4">
        <f t="shared" ref="D116:O116" si="9">IFERROR(D115/D10, 0)</f>
        <v>-0.92301392881052302</v>
      </c>
      <c r="E116" s="4">
        <f t="shared" si="9"/>
        <v>7.7968618047981095E-2</v>
      </c>
      <c r="F116" s="4">
        <f t="shared" si="9"/>
        <v>0.55701517345901586</v>
      </c>
      <c r="G116" s="4">
        <f t="shared" si="9"/>
        <v>-2.5706524600944785</v>
      </c>
      <c r="H116" s="4">
        <f t="shared" si="9"/>
        <v>-12.862788552045956</v>
      </c>
      <c r="I116" s="4">
        <f t="shared" si="9"/>
        <v>-2.1051420795382048</v>
      </c>
      <c r="J116" s="4">
        <f t="shared" si="9"/>
        <v>-8.0835240176535234E-2</v>
      </c>
      <c r="K116" s="4">
        <f t="shared" si="9"/>
        <v>0.38918914028461821</v>
      </c>
      <c r="L116" s="4">
        <f t="shared" si="9"/>
        <v>-4.8176525706230215</v>
      </c>
      <c r="M116" s="4">
        <f t="shared" si="9"/>
        <v>-10.134443457177019</v>
      </c>
      <c r="N116" s="4">
        <f t="shared" si="9"/>
        <v>-1.6676584048134386</v>
      </c>
      <c r="O116" s="4">
        <f t="shared" si="9"/>
        <v>-1.0828746140239964</v>
      </c>
      <c r="P116" s="18"/>
      <c r="Q116" s="4">
        <f>IFERROR(Q115/Q10, 0)</f>
        <v>-0.11424392373880571</v>
      </c>
    </row>
    <row r="117" spans="1:17" x14ac:dyDescent="0.25">
      <c r="A117" s="5"/>
      <c r="B117" s="5"/>
      <c r="C117" s="5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x14ac:dyDescent="0.25">
      <c r="A118" s="5"/>
      <c r="B118" s="5"/>
      <c r="C118" s="5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Q118" s="3"/>
    </row>
    <row r="119" spans="1:17" s="14" customFormat="1" ht="15.75" thickBot="1" x14ac:dyDescent="0.3">
      <c r="A119" s="8"/>
      <c r="B119" s="17" t="s">
        <v>5</v>
      </c>
      <c r="C119" s="17"/>
      <c r="D119" s="7">
        <f t="shared" ref="D119:O119" si="10">IFERROR(SUM(D115:D118), 0)</f>
        <v>-44341.183013928858</v>
      </c>
      <c r="E119" s="7">
        <f t="shared" si="10"/>
        <v>95598.067968618183</v>
      </c>
      <c r="F119" s="7">
        <f t="shared" si="10"/>
        <v>132222.40701517355</v>
      </c>
      <c r="G119" s="7">
        <f t="shared" si="10"/>
        <v>-87875.800652460079</v>
      </c>
      <c r="H119" s="7">
        <f t="shared" si="10"/>
        <v>-79929.36806241356</v>
      </c>
      <c r="I119" s="7">
        <f t="shared" si="10"/>
        <v>-73206.315815941067</v>
      </c>
      <c r="J119" s="7">
        <f t="shared" si="10"/>
        <v>-72834.742034067036</v>
      </c>
      <c r="K119" s="7">
        <f t="shared" si="10"/>
        <v>42379.739539528753</v>
      </c>
      <c r="L119" s="7">
        <f t="shared" si="10"/>
        <v>-65551.389702182147</v>
      </c>
      <c r="M119" s="7">
        <f t="shared" si="10"/>
        <v>-71149.367013284122</v>
      </c>
      <c r="N119" s="7">
        <f t="shared" si="10"/>
        <v>-67946.240216516337</v>
      </c>
      <c r="O119" s="7">
        <f t="shared" si="10"/>
        <v>-12363.071180850564</v>
      </c>
      <c r="Q119" s="7">
        <f>IFERROR(SUM(Q115:Q118), 0)</f>
        <v>-304962.15652387089</v>
      </c>
    </row>
    <row r="120" spans="1:17" ht="15.75" thickTop="1" x14ac:dyDescent="0.25">
      <c r="A120" s="5"/>
      <c r="C120" s="5"/>
      <c r="D120" s="4">
        <f t="shared" ref="D120:O120" si="11">IFERROR(D119/D10, 0)</f>
        <v>-0.92303314283210935</v>
      </c>
      <c r="E120" s="4">
        <f t="shared" si="11"/>
        <v>7.7968681638286713E-2</v>
      </c>
      <c r="F120" s="4">
        <f t="shared" si="11"/>
        <v>0.55701752001447136</v>
      </c>
      <c r="G120" s="4">
        <f t="shared" si="11"/>
        <v>-2.5707276622245314</v>
      </c>
      <c r="H120" s="4">
        <f t="shared" si="11"/>
        <v>-12.864858854404243</v>
      </c>
      <c r="I120" s="4">
        <f t="shared" si="11"/>
        <v>-2.1052026173561011</v>
      </c>
      <c r="J120" s="4">
        <f t="shared" si="11"/>
        <v>-8.0835329891184096E-2</v>
      </c>
      <c r="K120" s="4">
        <f t="shared" si="11"/>
        <v>0.38919271438817715</v>
      </c>
      <c r="L120" s="4">
        <f t="shared" si="11"/>
        <v>-4.8180066665820549</v>
      </c>
      <c r="M120" s="4">
        <f t="shared" si="11"/>
        <v>-10.135887202638934</v>
      </c>
      <c r="N120" s="4">
        <f t="shared" si="11"/>
        <v>-1.6676993364795076</v>
      </c>
      <c r="O120" s="4">
        <f t="shared" si="11"/>
        <v>-1.0829694707250908</v>
      </c>
      <c r="P120" s="18"/>
      <c r="Q120" s="4">
        <f>IFERROR(Q119/Q10, 0)</f>
        <v>-0.11424396653650608</v>
      </c>
    </row>
    <row r="121" spans="1:17" x14ac:dyDescent="0.25">
      <c r="A121" s="5"/>
      <c r="B121" s="26">
        <v>44151.564608101849</v>
      </c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Q121" s="12"/>
    </row>
    <row r="122" spans="1:17" x14ac:dyDescent="0.25">
      <c r="A122" s="5"/>
      <c r="B122" s="30" t="s">
        <v>311</v>
      </c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Q122" s="12"/>
    </row>
    <row r="123" spans="1:17" x14ac:dyDescent="0.25">
      <c r="A123" s="5"/>
      <c r="B123" s="31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Q123" s="12"/>
    </row>
    <row r="124" spans="1:17" x14ac:dyDescent="0.25"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Q124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2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","311", " - ", "Textbooks")</f>
        <v>Department 311 - Textbooks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40738.920000000006</v>
      </c>
      <c r="E10" s="3">
        <f>SUM(OSRRefD11x_1)</f>
        <v>814061.74</v>
      </c>
      <c r="F10" s="3">
        <f>SUM(OSRRefD11x_2)</f>
        <v>188990.74</v>
      </c>
      <c r="G10" s="3">
        <f>SUM(OSRRefD11x_3)</f>
        <v>31874.179999999997</v>
      </c>
      <c r="H10" s="3">
        <f>SUM(OSRRefE11x_0)</f>
        <v>5907</v>
      </c>
      <c r="I10" s="3">
        <f>SUM(OSRRefE11x_1)</f>
        <v>34674</v>
      </c>
      <c r="J10" s="3">
        <f>SUM(OSRRefE11x_2)</f>
        <v>601099</v>
      </c>
      <c r="K10" s="3">
        <f>SUM(OSRRefE11x_3)</f>
        <v>78945</v>
      </c>
      <c r="L10" s="3">
        <f>SUM(OSRRefE11x_4)</f>
        <v>11664</v>
      </c>
      <c r="M10" s="3">
        <f>SUM(OSRRefE11x_5)</f>
        <v>5886</v>
      </c>
      <c r="N10" s="3">
        <f>SUM(OSRRefE11x_6)</f>
        <v>34555</v>
      </c>
      <c r="O10" s="3">
        <f>SUM(OSRRefE11x_7)</f>
        <v>14981</v>
      </c>
      <c r="P10" s="24"/>
      <c r="Q10" s="3">
        <f>SUM(OSRRefG11x)</f>
        <v>1863376.5799999996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-770.07</f>
        <v>-770.07</v>
      </c>
      <c r="E11" s="2">
        <f>-3258.19</f>
        <v>-3258.19</v>
      </c>
      <c r="F11" s="2">
        <f>-965.28</f>
        <v>-965.28</v>
      </c>
      <c r="G11" s="2">
        <f>-1377.28</f>
        <v>-1377.28</v>
      </c>
      <c r="H11" s="2">
        <v>5907</v>
      </c>
      <c r="I11" s="2">
        <v>34674</v>
      </c>
      <c r="J11" s="2">
        <v>601099</v>
      </c>
      <c r="K11" s="2">
        <v>78945</v>
      </c>
      <c r="L11" s="2">
        <v>11664</v>
      </c>
      <c r="M11" s="2">
        <v>5886</v>
      </c>
      <c r="N11" s="2">
        <v>34555</v>
      </c>
      <c r="O11" s="2">
        <v>14981</v>
      </c>
      <c r="Q11" s="2">
        <f>SUM(OSRRefD11_0x)+IFERROR(SUM(OSRRefE11_0x),0)</f>
        <v>781340.18</v>
      </c>
    </row>
    <row r="12" spans="1:18" s="9" customFormat="1" hidden="1" outlineLevel="1" x14ac:dyDescent="0.2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--10034.9</f>
        <v>10034.9</v>
      </c>
      <c r="E12" s="2">
        <f>--426911.15</f>
        <v>426911.15</v>
      </c>
      <c r="F12" s="2">
        <f>--86795.93</f>
        <v>86795.93</v>
      </c>
      <c r="G12" s="2">
        <f>--16356.63</f>
        <v>16356.63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540098.61</v>
      </c>
    </row>
    <row r="13" spans="1:18" s="9" customFormat="1" hidden="1" outlineLevel="1" x14ac:dyDescent="0.2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--10680.95</f>
        <v>10680.95</v>
      </c>
      <c r="E13" s="2">
        <f>--149234.35</f>
        <v>149234.35</v>
      </c>
      <c r="F13" s="2">
        <f>--24307.89</f>
        <v>24307.89</v>
      </c>
      <c r="G13" s="2">
        <f>--1584.65</f>
        <v>1584.65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185807.84</v>
      </c>
    </row>
    <row r="14" spans="1:18" s="9" customFormat="1" hidden="1" outlineLevel="1" x14ac:dyDescent="0.2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10665.630000000001</v>
      </c>
    </row>
    <row r="15" spans="1:18" s="9" customFormat="1" hidden="1" outlineLevel="1" x14ac:dyDescent="0.2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2459.56</v>
      </c>
    </row>
    <row r="16" spans="1:18" s="9" customFormat="1" hidden="1" outlineLevel="1" x14ac:dyDescent="0.2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197.37</v>
      </c>
    </row>
    <row r="17" spans="1:17" s="9" customFormat="1" hidden="1" outlineLevel="1" x14ac:dyDescent="0.2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/>
      <c r="I17" s="2"/>
      <c r="J17" s="2"/>
      <c r="K17" s="2"/>
      <c r="L17" s="2"/>
      <c r="M17" s="2"/>
      <c r="N17" s="2"/>
      <c r="O17" s="2"/>
      <c r="Q17" s="2">
        <f>SUM(OSRRefD11_6x)+IFERROR(SUM(OSRRefE11_6x),0)</f>
        <v>340.24</v>
      </c>
    </row>
    <row r="18" spans="1:17" s="9" customFormat="1" hidden="1" outlineLevel="1" x14ac:dyDescent="0.2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/>
      <c r="I18" s="2"/>
      <c r="J18" s="2"/>
      <c r="K18" s="2"/>
      <c r="L18" s="2"/>
      <c r="M18" s="2"/>
      <c r="N18" s="2"/>
      <c r="O18" s="2"/>
      <c r="Q18" s="2">
        <f>SUM(OSRRefD11_7x)+IFERROR(SUM(OSRRefE11_7x),0)</f>
        <v>183.89000000000001</v>
      </c>
    </row>
    <row r="19" spans="1:17" s="9" customFormat="1" hidden="1" outlineLevel="1" x14ac:dyDescent="0.25">
      <c r="A19" s="22"/>
      <c r="B19" s="13" t="str">
        <f>CONCATENATE("          ","4101", " - ","NON-TAXABLE SALES-NEW TEXT")</f>
        <v xml:space="preserve">          4101 - NON-TAXABLE SALES-NEW TEXT</v>
      </c>
      <c r="C19" s="23"/>
      <c r="D19" s="2">
        <f>--10341.86</f>
        <v>10341.86</v>
      </c>
      <c r="E19" s="2">
        <f>--41238.82</f>
        <v>41238.82</v>
      </c>
      <c r="F19" s="2">
        <f>--18824.16</f>
        <v>18824.16</v>
      </c>
      <c r="G19" s="2">
        <f>--7260.05</f>
        <v>7260.05</v>
      </c>
      <c r="H19" s="2"/>
      <c r="I19" s="2"/>
      <c r="J19" s="2"/>
      <c r="K19" s="2"/>
      <c r="L19" s="2"/>
      <c r="M19" s="2"/>
      <c r="N19" s="2"/>
      <c r="O19" s="2"/>
      <c r="Q19" s="2">
        <f>SUM(OSRRefD11_8x)+IFERROR(SUM(OSRRefE11_8x),0)</f>
        <v>77664.89</v>
      </c>
    </row>
    <row r="20" spans="1:17" s="9" customFormat="1" hidden="1" outlineLevel="1" x14ac:dyDescent="0.25">
      <c r="A20" s="22"/>
      <c r="B20" s="13" t="str">
        <f>CONCATENATE("          ","4102", " - ","NON-TAXABLE SALES-USED TEXT")</f>
        <v xml:space="preserve">          4102 - NON-TAXABLE SALES-USED TEXT</v>
      </c>
      <c r="C20" s="23"/>
      <c r="D20" s="2">
        <f>--4190.44</f>
        <v>4190.4399999999996</v>
      </c>
      <c r="E20" s="2">
        <f>--17373.3</f>
        <v>17373.3</v>
      </c>
      <c r="F20" s="2">
        <f>--8807.08</f>
        <v>8807.08</v>
      </c>
      <c r="G20" s="2">
        <f>--2341.65</f>
        <v>2341.65</v>
      </c>
      <c r="H20" s="2"/>
      <c r="I20" s="2"/>
      <c r="J20" s="2"/>
      <c r="K20" s="2"/>
      <c r="L20" s="2"/>
      <c r="M20" s="2"/>
      <c r="N20" s="2"/>
      <c r="O20" s="2"/>
      <c r="Q20" s="2">
        <f>SUM(OSRRefD11_9x)+IFERROR(SUM(OSRRefE11_9x),0)</f>
        <v>32712.47</v>
      </c>
    </row>
    <row r="21" spans="1:17" s="9" customFormat="1" hidden="1" outlineLevel="1" x14ac:dyDescent="0.25">
      <c r="A21" s="22"/>
      <c r="B21" s="13" t="str">
        <f>CONCATENATE("          ","4103", " - ","NON-TAXABLE SALES-RENTAL TEXT")</f>
        <v xml:space="preserve">          4103 - NON-TAXABLE SALES-RENTAL TEXT</v>
      </c>
      <c r="C21" s="23"/>
      <c r="D21" s="2">
        <f t="shared" ref="D21:E21" si="1">0</f>
        <v>0</v>
      </c>
      <c r="E21" s="2">
        <f t="shared" si="1"/>
        <v>0</v>
      </c>
      <c r="F21" s="2">
        <f>--284.97</f>
        <v>284.97000000000003</v>
      </c>
      <c r="G21" s="2">
        <f>0</f>
        <v>0</v>
      </c>
      <c r="H21" s="2"/>
      <c r="I21" s="2"/>
      <c r="J21" s="2"/>
      <c r="K21" s="2"/>
      <c r="L21" s="2"/>
      <c r="M21" s="2"/>
      <c r="N21" s="2"/>
      <c r="O21" s="2"/>
      <c r="Q21" s="2">
        <f>SUM(OSRRefD11_10x)+IFERROR(SUM(OSRRefE11_10x),0)</f>
        <v>284.97000000000003</v>
      </c>
    </row>
    <row r="22" spans="1:17" s="9" customFormat="1" hidden="1" outlineLevel="1" x14ac:dyDescent="0.25">
      <c r="A22" s="22"/>
      <c r="B22" s="13" t="str">
        <f>CONCATENATE("          ","4104", " - ","NON-TAXABLE SALES-DIGITAL TEXT")</f>
        <v xml:space="preserve">          4104 - NON-TAXABLE SALES-DIGITAL TEXT</v>
      </c>
      <c r="C22" s="23"/>
      <c r="D22" s="2">
        <f>--7485.52</f>
        <v>7485.52</v>
      </c>
      <c r="E22" s="2">
        <f>--205404.66</f>
        <v>205404.66</v>
      </c>
      <c r="F22" s="2">
        <f>--73817.67</f>
        <v>73817.67</v>
      </c>
      <c r="G22" s="2">
        <f>--6767.67</f>
        <v>6767.67</v>
      </c>
      <c r="H22" s="2"/>
      <c r="I22" s="2"/>
      <c r="J22" s="2"/>
      <c r="K22" s="2"/>
      <c r="L22" s="2"/>
      <c r="M22" s="2"/>
      <c r="N22" s="2"/>
      <c r="O22" s="2"/>
      <c r="Q22" s="2">
        <f>SUM(OSRRefD11_11x)+IFERROR(SUM(OSRRefE11_11x),0)</f>
        <v>293475.51999999996</v>
      </c>
    </row>
    <row r="23" spans="1:17" s="9" customFormat="1" hidden="1" outlineLevel="1" x14ac:dyDescent="0.25">
      <c r="A23" s="22"/>
      <c r="B23" s="13" t="str">
        <f>CONCATENATE("          ","4113", " - ","NON-TAXABLE SALES-TRADE BOOKS")</f>
        <v xml:space="preserve">          4113 - NON-TAXABLE SALES-TRADE BOOKS</v>
      </c>
      <c r="C23" s="23"/>
      <c r="D23" s="2">
        <f t="shared" ref="D23:F23" si="2">0</f>
        <v>0</v>
      </c>
      <c r="E23" s="2">
        <f t="shared" si="2"/>
        <v>0</v>
      </c>
      <c r="F23" s="2">
        <f t="shared" si="2"/>
        <v>0</v>
      </c>
      <c r="G23" s="2">
        <f>--1655.95</f>
        <v>1655.95</v>
      </c>
      <c r="H23" s="2"/>
      <c r="I23" s="2"/>
      <c r="J23" s="2"/>
      <c r="K23" s="2"/>
      <c r="L23" s="2"/>
      <c r="M23" s="2"/>
      <c r="N23" s="2"/>
      <c r="O23" s="2"/>
      <c r="Q23" s="2">
        <f>SUM(OSRRefD11_12x)+IFERROR(SUM(OSRRefE11_12x),0)</f>
        <v>1655.95</v>
      </c>
    </row>
    <row r="24" spans="1:17" s="9" customFormat="1" hidden="1" outlineLevel="1" x14ac:dyDescent="0.25">
      <c r="A24" s="22"/>
      <c r="B24" s="13" t="str">
        <f>CONCATENATE("          ","4118", " - ","NON-TAXABLE SALES-STUDY GUIDES")</f>
        <v xml:space="preserve">          4118 - NON-TAXABLE SALES-STUDY GUIDES</v>
      </c>
      <c r="C24" s="23"/>
      <c r="D24" s="2">
        <f>--53.96</f>
        <v>53.96</v>
      </c>
      <c r="E24" s="2">
        <f>--47.87</f>
        <v>47.87</v>
      </c>
      <c r="F24" s="2">
        <f>--6.5</f>
        <v>6.5</v>
      </c>
      <c r="G24" s="2">
        <f>--97.3</f>
        <v>97.3</v>
      </c>
      <c r="H24" s="2"/>
      <c r="I24" s="2"/>
      <c r="J24" s="2"/>
      <c r="K24" s="2"/>
      <c r="L24" s="2"/>
      <c r="M24" s="2"/>
      <c r="N24" s="2"/>
      <c r="O24" s="2"/>
      <c r="Q24" s="2">
        <f>SUM(OSRRefD11_13x)+IFERROR(SUM(OSRRefE11_13x),0)</f>
        <v>205.63</v>
      </c>
    </row>
    <row r="25" spans="1:17" s="9" customFormat="1" hidden="1" outlineLevel="1" x14ac:dyDescent="0.25">
      <c r="A25" s="22"/>
      <c r="B25" s="13" t="str">
        <f>CONCATENATE("          ","4201", " - ","SALES RETURN TAXABLE-NEW TEXT")</f>
        <v xml:space="preserve">          4201 - SALES RETURN TAXABLE-NEW TEXT</v>
      </c>
      <c r="C25" s="23"/>
      <c r="D25" s="2">
        <f>-633.4</f>
        <v>-633.4</v>
      </c>
      <c r="E25" s="2">
        <f>-18222.39</f>
        <v>-18222.39</v>
      </c>
      <c r="F25" s="2">
        <f>-13393.2</f>
        <v>-13393.2</v>
      </c>
      <c r="G25" s="2">
        <f>-1512.25</f>
        <v>-1512.25</v>
      </c>
      <c r="H25" s="2"/>
      <c r="I25" s="2"/>
      <c r="J25" s="2"/>
      <c r="K25" s="2"/>
      <c r="L25" s="2"/>
      <c r="M25" s="2"/>
      <c r="N25" s="2"/>
      <c r="O25" s="2"/>
      <c r="Q25" s="2">
        <f>SUM(OSRRefD11_14x)+IFERROR(SUM(OSRRefE11_14x),0)</f>
        <v>-33761.240000000005</v>
      </c>
    </row>
    <row r="26" spans="1:17" s="9" customFormat="1" hidden="1" outlineLevel="1" x14ac:dyDescent="0.25">
      <c r="A26" s="22"/>
      <c r="B26" s="13" t="str">
        <f>CONCATENATE("          ","4202", " - ","SALES RETURN TAXABLE-USED TEXT")</f>
        <v xml:space="preserve">          4202 - SALES RETURN TAXABLE-USED TEXT</v>
      </c>
      <c r="C26" s="23"/>
      <c r="D26" s="2">
        <f>-178.35</f>
        <v>-178.35</v>
      </c>
      <c r="E26" s="2">
        <f>-8869.4</f>
        <v>-8869.4</v>
      </c>
      <c r="F26" s="2">
        <f>-1345.2</f>
        <v>-1345.2</v>
      </c>
      <c r="G26" s="2">
        <f>-136.05</f>
        <v>-136.05000000000001</v>
      </c>
      <c r="H26" s="2"/>
      <c r="I26" s="2"/>
      <c r="J26" s="2"/>
      <c r="K26" s="2"/>
      <c r="L26" s="2"/>
      <c r="M26" s="2"/>
      <c r="N26" s="2"/>
      <c r="O26" s="2"/>
      <c r="Q26" s="2">
        <f>SUM(OSRRefD11_15x)+IFERROR(SUM(OSRRefE11_15x),0)</f>
        <v>-10529</v>
      </c>
    </row>
    <row r="27" spans="1:17" s="9" customFormat="1" hidden="1" outlineLevel="1" x14ac:dyDescent="0.25">
      <c r="A27" s="22"/>
      <c r="B27" s="13" t="str">
        <f>CONCATENATE("          ","4204", " - ","SALES RETURN TAXABLE-DIGITAL T")</f>
        <v xml:space="preserve">          4204 - SALES RETURN TAXABLE-DIGITAL T</v>
      </c>
      <c r="C27" s="23"/>
      <c r="D27" s="2">
        <f t="shared" ref="D27:D28" si="3">0</f>
        <v>0</v>
      </c>
      <c r="E27" s="2">
        <f>-1141.08</f>
        <v>-1141.08</v>
      </c>
      <c r="F27" s="2">
        <f>-105.87</f>
        <v>-105.87</v>
      </c>
      <c r="G27" s="2">
        <f>-383.9</f>
        <v>-383.9</v>
      </c>
      <c r="H27" s="2"/>
      <c r="I27" s="2"/>
      <c r="J27" s="2"/>
      <c r="K27" s="2"/>
      <c r="L27" s="2"/>
      <c r="M27" s="2"/>
      <c r="N27" s="2"/>
      <c r="O27" s="2"/>
      <c r="Q27" s="2">
        <f>SUM(OSRRefD11_16x)+IFERROR(SUM(OSRRefE11_16x),0)</f>
        <v>-1630.85</v>
      </c>
    </row>
    <row r="28" spans="1:17" s="9" customFormat="1" hidden="1" outlineLevel="1" x14ac:dyDescent="0.25">
      <c r="A28" s="22"/>
      <c r="B28" s="13" t="str">
        <f>CONCATENATE("          ","4301", " - ","SALES RETURN NON TAXABLE-NEW T")</f>
        <v xml:space="preserve">          4301 - SALES RETURN NON TAXABLE-NEW T</v>
      </c>
      <c r="C28" s="23"/>
      <c r="D28" s="2">
        <f t="shared" si="3"/>
        <v>0</v>
      </c>
      <c r="E28" s="2">
        <f>-20.25</f>
        <v>-20.25</v>
      </c>
      <c r="F28" s="2">
        <f>-1820.43</f>
        <v>-1820.43</v>
      </c>
      <c r="G28" s="2">
        <f>-535.49</f>
        <v>-535.49</v>
      </c>
      <c r="H28" s="2"/>
      <c r="I28" s="2"/>
      <c r="J28" s="2"/>
      <c r="K28" s="2"/>
      <c r="L28" s="2"/>
      <c r="M28" s="2"/>
      <c r="N28" s="2"/>
      <c r="O28" s="2"/>
      <c r="Q28" s="2">
        <f>SUM(OSRRefD11_17x)+IFERROR(SUM(OSRRefE11_17x),0)</f>
        <v>-2376.17</v>
      </c>
    </row>
    <row r="29" spans="1:17" s="9" customFormat="1" hidden="1" outlineLevel="1" x14ac:dyDescent="0.25">
      <c r="A29" s="22"/>
      <c r="B29" s="13" t="str">
        <f>CONCATENATE("          ","4302", " - ","SALES RETURN NON TAXABLE-TEXT")</f>
        <v xml:space="preserve">          4302 - SALES RETURN NON TAXABLE-TEXT</v>
      </c>
      <c r="C29" s="23"/>
      <c r="D29" s="2">
        <f>-63.67</f>
        <v>-63.67</v>
      </c>
      <c r="E29" s="2">
        <f>-346.17</f>
        <v>-346.17</v>
      </c>
      <c r="F29" s="2">
        <f>-737.24</f>
        <v>-737.24</v>
      </c>
      <c r="G29" s="2">
        <f>-169.72</f>
        <v>-169.72</v>
      </c>
      <c r="H29" s="2"/>
      <c r="I29" s="2"/>
      <c r="J29" s="2"/>
      <c r="K29" s="2"/>
      <c r="L29" s="2"/>
      <c r="M29" s="2"/>
      <c r="N29" s="2"/>
      <c r="O29" s="2"/>
      <c r="Q29" s="2">
        <f>SUM(OSRRefD11_18x)+IFERROR(SUM(OSRRefE11_18x),0)</f>
        <v>-1316.8</v>
      </c>
    </row>
    <row r="30" spans="1:17" s="9" customFormat="1" hidden="1" outlineLevel="1" x14ac:dyDescent="0.25">
      <c r="A30" s="22"/>
      <c r="B30" s="13" t="str">
        <f>CONCATENATE("          ","4304", " - ","SALES RETURN NON TAXABLE-DIGIT")</f>
        <v xml:space="preserve">          4304 - SALES RETURN NON TAXABLE-DIGIT</v>
      </c>
      <c r="C30" s="23"/>
      <c r="D30" s="2">
        <f>-452.05</f>
        <v>-452.05</v>
      </c>
      <c r="E30" s="2">
        <f>-5500.68</f>
        <v>-5500.68</v>
      </c>
      <c r="F30" s="2">
        <f>-7456.63</f>
        <v>-7456.63</v>
      </c>
      <c r="G30" s="2">
        <f>-692.75</f>
        <v>-692.75</v>
      </c>
      <c r="H30" s="2"/>
      <c r="I30" s="2"/>
      <c r="J30" s="2"/>
      <c r="K30" s="2"/>
      <c r="L30" s="2"/>
      <c r="M30" s="2"/>
      <c r="N30" s="2"/>
      <c r="O30" s="2"/>
      <c r="Q30" s="2">
        <f>SUM(OSRRefD11_19x)+IFERROR(SUM(OSRRefE11_19x),0)</f>
        <v>-14102.11</v>
      </c>
    </row>
    <row r="31" spans="1:17" x14ac:dyDescent="0.25">
      <c r="A31" s="5"/>
      <c r="B31" s="8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9" customFormat="1" collapsed="1" x14ac:dyDescent="0.25">
      <c r="A32" s="22"/>
      <c r="B32" s="16" t="s">
        <v>290</v>
      </c>
      <c r="C32" s="23"/>
      <c r="D32" s="3">
        <f>SUM(OSRRefD14x_0)</f>
        <v>26088.000000000015</v>
      </c>
      <c r="E32" s="3">
        <f>SUM(OSRRefD14x_1)</f>
        <v>581368.00000000012</v>
      </c>
      <c r="F32" s="3">
        <f>SUM(OSRRefD14x_2)</f>
        <v>130512.99999999991</v>
      </c>
      <c r="G32" s="3">
        <f>SUM(OSRRefD14x_3)</f>
        <v>24961.999999999985</v>
      </c>
      <c r="H32" s="3">
        <f>SUM(OSRRefE14x_0)</f>
        <v>4312</v>
      </c>
      <c r="I32" s="3">
        <f>SUM(OSRRefE14x_1)</f>
        <v>25312</v>
      </c>
      <c r="J32" s="3">
        <f>SUM(OSRRefE14x_2)</f>
        <v>436398</v>
      </c>
      <c r="K32" s="3">
        <f>SUM(OSRRefE14x_3)</f>
        <v>57630</v>
      </c>
      <c r="L32" s="3">
        <f>SUM(OSRRefE14x_4)</f>
        <v>8515</v>
      </c>
      <c r="M32" s="3">
        <f>SUM(OSRRefE14x_5)</f>
        <v>4297</v>
      </c>
      <c r="N32" s="3">
        <f>SUM(OSRRefE14x_6)</f>
        <v>25225</v>
      </c>
      <c r="O32" s="3">
        <f>SUM(OSRRefE14x_7)</f>
        <v>10936</v>
      </c>
      <c r="Q32" s="3">
        <f>SUM(OSRRefG14x)</f>
        <v>1335556</v>
      </c>
    </row>
    <row r="33" spans="1:17" s="9" customFormat="1" hidden="1" outlineLevel="1" x14ac:dyDescent="0.25">
      <c r="A33" s="22"/>
      <c r="B33" s="13" t="str">
        <f>CONCATENATE("          ","5000", " - ","PURCHASES @ COST")</f>
        <v xml:space="preserve">          5000 - PURCHASES @ COST</v>
      </c>
      <c r="C33" s="23"/>
      <c r="D33" s="2"/>
      <c r="E33" s="2"/>
      <c r="F33" s="2"/>
      <c r="G33" s="2"/>
      <c r="H33" s="2">
        <v>4312</v>
      </c>
      <c r="I33" s="2">
        <v>25312</v>
      </c>
      <c r="J33" s="2">
        <v>436398</v>
      </c>
      <c r="K33" s="2">
        <v>57630</v>
      </c>
      <c r="L33" s="2">
        <v>8515</v>
      </c>
      <c r="M33" s="2">
        <v>4297</v>
      </c>
      <c r="N33" s="2">
        <v>25225</v>
      </c>
      <c r="O33" s="2">
        <v>10936</v>
      </c>
      <c r="Q33" s="2">
        <f>SUM(OSRRefD14_0x)+IFERROR(SUM(OSRRefE14_0x),0)</f>
        <v>572625</v>
      </c>
    </row>
    <row r="34" spans="1:17" s="9" customFormat="1" hidden="1" outlineLevel="1" x14ac:dyDescent="0.25">
      <c r="A34" s="22"/>
      <c r="B34" s="13" t="str">
        <f>CONCATENATE("          ","5001", " - ","PURCHASES @ COST-NEW TEXT")</f>
        <v xml:space="preserve">          5001 - PURCHASES @ COST-NEW TEXT</v>
      </c>
      <c r="C34" s="23"/>
      <c r="D34" s="2">
        <v>151457.41</v>
      </c>
      <c r="E34" s="2">
        <v>363486.5</v>
      </c>
      <c r="F34" s="2">
        <v>575285.49</v>
      </c>
      <c r="G34" s="2">
        <v>54515.57</v>
      </c>
      <c r="H34" s="2"/>
      <c r="I34" s="2"/>
      <c r="J34" s="2"/>
      <c r="K34" s="2"/>
      <c r="L34" s="2"/>
      <c r="M34" s="2"/>
      <c r="N34" s="2"/>
      <c r="O34" s="2"/>
      <c r="Q34" s="2">
        <f>SUM(OSRRefD14_1x)+IFERROR(SUM(OSRRefE14_1x),0)</f>
        <v>1144744.97</v>
      </c>
    </row>
    <row r="35" spans="1:17" s="9" customFormat="1" hidden="1" outlineLevel="1" x14ac:dyDescent="0.25">
      <c r="A35" s="22"/>
      <c r="B35" s="13" t="str">
        <f>CONCATENATE("          ","5002", " - ","PURCHASES @ COST-USED TEXT")</f>
        <v xml:space="preserve">          5002 - PURCHASES @ COST-USED TEXT</v>
      </c>
      <c r="C35" s="23"/>
      <c r="D35" s="2">
        <v>57248.79</v>
      </c>
      <c r="E35" s="2">
        <v>-8215.75</v>
      </c>
      <c r="F35" s="2">
        <v>108363.86</v>
      </c>
      <c r="G35" s="2">
        <v>6331.95</v>
      </c>
      <c r="H35" s="2"/>
      <c r="I35" s="2"/>
      <c r="J35" s="2"/>
      <c r="K35" s="2"/>
      <c r="L35" s="2"/>
      <c r="M35" s="2"/>
      <c r="N35" s="2"/>
      <c r="O35" s="2"/>
      <c r="Q35" s="2">
        <f>SUM(OSRRefD14_2x)+IFERROR(SUM(OSRRefE14_2x),0)</f>
        <v>163728.85</v>
      </c>
    </row>
    <row r="36" spans="1:17" s="9" customFormat="1" hidden="1" outlineLevel="1" x14ac:dyDescent="0.25">
      <c r="A36" s="22"/>
      <c r="B36" s="13" t="str">
        <f>CONCATENATE("          ","5003", " - ","PURCHASES @ COST-RENTAL TEXT")</f>
        <v xml:space="preserve">          5003 - PURCHASES @ COST-RENTAL TEXT</v>
      </c>
      <c r="C36" s="23"/>
      <c r="D36" s="2">
        <v>-11926.64</v>
      </c>
      <c r="E36" s="2">
        <v>58.8</v>
      </c>
      <c r="F36" s="2">
        <v>781.74</v>
      </c>
      <c r="G36" s="2">
        <v>10600.69</v>
      </c>
      <c r="H36" s="2"/>
      <c r="I36" s="2"/>
      <c r="J36" s="2"/>
      <c r="K36" s="2"/>
      <c r="L36" s="2"/>
      <c r="M36" s="2"/>
      <c r="N36" s="2"/>
      <c r="O36" s="2"/>
      <c r="Q36" s="2">
        <f>SUM(OSRRefD14_3x)+IFERROR(SUM(OSRRefE14_3x),0)</f>
        <v>-485.40999999999985</v>
      </c>
    </row>
    <row r="37" spans="1:17" s="9" customFormat="1" hidden="1" outlineLevel="1" x14ac:dyDescent="0.25">
      <c r="A37" s="22"/>
      <c r="B37" s="13" t="str">
        <f>CONCATENATE("          ","5004", " - ","PURCHASES @ COST-DIGITAL TEXT")</f>
        <v xml:space="preserve">          5004 - PURCHASES @ COST-DIGITAL TEXT</v>
      </c>
      <c r="C37" s="23"/>
      <c r="D37" s="2">
        <v>4925.4799999999996</v>
      </c>
      <c r="E37" s="2">
        <v>117504.49</v>
      </c>
      <c r="F37" s="2">
        <v>60186.1</v>
      </c>
      <c r="G37" s="2">
        <v>12903.46</v>
      </c>
      <c r="H37" s="2"/>
      <c r="I37" s="2"/>
      <c r="J37" s="2"/>
      <c r="K37" s="2"/>
      <c r="L37" s="2"/>
      <c r="M37" s="2"/>
      <c r="N37" s="2"/>
      <c r="O37" s="2"/>
      <c r="Q37" s="2">
        <f>SUM(OSRRefD14_4x)+IFERROR(SUM(OSRRefE14_4x),0)</f>
        <v>195519.53</v>
      </c>
    </row>
    <row r="38" spans="1:17" s="9" customFormat="1" hidden="1" outlineLevel="1" x14ac:dyDescent="0.25">
      <c r="A38" s="22"/>
      <c r="B38" s="13" t="str">
        <f>CONCATENATE("          ","5011", " - ","PURCHASES @ COST-NO VALUE TEXT")</f>
        <v xml:space="preserve">          5011 - PURCHASES @ COST-NO VALUE TEXT</v>
      </c>
      <c r="C38" s="23"/>
      <c r="D38" s="2"/>
      <c r="E38" s="2"/>
      <c r="F38" s="2"/>
      <c r="G38" s="2">
        <v>67.17</v>
      </c>
      <c r="H38" s="2"/>
      <c r="I38" s="2"/>
      <c r="J38" s="2"/>
      <c r="K38" s="2"/>
      <c r="L38" s="2"/>
      <c r="M38" s="2"/>
      <c r="N38" s="2"/>
      <c r="O38" s="2"/>
      <c r="Q38" s="2">
        <f>SUM(OSRRefD14_5x)+IFERROR(SUM(OSRRefE14_5x),0)</f>
        <v>67.17</v>
      </c>
    </row>
    <row r="39" spans="1:17" s="9" customFormat="1" hidden="1" outlineLevel="1" x14ac:dyDescent="0.25">
      <c r="A39" s="22"/>
      <c r="B39" s="13" t="str">
        <f>CONCATENATE("          ","5013", " - ","PURCHASES @ COST-TRADE BOOKS")</f>
        <v xml:space="preserve">          5013 - PURCHASES @ COST-TRADE BOOKS</v>
      </c>
      <c r="C39" s="23"/>
      <c r="D39" s="2">
        <v>108.54</v>
      </c>
      <c r="E39" s="2"/>
      <c r="F39" s="2">
        <v>-9.36</v>
      </c>
      <c r="G39" s="2">
        <v>1384.46</v>
      </c>
      <c r="H39" s="2"/>
      <c r="I39" s="2"/>
      <c r="J39" s="2"/>
      <c r="K39" s="2"/>
      <c r="L39" s="2"/>
      <c r="M39" s="2"/>
      <c r="N39" s="2"/>
      <c r="O39" s="2"/>
      <c r="Q39" s="2">
        <f>SUM(OSRRefD14_6x)+IFERROR(SUM(OSRRefE14_6x),0)</f>
        <v>1483.64</v>
      </c>
    </row>
    <row r="40" spans="1:17" s="9" customFormat="1" hidden="1" outlineLevel="1" x14ac:dyDescent="0.25">
      <c r="A40" s="22"/>
      <c r="B40" s="13" t="str">
        <f>CONCATENATE("          ","5014", " - ","PURCHASES @ COST-REMAINDERS")</f>
        <v xml:space="preserve">          5014 - PURCHASES @ COST-REMAINDERS</v>
      </c>
      <c r="C40" s="23"/>
      <c r="D40" s="2">
        <v>-12.51</v>
      </c>
      <c r="E40" s="2"/>
      <c r="F40" s="2"/>
      <c r="G40" s="2">
        <v>102.92</v>
      </c>
      <c r="H40" s="2"/>
      <c r="I40" s="2"/>
      <c r="J40" s="2"/>
      <c r="K40" s="2"/>
      <c r="L40" s="2"/>
      <c r="M40" s="2"/>
      <c r="N40" s="2"/>
      <c r="O40" s="2"/>
      <c r="Q40" s="2">
        <f>SUM(OSRRefD14_7x)+IFERROR(SUM(OSRRefE14_7x),0)</f>
        <v>90.41</v>
      </c>
    </row>
    <row r="41" spans="1:17" s="9" customFormat="1" hidden="1" outlineLevel="1" x14ac:dyDescent="0.25">
      <c r="A41" s="22"/>
      <c r="B41" s="13" t="str">
        <f>CONCATENATE("          ","5200", " - ","PURCHASES OFFSET")</f>
        <v xml:space="preserve">          5200 - PURCHASES OFFSET</v>
      </c>
      <c r="C41" s="23"/>
      <c r="D41" s="2">
        <v>-202651.68</v>
      </c>
      <c r="E41" s="2">
        <v>-478701.25999999995</v>
      </c>
      <c r="F41" s="2">
        <v>-757174.69000000006</v>
      </c>
      <c r="G41" s="2">
        <v>-111446.85</v>
      </c>
      <c r="H41" s="2"/>
      <c r="I41" s="2"/>
      <c r="J41" s="2"/>
      <c r="K41" s="2"/>
      <c r="L41" s="2"/>
      <c r="M41" s="2"/>
      <c r="N41" s="2"/>
      <c r="O41" s="2"/>
      <c r="Q41" s="2">
        <f>SUM(OSRRefD14_8x)+IFERROR(SUM(OSRRefE14_8x),0)</f>
        <v>-1549974.48</v>
      </c>
    </row>
    <row r="42" spans="1:17" s="9" customFormat="1" hidden="1" outlineLevel="1" x14ac:dyDescent="0.25">
      <c r="A42" s="22"/>
      <c r="B42" s="13" t="str">
        <f>CONCATENATE("          ","5300", " - ","COG$ OFFSET")</f>
        <v xml:space="preserve">          5300 - COG$ OFFSET</v>
      </c>
      <c r="C42" s="23"/>
      <c r="D42" s="2">
        <v>26088</v>
      </c>
      <c r="E42" s="2">
        <v>581368</v>
      </c>
      <c r="F42" s="2">
        <v>130513</v>
      </c>
      <c r="G42" s="2">
        <v>24962</v>
      </c>
      <c r="H42" s="2"/>
      <c r="I42" s="2"/>
      <c r="J42" s="2"/>
      <c r="K42" s="2"/>
      <c r="L42" s="2"/>
      <c r="M42" s="2"/>
      <c r="N42" s="2"/>
      <c r="O42" s="2"/>
      <c r="Q42" s="2">
        <f>SUM(OSRRefD14_9x)+IFERROR(SUM(OSRRefE14_9x),0)</f>
        <v>762931</v>
      </c>
    </row>
    <row r="43" spans="1:17" s="9" customFormat="1" hidden="1" outlineLevel="1" x14ac:dyDescent="0.25">
      <c r="A43" s="22"/>
      <c r="B43" s="13" t="str">
        <f>CONCATENATE("          ","5501", " - ","FREIGHT-IN-NEW TEXT")</f>
        <v xml:space="preserve">          5501 - FREIGHT-IN-NEW TEXT</v>
      </c>
      <c r="C43" s="23"/>
      <c r="D43" s="2">
        <v>802.72</v>
      </c>
      <c r="E43" s="2">
        <v>4680.5600000000004</v>
      </c>
      <c r="F43" s="2">
        <v>5279.6</v>
      </c>
      <c r="G43" s="2">
        <v>23295.74</v>
      </c>
      <c r="H43" s="2"/>
      <c r="I43" s="2"/>
      <c r="J43" s="2"/>
      <c r="K43" s="2"/>
      <c r="L43" s="2"/>
      <c r="M43" s="2"/>
      <c r="N43" s="2"/>
      <c r="O43" s="2"/>
      <c r="Q43" s="2">
        <f>SUM(OSRRefD14_10x)+IFERROR(SUM(OSRRefE14_10x),0)</f>
        <v>34058.620000000003</v>
      </c>
    </row>
    <row r="44" spans="1:17" s="9" customFormat="1" hidden="1" outlineLevel="1" x14ac:dyDescent="0.25">
      <c r="A44" s="22"/>
      <c r="B44" s="13" t="str">
        <f>CONCATENATE("          ","5502", " - ","FREIGHT-IN-USED TEXT")</f>
        <v xml:space="preserve">          5502 - FREIGHT-IN-USED TEXT</v>
      </c>
      <c r="C44" s="23"/>
      <c r="D44" s="2">
        <v>47.89</v>
      </c>
      <c r="E44" s="2">
        <v>1186.6600000000001</v>
      </c>
      <c r="F44" s="2">
        <v>7276.27</v>
      </c>
      <c r="G44" s="2">
        <v>2233.9</v>
      </c>
      <c r="H44" s="2"/>
      <c r="I44" s="2"/>
      <c r="J44" s="2"/>
      <c r="K44" s="2"/>
      <c r="L44" s="2"/>
      <c r="M44" s="2"/>
      <c r="N44" s="2"/>
      <c r="O44" s="2"/>
      <c r="Q44" s="2">
        <f>SUM(OSRRefD14_11x)+IFERROR(SUM(OSRRefE14_11x),0)</f>
        <v>10744.72</v>
      </c>
    </row>
    <row r="45" spans="1:17" s="9" customFormat="1" hidden="1" outlineLevel="1" x14ac:dyDescent="0.25">
      <c r="A45" s="22"/>
      <c r="B45" s="13" t="str">
        <f>CONCATENATE("          ","5504", " - ","FREIGHT-IN-DIGITAL TEXT")</f>
        <v xml:space="preserve">          5504 - FREIGHT-IN-DIGITAL TEXT</v>
      </c>
      <c r="C45" s="23"/>
      <c r="D45" s="2"/>
      <c r="E45" s="2"/>
      <c r="F45" s="2">
        <v>10.99</v>
      </c>
      <c r="G45" s="2">
        <v>10.99</v>
      </c>
      <c r="H45" s="2"/>
      <c r="I45" s="2"/>
      <c r="J45" s="2"/>
      <c r="K45" s="2"/>
      <c r="L45" s="2"/>
      <c r="M45" s="2"/>
      <c r="N45" s="2"/>
      <c r="O45" s="2"/>
      <c r="Q45" s="2">
        <f>SUM(OSRRefD14_12x)+IFERROR(SUM(OSRRefE14_12x),0)</f>
        <v>21.98</v>
      </c>
    </row>
    <row r="46" spans="1:17" x14ac:dyDescent="0.25">
      <c r="A46" s="5"/>
      <c r="B46" s="8"/>
      <c r="C46" s="8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Q46" s="3"/>
    </row>
    <row r="47" spans="1:17" s="14" customFormat="1" x14ac:dyDescent="0.25">
      <c r="A47" s="8"/>
      <c r="B47" s="17" t="s">
        <v>6</v>
      </c>
      <c r="C47" s="17"/>
      <c r="D47" s="6">
        <f t="shared" ref="D47:O47" si="4">IFERROR(+D10-D32, 0)</f>
        <v>14650.919999999991</v>
      </c>
      <c r="E47" s="6">
        <f t="shared" si="4"/>
        <v>232693.73999999987</v>
      </c>
      <c r="F47" s="6">
        <f t="shared" si="4"/>
        <v>58477.740000000078</v>
      </c>
      <c r="G47" s="6">
        <f t="shared" si="4"/>
        <v>6912.1800000000112</v>
      </c>
      <c r="H47" s="6">
        <f t="shared" si="4"/>
        <v>1595</v>
      </c>
      <c r="I47" s="6">
        <f t="shared" si="4"/>
        <v>9362</v>
      </c>
      <c r="J47" s="6">
        <f t="shared" si="4"/>
        <v>164701</v>
      </c>
      <c r="K47" s="6">
        <f t="shared" si="4"/>
        <v>21315</v>
      </c>
      <c r="L47" s="6">
        <f t="shared" si="4"/>
        <v>3149</v>
      </c>
      <c r="M47" s="6">
        <f t="shared" si="4"/>
        <v>1589</v>
      </c>
      <c r="N47" s="6">
        <f t="shared" si="4"/>
        <v>9330</v>
      </c>
      <c r="O47" s="6">
        <f t="shared" si="4"/>
        <v>4045</v>
      </c>
      <c r="Q47" s="6">
        <f>IFERROR(+Q10-Q32, 0)</f>
        <v>527820.57999999961</v>
      </c>
    </row>
    <row r="48" spans="1:17" s="8" customFormat="1" x14ac:dyDescent="0.25">
      <c r="B48" s="16"/>
      <c r="C48" s="16"/>
      <c r="D48" s="4">
        <f t="shared" ref="D48:O48" si="5">IFERROR(D47/D10, 0)</f>
        <v>0.3596295630812007</v>
      </c>
      <c r="E48" s="4">
        <f t="shared" si="5"/>
        <v>0.28584286494044037</v>
      </c>
      <c r="F48" s="4">
        <f t="shared" si="5"/>
        <v>0.30942119174727861</v>
      </c>
      <c r="G48" s="4">
        <f t="shared" si="5"/>
        <v>0.21685828466802948</v>
      </c>
      <c r="H48" s="4">
        <f t="shared" si="5"/>
        <v>0.27001862197392923</v>
      </c>
      <c r="I48" s="4">
        <f t="shared" si="5"/>
        <v>0.27000057680106132</v>
      </c>
      <c r="J48" s="4">
        <f t="shared" si="5"/>
        <v>0.27399979038394673</v>
      </c>
      <c r="K48" s="4">
        <f t="shared" si="5"/>
        <v>0.26999809994299828</v>
      </c>
      <c r="L48" s="4">
        <f t="shared" si="5"/>
        <v>0.26997599451303156</v>
      </c>
      <c r="M48" s="4">
        <f t="shared" si="5"/>
        <v>0.26996262317363234</v>
      </c>
      <c r="N48" s="4">
        <f t="shared" si="5"/>
        <v>0.27000434090580233</v>
      </c>
      <c r="O48" s="4">
        <f t="shared" si="5"/>
        <v>0.27000867765836728</v>
      </c>
      <c r="P48" s="18"/>
      <c r="Q48" s="4">
        <f>IFERROR(Q47/Q10, 0)</f>
        <v>0.28326028440262985</v>
      </c>
    </row>
    <row r="49" spans="1:17" x14ac:dyDescent="0.25">
      <c r="A49" s="5"/>
      <c r="B49" s="8"/>
      <c r="C49" s="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14" customFormat="1" x14ac:dyDescent="0.25">
      <c r="A50" s="8"/>
      <c r="B50" s="16" t="s">
        <v>291</v>
      </c>
      <c r="C50" s="8"/>
      <c r="D50" s="10">
        <f>SUM(OSRRefD20x_0)</f>
        <v>40144.110000000008</v>
      </c>
      <c r="E50" s="10">
        <f>SUM(OSRRefD20x_1)</f>
        <v>48390.54</v>
      </c>
      <c r="F50" s="10">
        <f>SUM(OSRRefD20x_2)</f>
        <v>39896.36</v>
      </c>
      <c r="G50" s="10">
        <f>SUM(OSRRefD20x_3)</f>
        <v>41286.31</v>
      </c>
      <c r="H50" s="10">
        <f>SUM(OSRRefE20x_0)</f>
        <v>41822.505273861527</v>
      </c>
      <c r="I50" s="10">
        <f>SUM(OSRRefE20x_1)</f>
        <v>45252.210673861526</v>
      </c>
      <c r="J50" s="10">
        <f>SUM(OSRRefE20x_2)</f>
        <v>92464.761198826949</v>
      </c>
      <c r="K50" s="10">
        <f>SUM(OSRRefE20x_3)</f>
        <v>52855.049649611523</v>
      </c>
      <c r="L50" s="10">
        <f>SUM(OSRRefE20x_4)</f>
        <v>44427.072049611525</v>
      </c>
      <c r="M50" s="10">
        <f>SUM(OSRRefE20x_5)</f>
        <v>50819.782569826944</v>
      </c>
      <c r="N50" s="10">
        <f>SUM(OSRRefE20x_6)</f>
        <v>55369.072558111526</v>
      </c>
      <c r="O50" s="10">
        <f>SUM(OSRRefE20x_7)</f>
        <v>84961.888306236535</v>
      </c>
      <c r="Q50" s="10">
        <f>SUM(OSRRefG20x)</f>
        <v>637689.66227994801</v>
      </c>
    </row>
    <row r="51" spans="1:17" s="34" customFormat="1" collapsed="1" x14ac:dyDescent="0.25">
      <c r="A51" s="35"/>
      <c r="B51" s="15" t="str">
        <f>CONCATENATE("     ","*Benefits                                         ")</f>
        <v xml:space="preserve">     *Benefits                                         </v>
      </c>
      <c r="C51" s="15"/>
      <c r="D51" s="1">
        <f>SUM(OSRRefD21_0x_0)</f>
        <v>11154.429999999998</v>
      </c>
      <c r="E51" s="1">
        <f>SUM(OSRRefD21_0x_1)</f>
        <v>10659.73</v>
      </c>
      <c r="F51" s="1">
        <f>SUM(OSRRefD21_0x_2)</f>
        <v>10776.93</v>
      </c>
      <c r="G51" s="1">
        <f>SUM(OSRRefD21_0x_3)</f>
        <v>13021.619999999999</v>
      </c>
      <c r="H51" s="1">
        <f>SUM(OSRRefE21_0x_0)</f>
        <v>11111.503130169229</v>
      </c>
      <c r="I51" s="1">
        <f>SUM(OSRRefE21_0x_1)</f>
        <v>11159.70853016923</v>
      </c>
      <c r="J51" s="1">
        <f>SUM(OSRRefE21_0x_2)</f>
        <v>16013.202269211539</v>
      </c>
      <c r="K51" s="1">
        <f>SUM(OSRRefE21_0x_3)</f>
        <v>11498.365005919226</v>
      </c>
      <c r="L51" s="1">
        <f>SUM(OSRRefE21_0x_4)</f>
        <v>11211.387405919226</v>
      </c>
      <c r="M51" s="1">
        <f>SUM(OSRRefE21_0x_5)</f>
        <v>12995.254890211541</v>
      </c>
      <c r="N51" s="1">
        <f>SUM(OSRRefE21_0x_6)</f>
        <v>11355.815414419229</v>
      </c>
      <c r="O51" s="1">
        <f>SUM(OSRRefE21_0x_7)</f>
        <v>11671.693662544229</v>
      </c>
      <c r="Q51" s="2">
        <f>SUM(OSRRefD20_0x)+IFERROR(SUM(OSRRefE20_0x),0)</f>
        <v>142629.64030856342</v>
      </c>
    </row>
    <row r="52" spans="1:17" s="34" customFormat="1" hidden="1" outlineLevel="1" x14ac:dyDescent="0.25">
      <c r="A52" s="35"/>
      <c r="B52" s="13" t="str">
        <f>CONCATENATE("          ","6111", " - ","F.I.C.A.")</f>
        <v xml:space="preserve">          6111 - F.I.C.A.</v>
      </c>
      <c r="C52" s="15"/>
      <c r="D52" s="2">
        <v>1802.45</v>
      </c>
      <c r="E52" s="2">
        <v>2291.5500000000002</v>
      </c>
      <c r="F52" s="2">
        <v>2005.88</v>
      </c>
      <c r="G52" s="2">
        <v>3122.76</v>
      </c>
      <c r="H52" s="2">
        <v>1568.3171629384599</v>
      </c>
      <c r="I52" s="2">
        <v>1589.3629129384599</v>
      </c>
      <c r="J52" s="2">
        <v>3099.0375357980797</v>
      </c>
      <c r="K52" s="2">
        <v>1568.3171629384599</v>
      </c>
      <c r="L52" s="2">
        <v>1568.3171629384599</v>
      </c>
      <c r="M52" s="2">
        <v>1960.39645367308</v>
      </c>
      <c r="N52" s="2">
        <v>1633.6642166884599</v>
      </c>
      <c r="O52" s="2">
        <v>1927.7259585634599</v>
      </c>
      <c r="P52" s="9"/>
      <c r="Q52" s="2">
        <f>SUM(OSRRefD21_0_0x)+IFERROR(SUM(OSRRefE21_0_0x),0)</f>
        <v>24137.778566476918</v>
      </c>
    </row>
    <row r="53" spans="1:17" s="34" customFormat="1" hidden="1" outlineLevel="1" x14ac:dyDescent="0.25">
      <c r="A53" s="35"/>
      <c r="B53" s="13" t="str">
        <f>CONCATENATE("          ","6112", " - ","COMPENSATION INSURANCE")</f>
        <v xml:space="preserve">          6112 - COMPENSATION INSURANCE</v>
      </c>
      <c r="C53" s="15"/>
      <c r="D53" s="2">
        <v>147.41999999999999</v>
      </c>
      <c r="E53" s="2">
        <v>190.93</v>
      </c>
      <c r="F53" s="2">
        <v>94.94</v>
      </c>
      <c r="G53" s="2">
        <v>89.88</v>
      </c>
      <c r="H53" s="2">
        <v>430.048068461539</v>
      </c>
      <c r="I53" s="2">
        <v>439.88081846153904</v>
      </c>
      <c r="J53" s="2">
        <v>1273.01012620192</v>
      </c>
      <c r="K53" s="2">
        <v>570.10569471153792</v>
      </c>
      <c r="L53" s="2">
        <v>466.20969471153796</v>
      </c>
      <c r="M53" s="2">
        <v>592.635048076923</v>
      </c>
      <c r="N53" s="2">
        <v>494.83978596153895</v>
      </c>
      <c r="O53" s="2">
        <v>502.73812971153899</v>
      </c>
      <c r="P53" s="9"/>
      <c r="Q53" s="2">
        <f>SUM(OSRRefD21_0_1x)+IFERROR(SUM(OSRRefE21_0_1x),0)</f>
        <v>5292.637366298075</v>
      </c>
    </row>
    <row r="54" spans="1:17" s="34" customFormat="1" hidden="1" outlineLevel="1" x14ac:dyDescent="0.25">
      <c r="A54" s="35"/>
      <c r="B54" s="13" t="str">
        <f>CONCATENATE("          ","6113", " - ","GROUP INSURANCE")</f>
        <v xml:space="preserve">          6113 - GROUP INSURANCE</v>
      </c>
      <c r="C54" s="15"/>
      <c r="D54" s="2">
        <v>4248.21</v>
      </c>
      <c r="E54" s="2">
        <v>4114</v>
      </c>
      <c r="F54" s="2">
        <v>4248.21</v>
      </c>
      <c r="G54" s="2">
        <v>4248.21</v>
      </c>
      <c r="H54" s="2">
        <v>4662.6923076923094</v>
      </c>
      <c r="I54" s="2">
        <v>4662.6923076923094</v>
      </c>
      <c r="J54" s="2">
        <v>4969.6153846153802</v>
      </c>
      <c r="K54" s="2">
        <v>4662.6923076923094</v>
      </c>
      <c r="L54" s="2">
        <v>4662.6923076923094</v>
      </c>
      <c r="M54" s="2">
        <v>4969.6153846153802</v>
      </c>
      <c r="N54" s="2">
        <v>4662.6923076923094</v>
      </c>
      <c r="O54" s="2">
        <v>4662.6923076923094</v>
      </c>
      <c r="P54" s="9"/>
      <c r="Q54" s="2">
        <f>SUM(OSRRefD21_0_2x)+IFERROR(SUM(OSRRefE21_0_2x),0)</f>
        <v>54774.014615384614</v>
      </c>
    </row>
    <row r="55" spans="1:17" s="34" customFormat="1" hidden="1" outlineLevel="1" x14ac:dyDescent="0.25">
      <c r="A55" s="35"/>
      <c r="B55" s="13" t="str">
        <f>CONCATENATE("          ","6114", " - ","STATE UNEMPLOYMENT INSURANCE")</f>
        <v xml:space="preserve">          6114 - STATE UNEMPLOYMENT INSURANCE</v>
      </c>
      <c r="C55" s="15"/>
      <c r="D55" s="2">
        <v>61.43</v>
      </c>
      <c r="E55" s="2">
        <v>71.989999999999995</v>
      </c>
      <c r="F55" s="2">
        <v>74.8</v>
      </c>
      <c r="G55" s="2">
        <v>60.94</v>
      </c>
      <c r="H55" s="2">
        <v>60.439188000000001</v>
      </c>
      <c r="I55" s="2">
        <v>61.821088000000003</v>
      </c>
      <c r="J55" s="2">
        <v>178.90953124999999</v>
      </c>
      <c r="K55" s="2">
        <v>80.1229625</v>
      </c>
      <c r="L55" s="2">
        <v>65.521362499999995</v>
      </c>
      <c r="M55" s="2">
        <v>83.289249999999996</v>
      </c>
      <c r="N55" s="2">
        <v>69.545051000000001</v>
      </c>
      <c r="O55" s="2">
        <v>70.655088500000005</v>
      </c>
      <c r="P55" s="9"/>
      <c r="Q55" s="2">
        <f>SUM(OSRRefD21_0_3x)+IFERROR(SUM(OSRRefE21_0_3x),0)</f>
        <v>939.46352174999993</v>
      </c>
    </row>
    <row r="56" spans="1:17" s="34" customFormat="1" hidden="1" outlineLevel="1" x14ac:dyDescent="0.25">
      <c r="A56" s="35"/>
      <c r="B56" s="13" t="str">
        <f>CONCATENATE("          ","6115", " - ","P.E.R.S.")</f>
        <v xml:space="preserve">          6115 - P.E.R.S.</v>
      </c>
      <c r="C56" s="15"/>
      <c r="D56" s="2">
        <v>2220.3200000000002</v>
      </c>
      <c r="E56" s="2">
        <v>1480.2</v>
      </c>
      <c r="F56" s="2">
        <v>1480.2</v>
      </c>
      <c r="G56" s="2">
        <v>1480.2</v>
      </c>
      <c r="H56" s="2">
        <v>1268.5379723076899</v>
      </c>
      <c r="I56" s="2">
        <v>1268.5379723076899</v>
      </c>
      <c r="J56" s="2">
        <v>1585.67246538462</v>
      </c>
      <c r="K56" s="2">
        <v>1268.5379723076899</v>
      </c>
      <c r="L56" s="2">
        <v>1268.5379723076899</v>
      </c>
      <c r="M56" s="2">
        <v>1585.67246538462</v>
      </c>
      <c r="N56" s="2">
        <v>1268.5379723076899</v>
      </c>
      <c r="O56" s="2">
        <v>1268.5379723076899</v>
      </c>
      <c r="P56" s="9"/>
      <c r="Q56" s="2">
        <f>SUM(OSRRefD21_0_4x)+IFERROR(SUM(OSRRefE21_0_4x),0)</f>
        <v>17443.492764615377</v>
      </c>
    </row>
    <row r="57" spans="1:17" s="34" customFormat="1" hidden="1" outlineLevel="1" x14ac:dyDescent="0.25">
      <c r="A57" s="35"/>
      <c r="B57" s="13" t="str">
        <f>CONCATENATE("          ","6116", " - ","EDUCATIONAL BENEFITS")</f>
        <v xml:space="preserve">          6116 - EDUCATIONAL BENEFITS</v>
      </c>
      <c r="C57" s="15"/>
      <c r="D57" s="2"/>
      <c r="E57" s="2"/>
      <c r="F57" s="2"/>
      <c r="G57" s="2"/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SUM(OSRRefD21_0_5x)+IFERROR(SUM(OSRRefE21_0_5x),0)</f>
        <v>0</v>
      </c>
    </row>
    <row r="58" spans="1:17" s="34" customFormat="1" hidden="1" outlineLevel="1" x14ac:dyDescent="0.25">
      <c r="A58" s="35"/>
      <c r="B58" s="13" t="str">
        <f>CONCATENATE("          ","6117", " - ","RETIREMENT STAFF HOURLY")</f>
        <v xml:space="preserve">          6117 - RETIREMENT STAFF HOURLY</v>
      </c>
      <c r="C58" s="15"/>
      <c r="D58" s="2">
        <v>333.14</v>
      </c>
      <c r="E58" s="2">
        <v>255.65</v>
      </c>
      <c r="F58" s="2">
        <v>248.98</v>
      </c>
      <c r="G58" s="2">
        <v>222.97</v>
      </c>
      <c r="H58" s="2"/>
      <c r="I58" s="2"/>
      <c r="J58" s="2"/>
      <c r="K58" s="2"/>
      <c r="L58" s="2"/>
      <c r="M58" s="2"/>
      <c r="N58" s="2"/>
      <c r="O58" s="2"/>
      <c r="P58" s="9"/>
      <c r="Q58" s="2">
        <f>SUM(OSRRefD21_0_6x)+IFERROR(SUM(OSRRefE21_0_6x),0)</f>
        <v>1060.74</v>
      </c>
    </row>
    <row r="59" spans="1:17" s="34" customFormat="1" hidden="1" outlineLevel="1" x14ac:dyDescent="0.25">
      <c r="A59" s="35"/>
      <c r="B59" s="13" t="str">
        <f>CONCATENATE("          ","6118", " - ","VACATION")</f>
        <v xml:space="preserve">          6118 - VACATION</v>
      </c>
      <c r="C59" s="15"/>
      <c r="D59" s="2">
        <v>967.81</v>
      </c>
      <c r="E59" s="2">
        <v>942.5</v>
      </c>
      <c r="F59" s="2">
        <v>1121.07</v>
      </c>
      <c r="G59" s="2">
        <v>1853.32</v>
      </c>
      <c r="H59" s="2">
        <v>1346.2077200000001</v>
      </c>
      <c r="I59" s="2">
        <v>1346.2077200000001</v>
      </c>
      <c r="J59" s="2">
        <v>1682.75965</v>
      </c>
      <c r="K59" s="2">
        <v>1346.2077200000001</v>
      </c>
      <c r="L59" s="2">
        <v>1346.2077200000001</v>
      </c>
      <c r="M59" s="2">
        <v>1682.75965</v>
      </c>
      <c r="N59" s="2">
        <v>1346.2077200000001</v>
      </c>
      <c r="O59" s="2">
        <v>1346.2077200000001</v>
      </c>
      <c r="P59" s="9"/>
      <c r="Q59" s="2">
        <f>SUM(OSRRefD21_0_7x)+IFERROR(SUM(OSRRefE21_0_7x),0)</f>
        <v>16327.465620000003</v>
      </c>
    </row>
    <row r="60" spans="1:17" s="34" customFormat="1" hidden="1" outlineLevel="1" x14ac:dyDescent="0.25">
      <c r="A60" s="35"/>
      <c r="B60" s="13" t="str">
        <f>CONCATENATE("          ","6119", " - ","SICK LEAVE")</f>
        <v xml:space="preserve">          6119 - SICK LEAVE</v>
      </c>
      <c r="C60" s="15"/>
      <c r="D60" s="2">
        <v>944.6</v>
      </c>
      <c r="E60" s="2">
        <v>944.6</v>
      </c>
      <c r="F60" s="2">
        <v>944.6</v>
      </c>
      <c r="G60" s="2">
        <v>1416.9</v>
      </c>
      <c r="H60" s="2">
        <v>1025.2607107692299</v>
      </c>
      <c r="I60" s="2">
        <v>1041.2057107692301</v>
      </c>
      <c r="J60" s="2">
        <v>2474.1975759615402</v>
      </c>
      <c r="K60" s="2">
        <v>1252.3811857692299</v>
      </c>
      <c r="L60" s="2">
        <v>1083.9011857692299</v>
      </c>
      <c r="M60" s="2">
        <v>1370.8866384615399</v>
      </c>
      <c r="N60" s="2">
        <v>1130.3283607692301</v>
      </c>
      <c r="O60" s="2">
        <v>1143.1364857692299</v>
      </c>
      <c r="P60" s="9"/>
      <c r="Q60" s="2">
        <f>SUM(OSRRefD21_0_8x)+IFERROR(SUM(OSRRefE21_0_8x),0)</f>
        <v>14771.99785403846</v>
      </c>
    </row>
    <row r="61" spans="1:17" s="34" customFormat="1" hidden="1" outlineLevel="1" x14ac:dyDescent="0.25">
      <c r="A61" s="35"/>
      <c r="B61" s="13" t="str">
        <f>CONCATENATE("          ","6156", " - ","EMPLOYEE MEALS")</f>
        <v xml:space="preserve">          6156 - EMPLOYEE MEALS</v>
      </c>
      <c r="C61" s="15"/>
      <c r="D61" s="2">
        <v>429.05</v>
      </c>
      <c r="E61" s="2">
        <v>368.31</v>
      </c>
      <c r="F61" s="2">
        <v>558.25</v>
      </c>
      <c r="G61" s="2">
        <v>526.44000000000005</v>
      </c>
      <c r="H61" s="2">
        <v>750</v>
      </c>
      <c r="I61" s="2">
        <v>750</v>
      </c>
      <c r="J61" s="2">
        <v>750</v>
      </c>
      <c r="K61" s="2">
        <v>750</v>
      </c>
      <c r="L61" s="2">
        <v>750</v>
      </c>
      <c r="M61" s="2">
        <v>750</v>
      </c>
      <c r="N61" s="2">
        <v>750</v>
      </c>
      <c r="O61" s="2">
        <v>750</v>
      </c>
      <c r="P61" s="9"/>
      <c r="Q61" s="2">
        <f>SUM(OSRRefD21_0_9x)+IFERROR(SUM(OSRRefE21_0_9x),0)</f>
        <v>7882.05</v>
      </c>
    </row>
    <row r="62" spans="1:17" s="34" customFormat="1" collapsed="1" x14ac:dyDescent="0.25">
      <c r="A62" s="35"/>
      <c r="B62" s="15" t="str">
        <f>CONCATENATE("     ","*Payroll                                          ")</f>
        <v xml:space="preserve">     *Payroll                                          </v>
      </c>
      <c r="C62" s="15"/>
      <c r="D62" s="1">
        <f>SUM(OSRRefD21_1x_0)</f>
        <v>29301.230000000003</v>
      </c>
      <c r="E62" s="1">
        <f>SUM(OSRRefD21_1x_1)</f>
        <v>35256.06</v>
      </c>
      <c r="F62" s="1">
        <f>SUM(OSRRefD21_1x_2)</f>
        <v>25117.03</v>
      </c>
      <c r="G62" s="1">
        <f>SUM(OSRRefD21_1x_3)</f>
        <v>26770.510000000002</v>
      </c>
      <c r="H62" s="1">
        <f>SUM(OSRRefE21_1x_0)</f>
        <v>21146.002143692298</v>
      </c>
      <c r="I62" s="1">
        <f>SUM(OSRRefE21_1x_1)</f>
        <v>21677.502143692298</v>
      </c>
      <c r="J62" s="1">
        <f>SUM(OSRRefE21_1x_2)</f>
        <v>66186.558929615407</v>
      </c>
      <c r="K62" s="1">
        <f>SUM(OSRRefE21_1x_3)</f>
        <v>28716.684643692297</v>
      </c>
      <c r="L62" s="1">
        <f>SUM(OSRRefE21_1x_4)</f>
        <v>23100.684643692297</v>
      </c>
      <c r="M62" s="1">
        <f>SUM(OSRRefE21_1x_5)</f>
        <v>29409.527679615403</v>
      </c>
      <c r="N62" s="1">
        <f>SUM(OSRRefE21_1x_6)</f>
        <v>24648.257143692299</v>
      </c>
      <c r="O62" s="1">
        <f>SUM(OSRRefE21_1x_7)</f>
        <v>25075.194643692299</v>
      </c>
      <c r="Q62" s="2">
        <f>SUM(OSRRefD20_1x)+IFERROR(SUM(OSRRefE20_1x),0)</f>
        <v>356405.24197138462</v>
      </c>
    </row>
    <row r="63" spans="1:17" s="34" customFormat="1" hidden="1" outlineLevel="1" x14ac:dyDescent="0.25">
      <c r="A63" s="35"/>
      <c r="B63" s="13" t="str">
        <f>CONCATENATE("          ","6001", " - ","ADMINISTRATIVE SALARIES")</f>
        <v xml:space="preserve">          6001 - ADMINISTRATIVE SALARIES</v>
      </c>
      <c r="C63" s="15"/>
      <c r="D63" s="2">
        <v>-311.32</v>
      </c>
      <c r="E63" s="2"/>
      <c r="F63" s="2"/>
      <c r="G63" s="2"/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SUM(OSRRefD21_1_0x)+IFERROR(SUM(OSRRefE21_1_0x),0)</f>
        <v>-311.32</v>
      </c>
    </row>
    <row r="64" spans="1:17" s="34" customFormat="1" hidden="1" outlineLevel="1" x14ac:dyDescent="0.25">
      <c r="A64" s="35"/>
      <c r="B64" s="13" t="str">
        <f>CONCATENATE("          ","6002", " - ","STAFF SALARIES")</f>
        <v xml:space="preserve">          6002 - STAFF SALARIES</v>
      </c>
      <c r="C64" s="15"/>
      <c r="D64" s="2">
        <v>18429.759999999998</v>
      </c>
      <c r="E64" s="2">
        <v>14705.64</v>
      </c>
      <c r="F64" s="2">
        <v>14307.52</v>
      </c>
      <c r="G64" s="2">
        <v>16701.230000000003</v>
      </c>
      <c r="H64" s="2">
        <v>13107.2520636923</v>
      </c>
      <c r="I64" s="2">
        <v>13107.2520636923</v>
      </c>
      <c r="J64" s="2">
        <v>16384.0650796154</v>
      </c>
      <c r="K64" s="2">
        <v>13107.2520636923</v>
      </c>
      <c r="L64" s="2">
        <v>13107.2520636923</v>
      </c>
      <c r="M64" s="2">
        <v>16384.0650796154</v>
      </c>
      <c r="N64" s="2">
        <v>13107.2520636923</v>
      </c>
      <c r="O64" s="2">
        <v>13107.2520636923</v>
      </c>
      <c r="P64" s="9"/>
      <c r="Q64" s="2">
        <f>SUM(OSRRefD21_1_1x)+IFERROR(SUM(OSRRefE21_1_1x),0)</f>
        <v>175555.79254138458</v>
      </c>
    </row>
    <row r="65" spans="1:17" s="34" customFormat="1" hidden="1" outlineLevel="1" x14ac:dyDescent="0.25">
      <c r="A65" s="35"/>
      <c r="B65" s="13" t="str">
        <f>CONCATENATE("          ","6003", " - ","STAFF HOURLY-9 MONTH")</f>
        <v xml:space="preserve">          6003 - STAFF HOURLY-9 MONTH</v>
      </c>
      <c r="C65" s="15"/>
      <c r="D65" s="2"/>
      <c r="E65" s="2"/>
      <c r="F65" s="2"/>
      <c r="G65" s="2"/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SUM(OSRRefD21_1_2x)+IFERROR(SUM(OSRRefE21_1_2x),0)</f>
        <v>0</v>
      </c>
    </row>
    <row r="66" spans="1:17" s="34" customFormat="1" hidden="1" outlineLevel="1" x14ac:dyDescent="0.25">
      <c r="A66" s="35"/>
      <c r="B66" s="13" t="str">
        <f>CONCATENATE("          ","6004", " - ","STAFF HOURLY")</f>
        <v xml:space="preserve">          6004 - STAFF HOURLY</v>
      </c>
      <c r="C66" s="15"/>
      <c r="D66" s="2">
        <v>5507.97</v>
      </c>
      <c r="E66" s="2">
        <v>6665.13</v>
      </c>
      <c r="F66" s="2">
        <v>6404.63</v>
      </c>
      <c r="G66" s="2">
        <v>8733.7900000000009</v>
      </c>
      <c r="H66" s="2">
        <v>5285.7500799999998</v>
      </c>
      <c r="I66" s="2">
        <v>5285.7500799999998</v>
      </c>
      <c r="J66" s="2">
        <v>6607.1876000000002</v>
      </c>
      <c r="K66" s="2">
        <v>5285.7500799999998</v>
      </c>
      <c r="L66" s="2">
        <v>5285.7500799999998</v>
      </c>
      <c r="M66" s="2">
        <v>6607.1876000000002</v>
      </c>
      <c r="N66" s="2">
        <v>5285.7500799999998</v>
      </c>
      <c r="O66" s="2">
        <v>5285.7500799999998</v>
      </c>
      <c r="P66" s="9"/>
      <c r="Q66" s="2">
        <f>SUM(OSRRefD21_1_3x)+IFERROR(SUM(OSRRefE21_1_3x),0)</f>
        <v>72240.395679999987</v>
      </c>
    </row>
    <row r="67" spans="1:17" s="34" customFormat="1" hidden="1" outlineLevel="1" x14ac:dyDescent="0.25">
      <c r="A67" s="35"/>
      <c r="B67" s="13" t="str">
        <f>CONCATENATE("          ","6005", " - ","TEMPORARY WAGES-HOURLY")</f>
        <v xml:space="preserve">          6005 - TEMPORARY WAGES-HOURLY</v>
      </c>
      <c r="C67" s="15"/>
      <c r="D67" s="2">
        <v>1986.02</v>
      </c>
      <c r="E67" s="2">
        <v>3708.03</v>
      </c>
      <c r="F67" s="2">
        <v>5645.28</v>
      </c>
      <c r="G67" s="2">
        <v>1498.67</v>
      </c>
      <c r="H67" s="2">
        <v>1653</v>
      </c>
      <c r="I67" s="2">
        <v>1909.5</v>
      </c>
      <c r="J67" s="2">
        <v>2964</v>
      </c>
      <c r="K67" s="2">
        <v>1719.12</v>
      </c>
      <c r="L67" s="2">
        <v>1719.12</v>
      </c>
      <c r="M67" s="2">
        <v>2148.9</v>
      </c>
      <c r="N67" s="2">
        <v>1985.88</v>
      </c>
      <c r="O67" s="2">
        <v>1985.88</v>
      </c>
      <c r="P67" s="9"/>
      <c r="Q67" s="2">
        <f>SUM(OSRRefD21_1_4x)+IFERROR(SUM(OSRRefE21_1_4x),0)</f>
        <v>28923.399999999998</v>
      </c>
    </row>
    <row r="68" spans="1:17" s="34" customFormat="1" hidden="1" outlineLevel="1" x14ac:dyDescent="0.25">
      <c r="A68" s="35"/>
      <c r="B68" s="13" t="str">
        <f>CONCATENATE("          ","6006", " - ","TEMPORARY PART TIME")</f>
        <v xml:space="preserve">          6006 - TEMPORARY PART TIME</v>
      </c>
      <c r="C68" s="15"/>
      <c r="D68" s="2">
        <v>502.29</v>
      </c>
      <c r="E68" s="2"/>
      <c r="F68" s="2"/>
      <c r="G68" s="2"/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SUM(OSRRefD21_1_5x)+IFERROR(SUM(OSRRefE21_1_5x),0)</f>
        <v>502.29</v>
      </c>
    </row>
    <row r="69" spans="1:17" s="34" customFormat="1" hidden="1" outlineLevel="1" x14ac:dyDescent="0.25">
      <c r="A69" s="35"/>
      <c r="B69" s="13" t="str">
        <f>CONCATENATE("          ","6007", " - ","STUDENT HOURLY")</f>
        <v xml:space="preserve">          6007 - STUDENT HOURLY</v>
      </c>
      <c r="C69" s="15"/>
      <c r="D69" s="2">
        <v>3186.51</v>
      </c>
      <c r="E69" s="2">
        <v>10177.26</v>
      </c>
      <c r="F69" s="2">
        <v>-1240.4000000000001</v>
      </c>
      <c r="G69" s="2">
        <v>-163.18</v>
      </c>
      <c r="H69" s="2">
        <v>0</v>
      </c>
      <c r="I69" s="2">
        <v>275</v>
      </c>
      <c r="J69" s="2">
        <v>14878.362499999999</v>
      </c>
      <c r="K69" s="2">
        <v>0</v>
      </c>
      <c r="L69" s="2">
        <v>0</v>
      </c>
      <c r="M69" s="2">
        <v>0</v>
      </c>
      <c r="N69" s="2">
        <v>853.875</v>
      </c>
      <c r="O69" s="2">
        <v>4696.3125</v>
      </c>
      <c r="P69" s="9"/>
      <c r="Q69" s="2">
        <f>SUM(OSRRefD21_1_6x)+IFERROR(SUM(OSRRefE21_1_6x),0)</f>
        <v>32663.739999999998</v>
      </c>
    </row>
    <row r="70" spans="1:17" s="34" customFormat="1" hidden="1" outlineLevel="1" x14ac:dyDescent="0.25">
      <c r="A70" s="35"/>
      <c r="B70" s="13" t="str">
        <f>CONCATENATE("          ","6008", " - ","STUDENT HOURLY-FICA EXEMPT")</f>
        <v xml:space="preserve">          6008 - STUDENT HOURLY-FICA EXEMPT</v>
      </c>
      <c r="C70" s="15"/>
      <c r="D70" s="2"/>
      <c r="E70" s="2"/>
      <c r="F70" s="2"/>
      <c r="G70" s="2"/>
      <c r="H70" s="2">
        <v>1100</v>
      </c>
      <c r="I70" s="2">
        <v>1100</v>
      </c>
      <c r="J70" s="2">
        <v>25352.943750000002</v>
      </c>
      <c r="K70" s="2">
        <v>8604.5625</v>
      </c>
      <c r="L70" s="2">
        <v>2988.5625</v>
      </c>
      <c r="M70" s="2">
        <v>4269.375</v>
      </c>
      <c r="N70" s="2">
        <v>3415.5</v>
      </c>
      <c r="O70" s="2">
        <v>0</v>
      </c>
      <c r="P70" s="9"/>
      <c r="Q70" s="2">
        <f>SUM(OSRRefD21_1_7x)+IFERROR(SUM(OSRRefE21_1_7x),0)</f>
        <v>46830.943750000006</v>
      </c>
    </row>
    <row r="71" spans="1:17" s="34" customFormat="1" hidden="1" outlineLevel="1" x14ac:dyDescent="0.25">
      <c r="A71" s="35"/>
      <c r="B71" s="13" t="str">
        <f>CONCATENATE("          ","6009", " - ","TEMPORARY-SEASONAL")</f>
        <v xml:space="preserve">          6009 - TEMPORARY-SEASONAL</v>
      </c>
      <c r="C71" s="15"/>
      <c r="D71" s="2"/>
      <c r="E71" s="2"/>
      <c r="F71" s="2"/>
      <c r="G71" s="2"/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9"/>
      <c r="Q71" s="2">
        <f>SUM(OSRRefD21_1_8x)+IFERROR(SUM(OSRRefE21_1_8x),0)</f>
        <v>0</v>
      </c>
    </row>
    <row r="72" spans="1:17" s="34" customFormat="1" hidden="1" outlineLevel="1" x14ac:dyDescent="0.25">
      <c r="A72" s="35"/>
      <c r="B72" s="13" t="str">
        <f>CONCATENATE("          ","6010", " - ","GRATUITY")</f>
        <v xml:space="preserve">          6010 - GRATUITY</v>
      </c>
      <c r="C72" s="15"/>
      <c r="D72" s="2"/>
      <c r="E72" s="2"/>
      <c r="F72" s="2"/>
      <c r="G72" s="2"/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9"/>
      <c r="Q72" s="2">
        <f>SUM(OSRRefD21_1_9x)+IFERROR(SUM(OSRRefE21_1_9x),0)</f>
        <v>0</v>
      </c>
    </row>
    <row r="73" spans="1:17" s="34" customFormat="1" collapsed="1" x14ac:dyDescent="0.25">
      <c r="A73" s="35"/>
      <c r="B73" s="15" t="str">
        <f>CONCATENATE("     ","Advertising/Promo                                 ")</f>
        <v xml:space="preserve">     Advertising/Promo                                 </v>
      </c>
      <c r="C73" s="15"/>
      <c r="D73" s="1">
        <f>SUM(OSRRefD21_2x_0)</f>
        <v>1249.9000000000001</v>
      </c>
      <c r="E73" s="1">
        <f>SUM(OSRRefD21_2x_1)</f>
        <v>109.98</v>
      </c>
      <c r="F73" s="1">
        <f>SUM(OSRRefD21_2x_2)</f>
        <v>0</v>
      </c>
      <c r="G73" s="1">
        <f>SUM(OSRRefD21_2x_3)</f>
        <v>0</v>
      </c>
      <c r="H73" s="1">
        <f>SUM(OSRRefE21_2x_0)</f>
        <v>100</v>
      </c>
      <c r="I73" s="1">
        <f>SUM(OSRRefE21_2x_1)</f>
        <v>500</v>
      </c>
      <c r="J73" s="1">
        <f>SUM(OSRRefE21_2x_2)</f>
        <v>250</v>
      </c>
      <c r="K73" s="1">
        <f>SUM(OSRRefE21_2x_3)</f>
        <v>100</v>
      </c>
      <c r="L73" s="1">
        <f>SUM(OSRRefE21_2x_4)</f>
        <v>100</v>
      </c>
      <c r="M73" s="1">
        <f>SUM(OSRRefE21_2x_5)</f>
        <v>100</v>
      </c>
      <c r="N73" s="1">
        <f>SUM(OSRRefE21_2x_6)</f>
        <v>500</v>
      </c>
      <c r="O73" s="1">
        <f>SUM(OSRRefE21_2x_7)</f>
        <v>100</v>
      </c>
      <c r="Q73" s="2">
        <f>SUM(OSRRefD20_2x)+IFERROR(SUM(OSRRefE20_2x),0)</f>
        <v>3109.88</v>
      </c>
    </row>
    <row r="74" spans="1:17" s="34" customFormat="1" hidden="1" outlineLevel="1" x14ac:dyDescent="0.25">
      <c r="A74" s="35"/>
      <c r="B74" s="13" t="str">
        <f>CONCATENATE("          ","6362", " - ","ADVERTISING EXPENSE")</f>
        <v xml:space="preserve">          6362 - ADVERTISING EXPENSE</v>
      </c>
      <c r="C74" s="15"/>
      <c r="D74" s="2">
        <v>1249.9000000000001</v>
      </c>
      <c r="E74" s="2">
        <v>109.98</v>
      </c>
      <c r="F74" s="2"/>
      <c r="G74" s="2"/>
      <c r="H74" s="2">
        <v>100</v>
      </c>
      <c r="I74" s="2">
        <v>500</v>
      </c>
      <c r="J74" s="2">
        <v>250</v>
      </c>
      <c r="K74" s="2">
        <v>100</v>
      </c>
      <c r="L74" s="2">
        <v>100</v>
      </c>
      <c r="M74" s="2">
        <v>100</v>
      </c>
      <c r="N74" s="2">
        <v>500</v>
      </c>
      <c r="O74" s="2">
        <v>100</v>
      </c>
      <c r="P74" s="9"/>
      <c r="Q74" s="2">
        <f>SUM(OSRRefD21_2_0x)+IFERROR(SUM(OSRRefE21_2_0x),0)</f>
        <v>3109.88</v>
      </c>
    </row>
    <row r="75" spans="1:17" s="34" customFormat="1" collapsed="1" x14ac:dyDescent="0.25">
      <c r="A75" s="35"/>
      <c r="B75" s="15" t="str">
        <f>CONCATENATE("     ","Discounts and Markdowns                           ")</f>
        <v xml:space="preserve">     Discounts and Markdowns                           </v>
      </c>
      <c r="C75" s="15"/>
      <c r="D75" s="1">
        <f>SUM(OSRRefD21_3x_0)</f>
        <v>0</v>
      </c>
      <c r="E75" s="1">
        <f>SUM(OSRRefD21_3x_1)</f>
        <v>0</v>
      </c>
      <c r="F75" s="1">
        <f>SUM(OSRRefD21_3x_2)</f>
        <v>0</v>
      </c>
      <c r="G75" s="1">
        <f>SUM(OSRRefD21_3x_3)</f>
        <v>0</v>
      </c>
      <c r="H75" s="1">
        <f>SUM(OSRRefE21_3x_0)</f>
        <v>1400</v>
      </c>
      <c r="I75" s="1">
        <f>SUM(OSRRefE21_3x_1)</f>
        <v>1200</v>
      </c>
      <c r="J75" s="1">
        <f>SUM(OSRRefE21_3x_2)</f>
        <v>3500</v>
      </c>
      <c r="K75" s="1">
        <f>SUM(OSRRefE21_3x_3)</f>
        <v>1200</v>
      </c>
      <c r="L75" s="1">
        <f>SUM(OSRRefE21_3x_4)</f>
        <v>1700</v>
      </c>
      <c r="M75" s="1">
        <f>SUM(OSRRefE21_3x_5)</f>
        <v>1200</v>
      </c>
      <c r="N75" s="1">
        <f>SUM(OSRRefE21_3x_6)</f>
        <v>1200</v>
      </c>
      <c r="O75" s="1">
        <f>SUM(OSRRefE21_3x_7)</f>
        <v>1200</v>
      </c>
      <c r="Q75" s="2">
        <f>SUM(OSRRefD20_3x)+IFERROR(SUM(OSRRefE20_3x),0)</f>
        <v>12600</v>
      </c>
    </row>
    <row r="76" spans="1:17" s="34" customFormat="1" hidden="1" outlineLevel="1" x14ac:dyDescent="0.25">
      <c r="A76" s="35"/>
      <c r="B76" s="13" t="str">
        <f>CONCATENATE("          ","6382", " - ","DISCOUNTS/MARK DOWNS")</f>
        <v xml:space="preserve">          6382 - DISCOUNTS/MARK DOWNS</v>
      </c>
      <c r="C76" s="15"/>
      <c r="D76" s="2"/>
      <c r="E76" s="2"/>
      <c r="F76" s="2"/>
      <c r="G76" s="2"/>
      <c r="H76" s="2">
        <v>1400</v>
      </c>
      <c r="I76" s="2">
        <v>1200</v>
      </c>
      <c r="J76" s="2">
        <v>3500</v>
      </c>
      <c r="K76" s="2">
        <v>1200</v>
      </c>
      <c r="L76" s="2">
        <v>1700</v>
      </c>
      <c r="M76" s="2">
        <v>1200</v>
      </c>
      <c r="N76" s="2">
        <v>1200</v>
      </c>
      <c r="O76" s="2">
        <v>1200</v>
      </c>
      <c r="P76" s="9"/>
      <c r="Q76" s="2">
        <f>SUM(OSRRefD21_3_0x)+IFERROR(SUM(OSRRefE21_3_0x),0)</f>
        <v>12600</v>
      </c>
    </row>
    <row r="77" spans="1:17" s="34" customFormat="1" collapsed="1" x14ac:dyDescent="0.25">
      <c r="A77" s="35"/>
      <c r="B77" s="15" t="str">
        <f>CONCATENATE("     ","Employees' Appreciation                           ")</f>
        <v xml:space="preserve">     Employees' Appreciation                           </v>
      </c>
      <c r="C77" s="15"/>
      <c r="D77" s="1">
        <f>SUM(OSRRefD21_4x_0)</f>
        <v>107.7</v>
      </c>
      <c r="E77" s="1">
        <f>SUM(OSRRefD21_4x_1)</f>
        <v>0</v>
      </c>
      <c r="F77" s="1">
        <f>SUM(OSRRefD21_4x_2)</f>
        <v>0</v>
      </c>
      <c r="G77" s="1">
        <f>SUM(OSRRefD21_4x_3)</f>
        <v>0</v>
      </c>
      <c r="H77" s="1">
        <f>SUM(OSRRefE21_4x_0)</f>
        <v>75</v>
      </c>
      <c r="I77" s="1">
        <f>SUM(OSRRefE21_4x_1)</f>
        <v>75</v>
      </c>
      <c r="J77" s="1">
        <f>SUM(OSRRefE21_4x_2)</f>
        <v>75</v>
      </c>
      <c r="K77" s="1">
        <f>SUM(OSRRefE21_4x_3)</f>
        <v>75</v>
      </c>
      <c r="L77" s="1">
        <f>SUM(OSRRefE21_4x_4)</f>
        <v>75</v>
      </c>
      <c r="M77" s="1">
        <f>SUM(OSRRefE21_4x_5)</f>
        <v>75</v>
      </c>
      <c r="N77" s="1">
        <f>SUM(OSRRefE21_4x_6)</f>
        <v>75</v>
      </c>
      <c r="O77" s="1">
        <f>SUM(OSRRefE21_4x_7)</f>
        <v>75</v>
      </c>
      <c r="Q77" s="2">
        <f>SUM(OSRRefD20_4x)+IFERROR(SUM(OSRRefE20_4x),0)</f>
        <v>707.7</v>
      </c>
    </row>
    <row r="78" spans="1:17" s="34" customFormat="1" hidden="1" outlineLevel="1" x14ac:dyDescent="0.25">
      <c r="A78" s="35"/>
      <c r="B78" s="13" t="str">
        <f>CONCATENATE("          ","6277", " - ","EMPLOYEE APPRECIATION")</f>
        <v xml:space="preserve">          6277 - EMPLOYEE APPRECIATION</v>
      </c>
      <c r="C78" s="15"/>
      <c r="D78" s="2">
        <v>107.7</v>
      </c>
      <c r="E78" s="2"/>
      <c r="F78" s="2"/>
      <c r="G78" s="2"/>
      <c r="H78" s="2">
        <v>75</v>
      </c>
      <c r="I78" s="2">
        <v>75</v>
      </c>
      <c r="J78" s="2">
        <v>75</v>
      </c>
      <c r="K78" s="2">
        <v>75</v>
      </c>
      <c r="L78" s="2">
        <v>75</v>
      </c>
      <c r="M78" s="2">
        <v>75</v>
      </c>
      <c r="N78" s="2">
        <v>75</v>
      </c>
      <c r="O78" s="2">
        <v>75</v>
      </c>
      <c r="P78" s="9"/>
      <c r="Q78" s="2">
        <f>SUM(OSRRefD21_4_0x)+IFERROR(SUM(OSRRefE21_4_0x),0)</f>
        <v>707.7</v>
      </c>
    </row>
    <row r="79" spans="1:17" s="34" customFormat="1" collapsed="1" x14ac:dyDescent="0.25">
      <c r="A79" s="35"/>
      <c r="B79" s="15" t="str">
        <f>CONCATENATE("     ","Equipment Rental                                  ")</f>
        <v xml:space="preserve">     Equipment Rental                                  </v>
      </c>
      <c r="C79" s="15"/>
      <c r="D79" s="1">
        <f>SUM(OSRRefD21_5x_0)</f>
        <v>91.26</v>
      </c>
      <c r="E79" s="1">
        <f>SUM(OSRRefD21_5x_1)</f>
        <v>91.26</v>
      </c>
      <c r="F79" s="1">
        <f>SUM(OSRRefD21_5x_2)</f>
        <v>91.26</v>
      </c>
      <c r="G79" s="1">
        <f>SUM(OSRRefD21_5x_3)</f>
        <v>182.52</v>
      </c>
      <c r="H79" s="1">
        <f>SUM(OSRRefE21_5x_0)</f>
        <v>100</v>
      </c>
      <c r="I79" s="1">
        <f>SUM(OSRRefE21_5x_1)</f>
        <v>100</v>
      </c>
      <c r="J79" s="1">
        <f>SUM(OSRRefE21_5x_2)</f>
        <v>100</v>
      </c>
      <c r="K79" s="1">
        <f>SUM(OSRRefE21_5x_3)</f>
        <v>100</v>
      </c>
      <c r="L79" s="1">
        <f>SUM(OSRRefE21_5x_4)</f>
        <v>100</v>
      </c>
      <c r="M79" s="1">
        <f>SUM(OSRRefE21_5x_5)</f>
        <v>100</v>
      </c>
      <c r="N79" s="1">
        <f>SUM(OSRRefE21_5x_6)</f>
        <v>100</v>
      </c>
      <c r="O79" s="1">
        <f>SUM(OSRRefE21_5x_7)</f>
        <v>100</v>
      </c>
      <c r="Q79" s="2">
        <f>SUM(OSRRefD20_5x)+IFERROR(SUM(OSRRefE20_5x),0)</f>
        <v>1256.3000000000002</v>
      </c>
    </row>
    <row r="80" spans="1:17" s="34" customFormat="1" hidden="1" outlineLevel="1" x14ac:dyDescent="0.25">
      <c r="A80" s="35"/>
      <c r="B80" s="13" t="str">
        <f>CONCATENATE("          ","6351", " - ","EQUIPMENT RENTAL")</f>
        <v xml:space="preserve">          6351 - EQUIPMENT RENTAL</v>
      </c>
      <c r="C80" s="15"/>
      <c r="D80" s="2">
        <v>91.26</v>
      </c>
      <c r="E80" s="2">
        <v>91.26</v>
      </c>
      <c r="F80" s="2">
        <v>91.26</v>
      </c>
      <c r="G80" s="2">
        <v>182.52</v>
      </c>
      <c r="H80" s="2">
        <v>100</v>
      </c>
      <c r="I80" s="2">
        <v>100</v>
      </c>
      <c r="J80" s="2">
        <v>100</v>
      </c>
      <c r="K80" s="2">
        <v>100</v>
      </c>
      <c r="L80" s="2">
        <v>100</v>
      </c>
      <c r="M80" s="2">
        <v>100</v>
      </c>
      <c r="N80" s="2">
        <v>100</v>
      </c>
      <c r="O80" s="2">
        <v>100</v>
      </c>
      <c r="P80" s="9"/>
      <c r="Q80" s="2">
        <f>SUM(OSRRefD21_5_0x)+IFERROR(SUM(OSRRefE21_5_0x),0)</f>
        <v>1256.3000000000002</v>
      </c>
    </row>
    <row r="81" spans="1:17" s="34" customFormat="1" collapsed="1" x14ac:dyDescent="0.25">
      <c r="A81" s="35"/>
      <c r="B81" s="15" t="str">
        <f>CONCATENATE("     ","Freight out/Postage                               ")</f>
        <v xml:space="preserve">     Freight out/Postage                               </v>
      </c>
      <c r="C81" s="15"/>
      <c r="D81" s="1">
        <f>SUM(OSRRefD21_6x_0)</f>
        <v>167.5</v>
      </c>
      <c r="E81" s="1">
        <f>SUM(OSRRefD21_6x_1)</f>
        <v>333.31</v>
      </c>
      <c r="F81" s="1">
        <f>SUM(OSRRefD21_6x_2)</f>
        <v>35.35</v>
      </c>
      <c r="G81" s="1">
        <f>SUM(OSRRefD21_6x_3)</f>
        <v>29.84</v>
      </c>
      <c r="H81" s="1">
        <f>SUM(OSRRefE21_6x_0)</f>
        <v>4000</v>
      </c>
      <c r="I81" s="1">
        <f>SUM(OSRRefE21_6x_1)</f>
        <v>1800</v>
      </c>
      <c r="J81" s="1">
        <f>SUM(OSRRefE21_6x_2)</f>
        <v>2000</v>
      </c>
      <c r="K81" s="1">
        <f>SUM(OSRRefE21_6x_3)</f>
        <v>2200</v>
      </c>
      <c r="L81" s="1">
        <f>SUM(OSRRefE21_6x_4)</f>
        <v>5000</v>
      </c>
      <c r="M81" s="1">
        <f>SUM(OSRRefE21_6x_5)</f>
        <v>2300</v>
      </c>
      <c r="N81" s="1">
        <f>SUM(OSRRefE21_6x_6)</f>
        <v>1000</v>
      </c>
      <c r="O81" s="1">
        <f>SUM(OSRRefE21_6x_7)</f>
        <v>1000</v>
      </c>
      <c r="Q81" s="2">
        <f>SUM(OSRRefD20_6x)+IFERROR(SUM(OSRRefE20_6x),0)</f>
        <v>19866</v>
      </c>
    </row>
    <row r="82" spans="1:17" s="34" customFormat="1" hidden="1" outlineLevel="1" x14ac:dyDescent="0.25">
      <c r="A82" s="35"/>
      <c r="B82" s="13" t="str">
        <f>CONCATENATE("          ","6305", " - ","FREIGHT OUT")</f>
        <v xml:space="preserve">          6305 - FREIGHT OUT</v>
      </c>
      <c r="C82" s="15"/>
      <c r="D82" s="2">
        <v>167.5</v>
      </c>
      <c r="E82" s="2">
        <v>333.31</v>
      </c>
      <c r="F82" s="2">
        <v>35.35</v>
      </c>
      <c r="G82" s="2">
        <v>29.84</v>
      </c>
      <c r="H82" s="2">
        <v>4000</v>
      </c>
      <c r="I82" s="2">
        <v>1800</v>
      </c>
      <c r="J82" s="2">
        <v>2000</v>
      </c>
      <c r="K82" s="2">
        <v>2200</v>
      </c>
      <c r="L82" s="2">
        <v>5000</v>
      </c>
      <c r="M82" s="2">
        <v>2300</v>
      </c>
      <c r="N82" s="2">
        <v>1000</v>
      </c>
      <c r="O82" s="2">
        <v>1000</v>
      </c>
      <c r="P82" s="9"/>
      <c r="Q82" s="2">
        <f>SUM(OSRRefD21_6_0x)+IFERROR(SUM(OSRRefE21_6_0x),0)</f>
        <v>19866</v>
      </c>
    </row>
    <row r="83" spans="1:17" s="34" customFormat="1" collapsed="1" x14ac:dyDescent="0.25">
      <c r="A83" s="35"/>
      <c r="B83" s="15" t="str">
        <f>CONCATENATE("     ","General                                           ")</f>
        <v xml:space="preserve">     General                                           </v>
      </c>
      <c r="C83" s="15"/>
      <c r="D83" s="1">
        <f>SUM(OSRRefD21_7x_0)</f>
        <v>-4794.1899999999996</v>
      </c>
      <c r="E83" s="1">
        <f>SUM(OSRRefD21_7x_1)</f>
        <v>0</v>
      </c>
      <c r="F83" s="1">
        <f>SUM(OSRRefD21_7x_2)</f>
        <v>0</v>
      </c>
      <c r="G83" s="1">
        <f>SUM(OSRRefD21_7x_3)</f>
        <v>-40</v>
      </c>
      <c r="H83" s="1">
        <f>SUM(OSRRefE21_7x_0)</f>
        <v>1250</v>
      </c>
      <c r="I83" s="1">
        <f>SUM(OSRRefE21_7x_1)</f>
        <v>0</v>
      </c>
      <c r="J83" s="1">
        <f>SUM(OSRRefE21_7x_2)</f>
        <v>0</v>
      </c>
      <c r="K83" s="1">
        <f>SUM(OSRRefE21_7x_3)</f>
        <v>125</v>
      </c>
      <c r="L83" s="1">
        <f>SUM(OSRRefE21_7x_4)</f>
        <v>0</v>
      </c>
      <c r="M83" s="1">
        <f>SUM(OSRRefE21_7x_5)</f>
        <v>0</v>
      </c>
      <c r="N83" s="1">
        <f>SUM(OSRRefE21_7x_6)</f>
        <v>1250</v>
      </c>
      <c r="O83" s="1">
        <f>SUM(OSRRefE21_7x_7)</f>
        <v>0</v>
      </c>
      <c r="Q83" s="2">
        <f>SUM(OSRRefD20_7x)+IFERROR(SUM(OSRRefE20_7x),0)</f>
        <v>-2209.1899999999996</v>
      </c>
    </row>
    <row r="84" spans="1:17" s="34" customFormat="1" hidden="1" outlineLevel="1" x14ac:dyDescent="0.25">
      <c r="A84" s="35"/>
      <c r="B84" s="13" t="str">
        <f>CONCATENATE("          ","6269", " - ","ENTERTAINMENT")</f>
        <v xml:space="preserve">          6269 - ENTERTAINMENT</v>
      </c>
      <c r="C84" s="15"/>
      <c r="D84" s="2"/>
      <c r="E84" s="2"/>
      <c r="F84" s="2"/>
      <c r="G84" s="2"/>
      <c r="H84" s="2">
        <v>1250</v>
      </c>
      <c r="I84" s="2">
        <v>0</v>
      </c>
      <c r="J84" s="2"/>
      <c r="K84" s="2">
        <v>125</v>
      </c>
      <c r="L84" s="2">
        <v>0</v>
      </c>
      <c r="M84" s="2"/>
      <c r="N84" s="2">
        <v>1250</v>
      </c>
      <c r="O84" s="2">
        <v>0</v>
      </c>
      <c r="P84" s="9"/>
      <c r="Q84" s="2">
        <f>SUM(OSRRefD21_7_0x)+IFERROR(SUM(OSRRefE21_7_0x),0)</f>
        <v>2625</v>
      </c>
    </row>
    <row r="85" spans="1:17" s="34" customFormat="1" hidden="1" outlineLevel="1" x14ac:dyDescent="0.25">
      <c r="A85" s="35"/>
      <c r="B85" s="13" t="str">
        <f>CONCATENATE("          ","6279", " - ","GENERAL EXPENSE")</f>
        <v xml:space="preserve">          6279 - GENERAL EXPENSE</v>
      </c>
      <c r="C85" s="15"/>
      <c r="D85" s="2">
        <v>-4794.1899999999996</v>
      </c>
      <c r="E85" s="2"/>
      <c r="F85" s="2"/>
      <c r="G85" s="2">
        <v>-40</v>
      </c>
      <c r="H85" s="2"/>
      <c r="I85" s="2"/>
      <c r="J85" s="2"/>
      <c r="K85" s="2"/>
      <c r="L85" s="2"/>
      <c r="M85" s="2"/>
      <c r="N85" s="2"/>
      <c r="O85" s="2"/>
      <c r="P85" s="9"/>
      <c r="Q85" s="2">
        <f>SUM(OSRRefD21_7_1x)+IFERROR(SUM(OSRRefE21_7_1x),0)</f>
        <v>-4834.1899999999996</v>
      </c>
    </row>
    <row r="86" spans="1:17" s="34" customFormat="1" collapsed="1" x14ac:dyDescent="0.25">
      <c r="A86" s="35"/>
      <c r="B86" s="15" t="str">
        <f>CONCATENATE("     ","Inventory Adjustment                              ")</f>
        <v xml:space="preserve">     Inventory Adjustment                              </v>
      </c>
      <c r="C86" s="15"/>
      <c r="D86" s="1">
        <f>SUM(OSRRefD21_8x_0)</f>
        <v>1000</v>
      </c>
      <c r="E86" s="1">
        <f>SUM(OSRRefD21_8x_1)</f>
        <v>1000</v>
      </c>
      <c r="F86" s="1">
        <f>SUM(OSRRefD21_8x_2)</f>
        <v>1000</v>
      </c>
      <c r="G86" s="1">
        <f>SUM(OSRRefD21_8x_3)</f>
        <v>1000</v>
      </c>
      <c r="H86" s="1">
        <f>SUM(OSRRefE21_8x_0)</f>
        <v>1000</v>
      </c>
      <c r="I86" s="1">
        <f>SUM(OSRRefE21_8x_1)</f>
        <v>6000</v>
      </c>
      <c r="J86" s="1">
        <f>SUM(OSRRefE21_8x_2)</f>
        <v>1000</v>
      </c>
      <c r="K86" s="1">
        <f>SUM(OSRRefE21_8x_3)</f>
        <v>1000</v>
      </c>
      <c r="L86" s="1">
        <f>SUM(OSRRefE21_8x_4)</f>
        <v>1000</v>
      </c>
      <c r="M86" s="1">
        <f>SUM(OSRRefE21_8x_5)</f>
        <v>1000</v>
      </c>
      <c r="N86" s="1">
        <f>SUM(OSRRefE21_8x_6)</f>
        <v>1000</v>
      </c>
      <c r="O86" s="1">
        <f>SUM(OSRRefE21_8x_7)</f>
        <v>44000</v>
      </c>
      <c r="Q86" s="2">
        <f>SUM(OSRRefD20_8x)+IFERROR(SUM(OSRRefE20_8x),0)</f>
        <v>60000</v>
      </c>
    </row>
    <row r="87" spans="1:17" s="34" customFormat="1" hidden="1" outlineLevel="1" x14ac:dyDescent="0.25">
      <c r="A87" s="35"/>
      <c r="B87" s="13" t="str">
        <f>CONCATENATE("          ","6408", " - ","INVENTORY ADJUSTMENT")</f>
        <v xml:space="preserve">          6408 - INVENTORY ADJUSTMENT</v>
      </c>
      <c r="C87" s="15"/>
      <c r="D87" s="2">
        <v>1000</v>
      </c>
      <c r="E87" s="2">
        <v>1000</v>
      </c>
      <c r="F87" s="2">
        <v>1000</v>
      </c>
      <c r="G87" s="2">
        <v>1000</v>
      </c>
      <c r="H87" s="2">
        <v>1000</v>
      </c>
      <c r="I87" s="2">
        <v>6000</v>
      </c>
      <c r="J87" s="2">
        <v>1000</v>
      </c>
      <c r="K87" s="2">
        <v>1000</v>
      </c>
      <c r="L87" s="2">
        <v>1000</v>
      </c>
      <c r="M87" s="2">
        <v>1000</v>
      </c>
      <c r="N87" s="2">
        <v>1000</v>
      </c>
      <c r="O87" s="2">
        <v>44000</v>
      </c>
      <c r="P87" s="9"/>
      <c r="Q87" s="2">
        <f>SUM(OSRRefD21_8_0x)+IFERROR(SUM(OSRRefE21_8_0x),0)</f>
        <v>60000</v>
      </c>
    </row>
    <row r="88" spans="1:17" s="34" customFormat="1" collapsed="1" x14ac:dyDescent="0.25">
      <c r="A88" s="35"/>
      <c r="B88" s="15" t="str">
        <f>CONCATENATE("     ","Repair and Maintenance                            ")</f>
        <v xml:space="preserve">     Repair and Maintenance                            </v>
      </c>
      <c r="C88" s="15"/>
      <c r="D88" s="1">
        <f>SUM(OSRRefD21_9x_0)</f>
        <v>22.86</v>
      </c>
      <c r="E88" s="1">
        <f>SUM(OSRRefD21_9x_1)</f>
        <v>0</v>
      </c>
      <c r="F88" s="1">
        <f>SUM(OSRRefD21_9x_2)</f>
        <v>68.94</v>
      </c>
      <c r="G88" s="1">
        <f>SUM(OSRRefD21_9x_3)</f>
        <v>19.670000000000002</v>
      </c>
      <c r="H88" s="1">
        <f>SUM(OSRRefE21_9x_0)</f>
        <v>140</v>
      </c>
      <c r="I88" s="1">
        <f>SUM(OSRRefE21_9x_1)</f>
        <v>140</v>
      </c>
      <c r="J88" s="1">
        <f>SUM(OSRRefE21_9x_2)</f>
        <v>140</v>
      </c>
      <c r="K88" s="1">
        <f>SUM(OSRRefE21_9x_3)</f>
        <v>140</v>
      </c>
      <c r="L88" s="1">
        <f>SUM(OSRRefE21_9x_4)</f>
        <v>140</v>
      </c>
      <c r="M88" s="1">
        <f>SUM(OSRRefE21_9x_5)</f>
        <v>140</v>
      </c>
      <c r="N88" s="1">
        <f>SUM(OSRRefE21_9x_6)</f>
        <v>12140</v>
      </c>
      <c r="O88" s="1">
        <f>SUM(OSRRefE21_9x_7)</f>
        <v>140</v>
      </c>
      <c r="Q88" s="2">
        <f>SUM(OSRRefD20_9x)+IFERROR(SUM(OSRRefE20_9x),0)</f>
        <v>13231.47</v>
      </c>
    </row>
    <row r="89" spans="1:17" s="34" customFormat="1" hidden="1" outlineLevel="1" x14ac:dyDescent="0.25">
      <c r="A89" s="35"/>
      <c r="B89" s="13" t="str">
        <f>CONCATENATE("          ","6371", " - ","COMPUTER SOFTWARE MAINTENANCE")</f>
        <v xml:space="preserve">          6371 - COMPUTER SOFTWARE MAINTENANCE</v>
      </c>
      <c r="C89" s="15"/>
      <c r="D89" s="2"/>
      <c r="E89" s="2"/>
      <c r="F89" s="2"/>
      <c r="G89" s="2"/>
      <c r="H89" s="2"/>
      <c r="I89" s="2"/>
      <c r="J89" s="2"/>
      <c r="K89" s="2"/>
      <c r="L89" s="2"/>
      <c r="M89" s="2"/>
      <c r="N89" s="2">
        <v>12000</v>
      </c>
      <c r="O89" s="2"/>
      <c r="P89" s="9"/>
      <c r="Q89" s="2">
        <f>SUM(OSRRefD21_9_0x)+IFERROR(SUM(OSRRefE21_9_0x),0)</f>
        <v>12000</v>
      </c>
    </row>
    <row r="90" spans="1:17" s="34" customFormat="1" hidden="1" outlineLevel="1" x14ac:dyDescent="0.25">
      <c r="A90" s="35"/>
      <c r="B90" s="13" t="str">
        <f>CONCATENATE("          ","6373", " - ","MAINTENANCE CONTRACTS")</f>
        <v xml:space="preserve">          6373 - MAINTENANCE CONTRACTS</v>
      </c>
      <c r="C90" s="15"/>
      <c r="D90" s="2">
        <v>22.86</v>
      </c>
      <c r="E90" s="2"/>
      <c r="F90" s="2">
        <v>43.83</v>
      </c>
      <c r="G90" s="2">
        <v>19.670000000000002</v>
      </c>
      <c r="H90" s="2">
        <v>40</v>
      </c>
      <c r="I90" s="2">
        <v>40</v>
      </c>
      <c r="J90" s="2">
        <v>40</v>
      </c>
      <c r="K90" s="2">
        <v>40</v>
      </c>
      <c r="L90" s="2">
        <v>40</v>
      </c>
      <c r="M90" s="2">
        <v>40</v>
      </c>
      <c r="N90" s="2">
        <v>40</v>
      </c>
      <c r="O90" s="2">
        <v>40</v>
      </c>
      <c r="P90" s="9"/>
      <c r="Q90" s="2">
        <f>SUM(OSRRefD21_9_1x)+IFERROR(SUM(OSRRefE21_9_1x),0)</f>
        <v>406.36</v>
      </c>
    </row>
    <row r="91" spans="1:17" s="34" customFormat="1" hidden="1" outlineLevel="1" x14ac:dyDescent="0.25">
      <c r="A91" s="35"/>
      <c r="B91" s="13" t="str">
        <f>CONCATENATE("          ","6375", " - ","OUTSIDE REPAIRS &amp; MAINTENANCE")</f>
        <v xml:space="preserve">          6375 - OUTSIDE REPAIRS &amp; MAINTENANCE</v>
      </c>
      <c r="C91" s="15"/>
      <c r="D91" s="2"/>
      <c r="E91" s="2"/>
      <c r="F91" s="2">
        <v>25.11</v>
      </c>
      <c r="G91" s="2"/>
      <c r="H91" s="2">
        <v>100</v>
      </c>
      <c r="I91" s="2">
        <v>100</v>
      </c>
      <c r="J91" s="2">
        <v>100</v>
      </c>
      <c r="K91" s="2">
        <v>100</v>
      </c>
      <c r="L91" s="2">
        <v>100</v>
      </c>
      <c r="M91" s="2">
        <v>100</v>
      </c>
      <c r="N91" s="2">
        <v>100</v>
      </c>
      <c r="O91" s="2">
        <v>100</v>
      </c>
      <c r="P91" s="9"/>
      <c r="Q91" s="2">
        <f>SUM(OSRRefD21_9_2x)+IFERROR(SUM(OSRRefE21_9_2x),0)</f>
        <v>825.11</v>
      </c>
    </row>
    <row r="92" spans="1:17" s="34" customFormat="1" collapsed="1" x14ac:dyDescent="0.25">
      <c r="A92" s="35"/>
      <c r="B92" s="15" t="str">
        <f>CONCATENATE("     ","Subscriptions &amp; Dues                              ")</f>
        <v xml:space="preserve">     Subscriptions &amp; Dues                              </v>
      </c>
      <c r="C92" s="15"/>
      <c r="D92" s="1">
        <f>SUM(OSRRefD21_10x_0)</f>
        <v>290</v>
      </c>
      <c r="E92" s="1">
        <f>SUM(OSRRefD21_10x_1)</f>
        <v>270</v>
      </c>
      <c r="F92" s="1">
        <f>SUM(OSRRefD21_10x_2)</f>
        <v>73.040000000000006</v>
      </c>
      <c r="G92" s="1">
        <f>SUM(OSRRefD21_10x_3)</f>
        <v>790.32</v>
      </c>
      <c r="H92" s="1">
        <f>SUM(OSRRefE21_10x_0)</f>
        <v>300</v>
      </c>
      <c r="I92" s="1">
        <f>SUM(OSRRefE21_10x_1)</f>
        <v>300</v>
      </c>
      <c r="J92" s="1">
        <f>SUM(OSRRefE21_10x_2)</f>
        <v>300</v>
      </c>
      <c r="K92" s="1">
        <f>SUM(OSRRefE21_10x_3)</f>
        <v>300</v>
      </c>
      <c r="L92" s="1">
        <f>SUM(OSRRefE21_10x_4)</f>
        <v>300</v>
      </c>
      <c r="M92" s="1">
        <f>SUM(OSRRefE21_10x_5)</f>
        <v>2100</v>
      </c>
      <c r="N92" s="1">
        <f>SUM(OSRRefE21_10x_6)</f>
        <v>300</v>
      </c>
      <c r="O92" s="1">
        <f>SUM(OSRRefE21_10x_7)</f>
        <v>300</v>
      </c>
      <c r="Q92" s="2">
        <f>SUM(OSRRefD20_10x)+IFERROR(SUM(OSRRefE20_10x),0)</f>
        <v>5623.3600000000006</v>
      </c>
    </row>
    <row r="93" spans="1:17" s="34" customFormat="1" hidden="1" outlineLevel="1" x14ac:dyDescent="0.25">
      <c r="A93" s="35"/>
      <c r="B93" s="13" t="str">
        <f>CONCATENATE("          ","6258", " - ","MEMBERSHIP DUES")</f>
        <v xml:space="preserve">          6258 - MEMBERSHIP DUES</v>
      </c>
      <c r="C93" s="15"/>
      <c r="D93" s="2">
        <v>290</v>
      </c>
      <c r="E93" s="2">
        <v>270</v>
      </c>
      <c r="F93" s="2">
        <v>73.040000000000006</v>
      </c>
      <c r="G93" s="2">
        <v>790.32</v>
      </c>
      <c r="H93" s="2">
        <v>300</v>
      </c>
      <c r="I93" s="2">
        <v>300</v>
      </c>
      <c r="J93" s="2">
        <v>300</v>
      </c>
      <c r="K93" s="2">
        <v>300</v>
      </c>
      <c r="L93" s="2">
        <v>300</v>
      </c>
      <c r="M93" s="2">
        <v>300</v>
      </c>
      <c r="N93" s="2">
        <v>300</v>
      </c>
      <c r="O93" s="2">
        <v>300</v>
      </c>
      <c r="P93" s="9"/>
      <c r="Q93" s="2">
        <f>SUM(OSRRefD21_10_0x)+IFERROR(SUM(OSRRefE21_10_0x),0)</f>
        <v>3823.36</v>
      </c>
    </row>
    <row r="94" spans="1:17" s="34" customFormat="1" hidden="1" outlineLevel="1" x14ac:dyDescent="0.25">
      <c r="A94" s="35"/>
      <c r="B94" s="13" t="str">
        <f>CONCATENATE("          ","6275", " - ","SUBSCRIPTIONS")</f>
        <v xml:space="preserve">          6275 - SUBSCRIPTIONS</v>
      </c>
      <c r="C94" s="15"/>
      <c r="D94" s="2"/>
      <c r="E94" s="2"/>
      <c r="F94" s="2"/>
      <c r="G94" s="2"/>
      <c r="H94" s="2"/>
      <c r="I94" s="2"/>
      <c r="J94" s="2"/>
      <c r="K94" s="2"/>
      <c r="L94" s="2"/>
      <c r="M94" s="2">
        <v>1800</v>
      </c>
      <c r="N94" s="2"/>
      <c r="O94" s="2"/>
      <c r="P94" s="9"/>
      <c r="Q94" s="2">
        <f>SUM(OSRRefD21_10_1x)+IFERROR(SUM(OSRRefE21_10_1x),0)</f>
        <v>1800</v>
      </c>
    </row>
    <row r="95" spans="1:17" s="34" customFormat="1" collapsed="1" x14ac:dyDescent="0.25">
      <c r="A95" s="35"/>
      <c r="B95" s="15" t="str">
        <f>CONCATENATE("     ","Supplies                                          ")</f>
        <v xml:space="preserve">     Supplies                                          </v>
      </c>
      <c r="C95" s="15"/>
      <c r="D95" s="1">
        <f>SUM(OSRRefD21_11x_0)</f>
        <v>792.76</v>
      </c>
      <c r="E95" s="1">
        <f>SUM(OSRRefD21_11x_1)</f>
        <v>197.4</v>
      </c>
      <c r="F95" s="1">
        <f>SUM(OSRRefD21_11x_2)</f>
        <v>98.81</v>
      </c>
      <c r="G95" s="1">
        <f>SUM(OSRRefD21_11x_3)</f>
        <v>146.28</v>
      </c>
      <c r="H95" s="1">
        <f>SUM(OSRRefE21_11x_0)</f>
        <v>600</v>
      </c>
      <c r="I95" s="1">
        <f>SUM(OSRRefE21_11x_1)</f>
        <v>1400</v>
      </c>
      <c r="J95" s="1">
        <f>SUM(OSRRefE21_11x_2)</f>
        <v>1800</v>
      </c>
      <c r="K95" s="1">
        <f>SUM(OSRRefE21_11x_3)</f>
        <v>1800</v>
      </c>
      <c r="L95" s="1">
        <f>SUM(OSRRefE21_11x_4)</f>
        <v>1100</v>
      </c>
      <c r="M95" s="1">
        <f>SUM(OSRRefE21_11x_5)</f>
        <v>800</v>
      </c>
      <c r="N95" s="1">
        <f>SUM(OSRRefE21_11x_6)</f>
        <v>1200</v>
      </c>
      <c r="O95" s="1">
        <f>SUM(OSRRefE21_11x_7)</f>
        <v>700</v>
      </c>
      <c r="Q95" s="2">
        <f>SUM(OSRRefD20_11x)+IFERROR(SUM(OSRRefE20_11x),0)</f>
        <v>10635.25</v>
      </c>
    </row>
    <row r="96" spans="1:17" s="34" customFormat="1" hidden="1" outlineLevel="1" x14ac:dyDescent="0.25">
      <c r="A96" s="35"/>
      <c r="B96" s="13" t="str">
        <f>CONCATENATE("          ","6241", " - ","OFFICE EXPENSE")</f>
        <v xml:space="preserve">          6241 - OFFICE EXPENSE</v>
      </c>
      <c r="C96" s="15"/>
      <c r="D96" s="2">
        <v>159.66</v>
      </c>
      <c r="E96" s="2">
        <v>197.4</v>
      </c>
      <c r="F96" s="2">
        <v>98.81</v>
      </c>
      <c r="G96" s="2">
        <v>146.28</v>
      </c>
      <c r="H96" s="2">
        <v>300</v>
      </c>
      <c r="I96" s="2">
        <v>800</v>
      </c>
      <c r="J96" s="2">
        <v>500</v>
      </c>
      <c r="K96" s="2">
        <v>500</v>
      </c>
      <c r="L96" s="2">
        <v>300</v>
      </c>
      <c r="M96" s="2">
        <v>300</v>
      </c>
      <c r="N96" s="2">
        <v>300</v>
      </c>
      <c r="O96" s="2">
        <v>200</v>
      </c>
      <c r="P96" s="9"/>
      <c r="Q96" s="2">
        <f>SUM(OSRRefD21_11_0x)+IFERROR(SUM(OSRRefE21_11_0x),0)</f>
        <v>3802.15</v>
      </c>
    </row>
    <row r="97" spans="1:17" s="34" customFormat="1" hidden="1" outlineLevel="1" x14ac:dyDescent="0.25">
      <c r="A97" s="35"/>
      <c r="B97" s="13" t="str">
        <f>CONCATENATE("          ","6245", " - ","PRINTING")</f>
        <v xml:space="preserve">          6245 - PRINTING</v>
      </c>
      <c r="C97" s="15"/>
      <c r="D97" s="2"/>
      <c r="E97" s="2"/>
      <c r="F97" s="2"/>
      <c r="G97" s="2"/>
      <c r="H97" s="2">
        <v>100</v>
      </c>
      <c r="I97" s="2">
        <v>400</v>
      </c>
      <c r="J97" s="2">
        <v>500</v>
      </c>
      <c r="K97" s="2">
        <v>100</v>
      </c>
      <c r="L97" s="2">
        <v>100</v>
      </c>
      <c r="M97" s="2">
        <v>100</v>
      </c>
      <c r="N97" s="2">
        <v>500</v>
      </c>
      <c r="O97" s="2">
        <v>100</v>
      </c>
      <c r="P97" s="9"/>
      <c r="Q97" s="2">
        <f>SUM(OSRRefD21_11_1x)+IFERROR(SUM(OSRRefE21_11_1x),0)</f>
        <v>1900</v>
      </c>
    </row>
    <row r="98" spans="1:17" s="34" customFormat="1" hidden="1" outlineLevel="1" x14ac:dyDescent="0.25">
      <c r="A98" s="35"/>
      <c r="B98" s="13" t="str">
        <f>CONCATENATE("          ","6247", " - ","STORE SUPPLIES")</f>
        <v xml:space="preserve">          6247 - STORE SUPPLIES</v>
      </c>
      <c r="C98" s="15"/>
      <c r="D98" s="2">
        <v>633.1</v>
      </c>
      <c r="E98" s="2"/>
      <c r="F98" s="2"/>
      <c r="G98" s="2"/>
      <c r="H98" s="2">
        <v>200</v>
      </c>
      <c r="I98" s="2">
        <v>200</v>
      </c>
      <c r="J98" s="2">
        <v>800</v>
      </c>
      <c r="K98" s="2">
        <v>1200</v>
      </c>
      <c r="L98" s="2">
        <v>700</v>
      </c>
      <c r="M98" s="2">
        <v>400</v>
      </c>
      <c r="N98" s="2">
        <v>400</v>
      </c>
      <c r="O98" s="2">
        <v>400</v>
      </c>
      <c r="P98" s="9"/>
      <c r="Q98" s="2">
        <f>SUM(OSRRefD21_11_2x)+IFERROR(SUM(OSRRefE21_11_2x),0)</f>
        <v>4933.1000000000004</v>
      </c>
    </row>
    <row r="99" spans="1:17" s="34" customFormat="1" collapsed="1" x14ac:dyDescent="0.25">
      <c r="A99" s="35"/>
      <c r="B99" s="15" t="str">
        <f>CONCATENATE("     ","Telephone/Data Lines                              ")</f>
        <v xml:space="preserve">     Telephone/Data Lines                              </v>
      </c>
      <c r="C99" s="15"/>
      <c r="D99" s="1">
        <f>SUM(OSRRefD21_12x_0)</f>
        <v>760.5</v>
      </c>
      <c r="E99" s="1">
        <f>SUM(OSRRefD21_12x_1)</f>
        <v>472.8</v>
      </c>
      <c r="F99" s="1">
        <f>SUM(OSRRefD21_12x_2)</f>
        <v>2635</v>
      </c>
      <c r="G99" s="1">
        <f>SUM(OSRRefD21_12x_3)</f>
        <v>-634.45000000000005</v>
      </c>
      <c r="H99" s="1">
        <f>SUM(OSRRefE21_12x_0)</f>
        <v>600</v>
      </c>
      <c r="I99" s="1">
        <f>SUM(OSRRefE21_12x_1)</f>
        <v>900</v>
      </c>
      <c r="J99" s="1">
        <f>SUM(OSRRefE21_12x_2)</f>
        <v>1100</v>
      </c>
      <c r="K99" s="1">
        <f>SUM(OSRRefE21_12x_3)</f>
        <v>600</v>
      </c>
      <c r="L99" s="1">
        <f>SUM(OSRRefE21_12x_4)</f>
        <v>600</v>
      </c>
      <c r="M99" s="1">
        <f>SUM(OSRRefE21_12x_5)</f>
        <v>600</v>
      </c>
      <c r="N99" s="1">
        <f>SUM(OSRRefE21_12x_6)</f>
        <v>600</v>
      </c>
      <c r="O99" s="1">
        <f>SUM(OSRRefE21_12x_7)</f>
        <v>600</v>
      </c>
      <c r="Q99" s="2">
        <f>SUM(OSRRefD20_12x)+IFERROR(SUM(OSRRefE20_12x),0)</f>
        <v>8833.85</v>
      </c>
    </row>
    <row r="100" spans="1:17" s="34" customFormat="1" hidden="1" outlineLevel="1" x14ac:dyDescent="0.25">
      <c r="A100" s="35"/>
      <c r="B100" s="13" t="str">
        <f>CONCATENATE("          ","6303", " - ","DATA PHONE LINES")</f>
        <v xml:space="preserve">          6303 - DATA PHONE LINES</v>
      </c>
      <c r="C100" s="15"/>
      <c r="D100" s="2">
        <v>295</v>
      </c>
      <c r="E100" s="2"/>
      <c r="F100" s="2">
        <v>885</v>
      </c>
      <c r="G100" s="2"/>
      <c r="H100" s="2">
        <v>300</v>
      </c>
      <c r="I100" s="2">
        <v>300</v>
      </c>
      <c r="J100" s="2">
        <v>300</v>
      </c>
      <c r="K100" s="2">
        <v>300</v>
      </c>
      <c r="L100" s="2">
        <v>300</v>
      </c>
      <c r="M100" s="2">
        <v>300</v>
      </c>
      <c r="N100" s="2">
        <v>300</v>
      </c>
      <c r="O100" s="2">
        <v>300</v>
      </c>
      <c r="P100" s="9"/>
      <c r="Q100" s="2">
        <f>SUM(OSRRefD21_12_0x)+IFERROR(SUM(OSRRefE21_12_0x),0)</f>
        <v>3580</v>
      </c>
    </row>
    <row r="101" spans="1:17" s="34" customFormat="1" hidden="1" outlineLevel="1" x14ac:dyDescent="0.25">
      <c r="A101" s="35"/>
      <c r="B101" s="13" t="str">
        <f>CONCATENATE("          ","6309", " - ","TELEPHONE")</f>
        <v xml:space="preserve">          6309 - TELEPHONE</v>
      </c>
      <c r="C101" s="15"/>
      <c r="D101" s="2">
        <v>465.5</v>
      </c>
      <c r="E101" s="2">
        <v>472.8</v>
      </c>
      <c r="F101" s="2">
        <v>1750</v>
      </c>
      <c r="G101" s="2">
        <v>-634.45000000000005</v>
      </c>
      <c r="H101" s="2">
        <v>300</v>
      </c>
      <c r="I101" s="2">
        <v>600</v>
      </c>
      <c r="J101" s="2">
        <v>800</v>
      </c>
      <c r="K101" s="2">
        <v>300</v>
      </c>
      <c r="L101" s="2">
        <v>300</v>
      </c>
      <c r="M101" s="2">
        <v>300</v>
      </c>
      <c r="N101" s="2">
        <v>300</v>
      </c>
      <c r="O101" s="2">
        <v>300</v>
      </c>
      <c r="P101" s="9"/>
      <c r="Q101" s="2">
        <f>SUM(OSRRefD21_12_1x)+IFERROR(SUM(OSRRefE21_12_1x),0)</f>
        <v>5253.85</v>
      </c>
    </row>
    <row r="102" spans="1:17" s="34" customFormat="1" collapsed="1" x14ac:dyDescent="0.25">
      <c r="A102" s="35"/>
      <c r="B102" s="15" t="str">
        <f>CONCATENATE("     ","Training                                          ")</f>
        <v xml:space="preserve">     Training                                          </v>
      </c>
      <c r="C102" s="15"/>
      <c r="D102" s="1">
        <f>SUM(OSRRefD21_13x_0)</f>
        <v>0</v>
      </c>
      <c r="E102" s="1">
        <f>SUM(OSRRefD21_13x_1)</f>
        <v>0</v>
      </c>
      <c r="F102" s="1">
        <f>SUM(OSRRefD21_13x_2)</f>
        <v>0</v>
      </c>
      <c r="G102" s="1">
        <f>SUM(OSRRefD21_13x_3)</f>
        <v>0</v>
      </c>
      <c r="H102" s="1">
        <f>SUM(OSRRefE21_13x_0)</f>
        <v>0</v>
      </c>
      <c r="I102" s="1">
        <f>SUM(OSRRefE21_13x_1)</f>
        <v>0</v>
      </c>
      <c r="J102" s="1">
        <f>SUM(OSRRefE21_13x_2)</f>
        <v>0</v>
      </c>
      <c r="K102" s="1">
        <f>SUM(OSRRefE21_13x_3)</f>
        <v>5000</v>
      </c>
      <c r="L102" s="1">
        <f>SUM(OSRRefE21_13x_4)</f>
        <v>0</v>
      </c>
      <c r="M102" s="1">
        <f>SUM(OSRRefE21_13x_5)</f>
        <v>0</v>
      </c>
      <c r="N102" s="1">
        <f>SUM(OSRRefE21_13x_6)</f>
        <v>0</v>
      </c>
      <c r="O102" s="1">
        <f>SUM(OSRRefE21_13x_7)</f>
        <v>0</v>
      </c>
      <c r="Q102" s="2">
        <f>SUM(OSRRefD20_13x)+IFERROR(SUM(OSRRefE20_13x),0)</f>
        <v>5000</v>
      </c>
    </row>
    <row r="103" spans="1:17" s="34" customFormat="1" hidden="1" outlineLevel="1" x14ac:dyDescent="0.25">
      <c r="A103" s="35"/>
      <c r="B103" s="13" t="str">
        <f>CONCATENATE("          ","6376", " - ","TRAINING")</f>
        <v xml:space="preserve">          6376 - TRAINING</v>
      </c>
      <c r="C103" s="15"/>
      <c r="D103" s="2"/>
      <c r="E103" s="2"/>
      <c r="F103" s="2"/>
      <c r="G103" s="2"/>
      <c r="H103" s="2"/>
      <c r="I103" s="2"/>
      <c r="J103" s="2"/>
      <c r="K103" s="2">
        <v>5000</v>
      </c>
      <c r="L103" s="2"/>
      <c r="M103" s="2"/>
      <c r="N103" s="2"/>
      <c r="O103" s="2"/>
      <c r="P103" s="9"/>
      <c r="Q103" s="2">
        <f>SUM(OSRRefD21_13_0x)+IFERROR(SUM(OSRRefE21_13_0x),0)</f>
        <v>5000</v>
      </c>
    </row>
    <row r="104" spans="1:17" s="34" customFormat="1" collapsed="1" x14ac:dyDescent="0.25">
      <c r="A104" s="35"/>
      <c r="B104" s="15" t="str">
        <f>CONCATENATE("     ","Travel                                            ")</f>
        <v xml:space="preserve">     Travel                                            </v>
      </c>
      <c r="C104" s="15"/>
      <c r="D104" s="1">
        <f>SUM(OSRRefD21_14x_0)</f>
        <v>0.16</v>
      </c>
      <c r="E104" s="1">
        <f>SUM(OSRRefD21_14x_1)</f>
        <v>0</v>
      </c>
      <c r="F104" s="1">
        <f>SUM(OSRRefD21_14x_2)</f>
        <v>0</v>
      </c>
      <c r="G104" s="1">
        <f>SUM(OSRRefD21_14x_3)</f>
        <v>0</v>
      </c>
      <c r="H104" s="1">
        <f>SUM(OSRRefE21_14x_0)</f>
        <v>0</v>
      </c>
      <c r="I104" s="1">
        <f>SUM(OSRRefE21_14x_1)</f>
        <v>0</v>
      </c>
      <c r="J104" s="1">
        <f>SUM(OSRRefE21_14x_2)</f>
        <v>0</v>
      </c>
      <c r="K104" s="1">
        <f>SUM(OSRRefE21_14x_3)</f>
        <v>0</v>
      </c>
      <c r="L104" s="1">
        <f>SUM(OSRRefE21_14x_4)</f>
        <v>0</v>
      </c>
      <c r="M104" s="1">
        <f>SUM(OSRRefE21_14x_5)</f>
        <v>0</v>
      </c>
      <c r="N104" s="1">
        <f>SUM(OSRRefE21_14x_6)</f>
        <v>0</v>
      </c>
      <c r="O104" s="1">
        <f>SUM(OSRRefE21_14x_7)</f>
        <v>0</v>
      </c>
      <c r="Q104" s="2">
        <f>SUM(OSRRefD20_14x)+IFERROR(SUM(OSRRefE20_14x),0)</f>
        <v>0.16</v>
      </c>
    </row>
    <row r="105" spans="1:17" s="34" customFormat="1" hidden="1" outlineLevel="1" x14ac:dyDescent="0.25">
      <c r="A105" s="35"/>
      <c r="B105" s="13" t="str">
        <f>CONCATENATE("          ","6292", " - ","TRAVEL/CONFERENCE")</f>
        <v xml:space="preserve">          6292 - TRAVEL/CONFERENCE</v>
      </c>
      <c r="C105" s="15"/>
      <c r="D105" s="2">
        <v>0.16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9"/>
      <c r="Q105" s="2">
        <f>SUM(OSRRefD21_14_0x)+IFERROR(SUM(OSRRefE21_14_0x),0)</f>
        <v>0.16</v>
      </c>
    </row>
    <row r="106" spans="1:17" s="28" customFormat="1" x14ac:dyDescent="0.25">
      <c r="A106" s="20"/>
      <c r="B106" s="20"/>
      <c r="C106" s="20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Q106" s="1"/>
    </row>
    <row r="107" spans="1:17" s="9" customFormat="1" x14ac:dyDescent="0.25">
      <c r="A107" s="22"/>
      <c r="B107" s="16" t="s">
        <v>0</v>
      </c>
      <c r="C107" s="23"/>
      <c r="D107" s="3">
        <f>--2056.93</f>
        <v>2056.9299999999998</v>
      </c>
      <c r="E107" s="3">
        <f>--1890.48</f>
        <v>1890.48</v>
      </c>
      <c r="F107" s="3">
        <f>--156953.37</f>
        <v>156953.37</v>
      </c>
      <c r="G107" s="3">
        <f>--267.41</f>
        <v>267.41000000000003</v>
      </c>
      <c r="H107" s="3">
        <v>300</v>
      </c>
      <c r="I107" s="3">
        <v>2750</v>
      </c>
      <c r="J107" s="3">
        <v>6500</v>
      </c>
      <c r="K107" s="3">
        <v>91281</v>
      </c>
      <c r="L107" s="3">
        <v>300</v>
      </c>
      <c r="M107" s="3">
        <v>200</v>
      </c>
      <c r="N107" s="3">
        <v>2900</v>
      </c>
      <c r="O107" s="3">
        <v>3100</v>
      </c>
      <c r="Q107" s="2">
        <f>SUM(OSRRefD23_0x)+IFERROR(SUM(OSRRefE23_0x),0)</f>
        <v>268499.19</v>
      </c>
    </row>
    <row r="108" spans="1:17" x14ac:dyDescent="0.25">
      <c r="A108" s="5"/>
      <c r="B108" s="8"/>
      <c r="C108" s="8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Q108" s="3"/>
    </row>
    <row r="109" spans="1:17" s="14" customFormat="1" x14ac:dyDescent="0.25">
      <c r="A109" s="8"/>
      <c r="B109" s="17" t="s">
        <v>3</v>
      </c>
      <c r="C109" s="17"/>
      <c r="D109" s="6">
        <f t="shared" ref="D109:O109" si="6">IFERROR(+D47-D50+D107, 0)</f>
        <v>-23436.260000000017</v>
      </c>
      <c r="E109" s="6">
        <f t="shared" si="6"/>
        <v>186193.67999999988</v>
      </c>
      <c r="F109" s="6">
        <f t="shared" si="6"/>
        <v>175534.75000000006</v>
      </c>
      <c r="G109" s="6">
        <f t="shared" si="6"/>
        <v>-34106.719999999987</v>
      </c>
      <c r="H109" s="6">
        <f t="shared" si="6"/>
        <v>-39927.505273861527</v>
      </c>
      <c r="I109" s="6">
        <f t="shared" si="6"/>
        <v>-33140.210673861526</v>
      </c>
      <c r="J109" s="6">
        <f t="shared" si="6"/>
        <v>78736.238801173051</v>
      </c>
      <c r="K109" s="6">
        <f t="shared" si="6"/>
        <v>59740.950350388477</v>
      </c>
      <c r="L109" s="6">
        <f t="shared" si="6"/>
        <v>-40978.072049611525</v>
      </c>
      <c r="M109" s="6">
        <f t="shared" si="6"/>
        <v>-49030.782569826944</v>
      </c>
      <c r="N109" s="6">
        <f t="shared" si="6"/>
        <v>-43139.072558111526</v>
      </c>
      <c r="O109" s="6">
        <f t="shared" si="6"/>
        <v>-77816.888306236535</v>
      </c>
      <c r="Q109" s="6">
        <f>IFERROR(+Q47-Q50+Q107, 0)</f>
        <v>158630.1077200516</v>
      </c>
    </row>
    <row r="110" spans="1:17" s="8" customFormat="1" x14ac:dyDescent="0.25">
      <c r="B110" s="16"/>
      <c r="C110" s="16"/>
      <c r="D110" s="4">
        <f t="shared" ref="D110:O110" si="7">IFERROR(D109/D10, 0)</f>
        <v>-0.57527936430322679</v>
      </c>
      <c r="E110" s="4">
        <f t="shared" si="7"/>
        <v>0.22872181660324667</v>
      </c>
      <c r="F110" s="4">
        <f t="shared" si="7"/>
        <v>0.92880079733007059</v>
      </c>
      <c r="G110" s="4">
        <f t="shared" si="7"/>
        <v>-1.0700422724600285</v>
      </c>
      <c r="H110" s="4">
        <f t="shared" si="7"/>
        <v>-6.7593542024482014</v>
      </c>
      <c r="I110" s="4">
        <f t="shared" si="7"/>
        <v>-0.95576543444256579</v>
      </c>
      <c r="J110" s="4">
        <f t="shared" si="7"/>
        <v>0.13098713989072192</v>
      </c>
      <c r="K110" s="4">
        <f t="shared" si="7"/>
        <v>0.75674140668045442</v>
      </c>
      <c r="L110" s="4">
        <f t="shared" si="7"/>
        <v>-3.5132091949255422</v>
      </c>
      <c r="M110" s="4">
        <f t="shared" si="7"/>
        <v>-8.3300683944660108</v>
      </c>
      <c r="N110" s="4">
        <f t="shared" si="7"/>
        <v>-1.2484176691683266</v>
      </c>
      <c r="O110" s="4">
        <f t="shared" si="7"/>
        <v>-5.1943720917319629</v>
      </c>
      <c r="P110" s="18"/>
      <c r="Q110" s="4">
        <f>IFERROR(Q109/Q10, 0)</f>
        <v>8.5130461240449651E-2</v>
      </c>
    </row>
    <row r="111" spans="1:17" x14ac:dyDescent="0.25">
      <c r="A111" s="5"/>
      <c r="B111" s="8"/>
      <c r="C111" s="5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Q111" s="3"/>
    </row>
    <row r="112" spans="1:17" s="14" customFormat="1" x14ac:dyDescent="0.25">
      <c r="A112" s="25"/>
      <c r="B112" s="8" t="s">
        <v>8</v>
      </c>
      <c r="C112" s="8"/>
      <c r="D112" s="3">
        <v>19963.62</v>
      </c>
      <c r="E112" s="3">
        <v>124358.11000000002</v>
      </c>
      <c r="F112" s="3">
        <v>49045.84</v>
      </c>
      <c r="G112" s="3">
        <v>39644.76</v>
      </c>
      <c r="H112" s="3">
        <v>27954</v>
      </c>
      <c r="I112" s="3">
        <v>30849</v>
      </c>
      <c r="J112" s="3">
        <v>141180</v>
      </c>
      <c r="K112" s="3">
        <v>17823</v>
      </c>
      <c r="L112" s="3">
        <v>17578</v>
      </c>
      <c r="M112" s="3">
        <v>15928</v>
      </c>
      <c r="N112" s="3">
        <v>19402</v>
      </c>
      <c r="O112" s="3">
        <v>-42926</v>
      </c>
      <c r="Q112" s="2">
        <f>SUM(OSRRefD28_0x)+IFERROR(SUM(OSRRefE28_0x),0)</f>
        <v>460800.33</v>
      </c>
    </row>
    <row r="113" spans="1:17" x14ac:dyDescent="0.25">
      <c r="A113" s="5"/>
      <c r="B113" s="8"/>
      <c r="C113" s="8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s="14" customFormat="1" ht="15.75" thickBot="1" x14ac:dyDescent="0.3">
      <c r="A114" s="8"/>
      <c r="B114" s="17" t="s">
        <v>4</v>
      </c>
      <c r="C114" s="17"/>
      <c r="D114" s="7">
        <f t="shared" ref="D114:O114" si="8">IFERROR(+D109-D112, 0)</f>
        <v>-43399.880000000019</v>
      </c>
      <c r="E114" s="7">
        <f t="shared" si="8"/>
        <v>61835.569999999861</v>
      </c>
      <c r="F114" s="7">
        <f t="shared" si="8"/>
        <v>126488.91000000006</v>
      </c>
      <c r="G114" s="7">
        <f t="shared" si="8"/>
        <v>-73751.479999999981</v>
      </c>
      <c r="H114" s="7">
        <f t="shared" si="8"/>
        <v>-67881.50527386152</v>
      </c>
      <c r="I114" s="7">
        <f t="shared" si="8"/>
        <v>-63989.210673861526</v>
      </c>
      <c r="J114" s="7">
        <f t="shared" si="8"/>
        <v>-62443.761198826949</v>
      </c>
      <c r="K114" s="7">
        <f t="shared" si="8"/>
        <v>41917.950350388477</v>
      </c>
      <c r="L114" s="7">
        <f t="shared" si="8"/>
        <v>-58556.072049611525</v>
      </c>
      <c r="M114" s="7">
        <f t="shared" si="8"/>
        <v>-64958.782569826944</v>
      </c>
      <c r="N114" s="7">
        <f t="shared" si="8"/>
        <v>-62541.072558111526</v>
      </c>
      <c r="O114" s="7">
        <f t="shared" si="8"/>
        <v>-34890.888306236535</v>
      </c>
      <c r="Q114" s="7">
        <f>IFERROR(+Q109-Q112, 0)</f>
        <v>-302170.22227994842</v>
      </c>
    </row>
    <row r="115" spans="1:17" ht="15.75" thickTop="1" x14ac:dyDescent="0.25">
      <c r="A115" s="5"/>
      <c r="B115" s="5"/>
      <c r="C115" s="5"/>
      <c r="D115" s="4">
        <f t="shared" ref="D115:O115" si="9">IFERROR(D114/D10, 0)</f>
        <v>-1.0653173918208929</v>
      </c>
      <c r="E115" s="4">
        <f t="shared" si="9"/>
        <v>7.595931237353061E-2</v>
      </c>
      <c r="F115" s="4">
        <f t="shared" si="9"/>
        <v>0.66928628355018915</v>
      </c>
      <c r="G115" s="4">
        <f t="shared" si="9"/>
        <v>-2.313831446016807</v>
      </c>
      <c r="H115" s="4">
        <f t="shared" si="9"/>
        <v>-11.491705649883446</v>
      </c>
      <c r="I115" s="4">
        <f t="shared" si="9"/>
        <v>-1.8454522314662722</v>
      </c>
      <c r="J115" s="4">
        <f t="shared" si="9"/>
        <v>-0.10388265693143217</v>
      </c>
      <c r="K115" s="4">
        <f t="shared" si="9"/>
        <v>0.53097663373726611</v>
      </c>
      <c r="L115" s="4">
        <f t="shared" si="9"/>
        <v>-5.020239373252017</v>
      </c>
      <c r="M115" s="4">
        <f t="shared" si="9"/>
        <v>-11.036150623484021</v>
      </c>
      <c r="N115" s="4">
        <f t="shared" si="9"/>
        <v>-1.8098993650155266</v>
      </c>
      <c r="O115" s="4">
        <f t="shared" si="9"/>
        <v>-2.3290092988609929</v>
      </c>
      <c r="P115" s="18"/>
      <c r="Q115" s="4">
        <f>IFERROR(Q114/Q10, 0)</f>
        <v>-0.16216272412308008</v>
      </c>
    </row>
    <row r="116" spans="1:17" x14ac:dyDescent="0.25">
      <c r="A116" s="5"/>
      <c r="B116" s="5"/>
      <c r="C116" s="5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x14ac:dyDescent="0.25">
      <c r="A117" s="5"/>
      <c r="B117" s="5"/>
      <c r="C117" s="5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4" customFormat="1" ht="15.75" thickBot="1" x14ac:dyDescent="0.3">
      <c r="A118" s="8"/>
      <c r="B118" s="17" t="s">
        <v>5</v>
      </c>
      <c r="C118" s="17"/>
      <c r="D118" s="7">
        <f t="shared" ref="D118:O118" si="10">IFERROR(SUM(D114:D117), 0)</f>
        <v>-43400.945317391837</v>
      </c>
      <c r="E118" s="7">
        <f t="shared" si="10"/>
        <v>61835.645959312234</v>
      </c>
      <c r="F118" s="7">
        <f t="shared" si="10"/>
        <v>126489.57928628361</v>
      </c>
      <c r="G118" s="7">
        <f t="shared" si="10"/>
        <v>-73753.793831446004</v>
      </c>
      <c r="H118" s="7">
        <f t="shared" si="10"/>
        <v>-67892.996979511401</v>
      </c>
      <c r="I118" s="7">
        <f t="shared" si="10"/>
        <v>-63991.05612609299</v>
      </c>
      <c r="J118" s="7">
        <f t="shared" si="10"/>
        <v>-62443.865081483884</v>
      </c>
      <c r="K118" s="7">
        <f t="shared" si="10"/>
        <v>41918.481327022215</v>
      </c>
      <c r="L118" s="7">
        <f t="shared" si="10"/>
        <v>-58561.092288984779</v>
      </c>
      <c r="M118" s="7">
        <f t="shared" si="10"/>
        <v>-64969.818720450428</v>
      </c>
      <c r="N118" s="7">
        <f t="shared" si="10"/>
        <v>-62542.882457476539</v>
      </c>
      <c r="O118" s="7">
        <f t="shared" si="10"/>
        <v>-34893.217315535396</v>
      </c>
      <c r="Q118" s="7">
        <f>IFERROR(SUM(Q114:Q117), 0)</f>
        <v>-302170.38444267254</v>
      </c>
    </row>
    <row r="119" spans="1:17" ht="15.75" thickTop="1" x14ac:dyDescent="0.25">
      <c r="A119" s="5"/>
      <c r="C119" s="5"/>
      <c r="D119" s="4">
        <f t="shared" ref="D119:O119" si="11">IFERROR(D118/D10, 0)</f>
        <v>-1.0653435416891717</v>
      </c>
      <c r="E119" s="4">
        <f t="shared" si="11"/>
        <v>7.5959405682561904E-2</v>
      </c>
      <c r="F119" s="4">
        <f t="shared" si="11"/>
        <v>0.669289824920965</v>
      </c>
      <c r="G119" s="4">
        <f t="shared" si="11"/>
        <v>-2.3139040386747523</v>
      </c>
      <c r="H119" s="4">
        <f t="shared" si="11"/>
        <v>-11.493651088456307</v>
      </c>
      <c r="I119" s="4">
        <f t="shared" si="11"/>
        <v>-1.8455054544065579</v>
      </c>
      <c r="J119" s="4">
        <f t="shared" si="11"/>
        <v>-0.10388282975264289</v>
      </c>
      <c r="K119" s="4">
        <f t="shared" si="11"/>
        <v>0.53098335964307064</v>
      </c>
      <c r="L119" s="4">
        <f t="shared" si="11"/>
        <v>-5.0206697778622065</v>
      </c>
      <c r="M119" s="4">
        <f t="shared" si="11"/>
        <v>-11.038025606600481</v>
      </c>
      <c r="N119" s="4">
        <f t="shared" si="11"/>
        <v>-1.8099517423665616</v>
      </c>
      <c r="O119" s="4">
        <f t="shared" si="11"/>
        <v>-2.3291647630689138</v>
      </c>
      <c r="P119" s="18"/>
      <c r="Q119" s="4">
        <f>IFERROR(Q118/Q10, 0)</f>
        <v>-0.16216281114935588</v>
      </c>
    </row>
    <row r="120" spans="1:17" x14ac:dyDescent="0.25">
      <c r="A120" s="5"/>
      <c r="B120" s="26">
        <v>44151.564820104169</v>
      </c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Q120" s="12"/>
    </row>
    <row r="121" spans="1:17" x14ac:dyDescent="0.25">
      <c r="A121" s="5"/>
      <c r="B121" s="30" t="s">
        <v>311</v>
      </c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Q121" s="12"/>
    </row>
    <row r="122" spans="1:17" x14ac:dyDescent="0.25">
      <c r="A122" s="5"/>
      <c r="B122" s="31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Q122" s="12"/>
    </row>
    <row r="123" spans="1:17" x14ac:dyDescent="0.25"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Q123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6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","324", " - ", "Textbook Rental")</f>
        <v>Department 324 - Textbook Rental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7299.64</v>
      </c>
      <c r="E10" s="3">
        <f>SUM(OSRRefD11x_1)</f>
        <v>412046.82</v>
      </c>
      <c r="F10" s="3">
        <f>SUM(OSRRefD11x_2)</f>
        <v>48384.93</v>
      </c>
      <c r="G10" s="3">
        <f>SUM(OSRRefD11x_3)</f>
        <v>2309.06</v>
      </c>
      <c r="H10" s="3">
        <f>SUM(OSRRefE11x_0)</f>
        <v>306</v>
      </c>
      <c r="I10" s="3">
        <f>SUM(OSRRefE11x_1)</f>
        <v>100</v>
      </c>
      <c r="J10" s="3">
        <f>SUM(OSRRefE11x_2)</f>
        <v>299927.10000000003</v>
      </c>
      <c r="K10" s="3">
        <f>SUM(OSRRefE11x_3)</f>
        <v>29946.400000000001</v>
      </c>
      <c r="L10" s="3">
        <f>SUM(OSRRefE11x_4)</f>
        <v>1941.5</v>
      </c>
      <c r="M10" s="3">
        <f>SUM(OSRRefE11x_5)</f>
        <v>1133.55</v>
      </c>
      <c r="N10" s="3">
        <f>SUM(OSRRefE11x_6)</f>
        <v>6187.5</v>
      </c>
      <c r="O10" s="3">
        <f>SUM(OSRRefE11x_7)</f>
        <v>-3565.1</v>
      </c>
      <c r="P10" s="24"/>
      <c r="Q10" s="3">
        <f>SUM(OSRRefG11x)</f>
        <v>806017.40000000014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G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v>306</v>
      </c>
      <c r="I11" s="2">
        <v>100</v>
      </c>
      <c r="J11" s="2">
        <v>299927.10000000003</v>
      </c>
      <c r="K11" s="2">
        <v>29946.400000000001</v>
      </c>
      <c r="L11" s="2">
        <v>1941.5</v>
      </c>
      <c r="M11" s="2">
        <v>1133.55</v>
      </c>
      <c r="N11" s="2">
        <v>6187.5</v>
      </c>
      <c r="O11" s="2">
        <v>-3565.1</v>
      </c>
      <c r="Q11" s="2">
        <f>SUM(OSRRefD11_0x)+IFERROR(SUM(OSRRefE11_0x),0)</f>
        <v>335976.95000000007</v>
      </c>
    </row>
    <row r="12" spans="1:18" s="9" customFormat="1" hidden="1" outlineLevel="1" x14ac:dyDescent="0.2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--1912.95</f>
        <v>1912.95</v>
      </c>
      <c r="E12" s="2">
        <f>--145338.32</f>
        <v>145338.32</v>
      </c>
      <c r="F12" s="2">
        <f>--23703.39</f>
        <v>23703.39</v>
      </c>
      <c r="G12" s="2">
        <f>--1274.3</f>
        <v>1274.3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172228.96000000002</v>
      </c>
    </row>
    <row r="13" spans="1:18" s="9" customFormat="1" hidden="1" outlineLevel="1" x14ac:dyDescent="0.2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--2348.39</f>
        <v>2348.39</v>
      </c>
      <c r="E13" s="2">
        <f>--116348.47</f>
        <v>116348.47</v>
      </c>
      <c r="F13" s="2">
        <f>--13735.85</f>
        <v>13735.85</v>
      </c>
      <c r="G13" s="2">
        <f>--898.97</f>
        <v>898.97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133331.68</v>
      </c>
    </row>
    <row r="14" spans="1:18" s="9" customFormat="1" hidden="1" outlineLevel="1" x14ac:dyDescent="0.25">
      <c r="A14" s="22"/>
      <c r="B14" s="13" t="str">
        <f>CONCATENATE("          ","4100", " - ","NON-TAXABLE SALES")</f>
        <v xml:space="preserve">          4100 - NON-TAXABLE SALES</v>
      </c>
      <c r="C14" s="23"/>
      <c r="D14" s="2">
        <f>--3038.3</f>
        <v>3038.3</v>
      </c>
      <c r="E14" s="2">
        <f>--150360.03</f>
        <v>150360.03</v>
      </c>
      <c r="F14" s="2">
        <f>--10945.69</f>
        <v>10945.69</v>
      </c>
      <c r="G14" s="2">
        <f>--135.79</f>
        <v>135.79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164479.81</v>
      </c>
    </row>
    <row r="15" spans="1:18" x14ac:dyDescent="0.2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290</v>
      </c>
      <c r="C16" s="23"/>
      <c r="D16" s="3">
        <f>SUM(OSRRefD14x_0)</f>
        <v>4729.28</v>
      </c>
      <c r="E16" s="3">
        <f>SUM(OSRRefD14x_1)</f>
        <v>310994.06</v>
      </c>
      <c r="F16" s="3">
        <f>SUM(OSRRefD14x_2)</f>
        <v>26803.5</v>
      </c>
      <c r="G16" s="3">
        <f>SUM(OSRRefD14x_3)</f>
        <v>1259.5</v>
      </c>
      <c r="H16" s="3">
        <f>SUM(OSRRefE14x_0)</f>
        <v>227</v>
      </c>
      <c r="I16" s="3">
        <f>SUM(OSRRefE14x_1)</f>
        <v>74</v>
      </c>
      <c r="J16" s="3">
        <f>SUM(OSRRefE14x_2)</f>
        <v>228806</v>
      </c>
      <c r="K16" s="3">
        <f>SUM(OSRRefE14x_3)</f>
        <v>22243</v>
      </c>
      <c r="L16" s="3">
        <f>SUM(OSRRefE14x_4)</f>
        <v>1442</v>
      </c>
      <c r="M16" s="3">
        <f>SUM(OSRRefE14x_5)</f>
        <v>842</v>
      </c>
      <c r="N16" s="3">
        <f>SUM(OSRRefE14x_6)</f>
        <v>4596</v>
      </c>
      <c r="O16" s="3">
        <f>SUM(OSRRefE14x_7)</f>
        <v>-2648</v>
      </c>
      <c r="Q16" s="3">
        <f>SUM(OSRRefG14x)</f>
        <v>599368.34</v>
      </c>
    </row>
    <row r="17" spans="1:17" s="9" customFormat="1" hidden="1" outlineLevel="1" x14ac:dyDescent="0.25">
      <c r="A17" s="22"/>
      <c r="B17" s="13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>
        <v>227</v>
      </c>
      <c r="I17" s="2">
        <v>74</v>
      </c>
      <c r="J17" s="2">
        <v>228806</v>
      </c>
      <c r="K17" s="2">
        <v>22243</v>
      </c>
      <c r="L17" s="2">
        <v>1442</v>
      </c>
      <c r="M17" s="2">
        <v>842</v>
      </c>
      <c r="N17" s="2">
        <v>4596</v>
      </c>
      <c r="O17" s="2">
        <v>-2648</v>
      </c>
      <c r="Q17" s="2">
        <f>SUM(OSRRefD14_0x)+IFERROR(SUM(OSRRefE14_0x),0)</f>
        <v>255582</v>
      </c>
    </row>
    <row r="18" spans="1:17" s="9" customFormat="1" hidden="1" outlineLevel="1" x14ac:dyDescent="0.25">
      <c r="A18" s="22"/>
      <c r="B18" s="13" t="str">
        <f>CONCATENATE("          ","5001", " - ","PURCHASES @ COST-NEW TEXT")</f>
        <v xml:space="preserve">          5001 - PURCHASES @ COST-NEW TEXT</v>
      </c>
      <c r="C18" s="23"/>
      <c r="D18" s="2">
        <v>1653.22</v>
      </c>
      <c r="E18" s="2">
        <v>174735.64</v>
      </c>
      <c r="F18" s="2">
        <v>26803.5</v>
      </c>
      <c r="G18" s="2">
        <v>1259.5</v>
      </c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204451.86000000002</v>
      </c>
    </row>
    <row r="19" spans="1:17" s="9" customFormat="1" hidden="1" outlineLevel="1" x14ac:dyDescent="0.25">
      <c r="A19" s="22"/>
      <c r="B19" s="13" t="str">
        <f>CONCATENATE("          ","5002", " - ","PURCHASES @ COST-USED TEXT")</f>
        <v xml:space="preserve">          5002 - PURCHASES @ COST-USED TEXT</v>
      </c>
      <c r="C19" s="23"/>
      <c r="D19" s="2">
        <v>3076.06</v>
      </c>
      <c r="E19" s="2">
        <v>136258.41999999998</v>
      </c>
      <c r="F19" s="2"/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139334.47999999998</v>
      </c>
    </row>
    <row r="20" spans="1:17" x14ac:dyDescent="0.2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25">
      <c r="A21" s="8"/>
      <c r="B21" s="17" t="s">
        <v>6</v>
      </c>
      <c r="C21" s="17"/>
      <c r="D21" s="6">
        <f t="shared" ref="D21:O21" si="1">IFERROR(+D10-D16, 0)</f>
        <v>2570.3600000000006</v>
      </c>
      <c r="E21" s="6">
        <f t="shared" si="1"/>
        <v>101052.76000000001</v>
      </c>
      <c r="F21" s="6">
        <f t="shared" si="1"/>
        <v>21581.43</v>
      </c>
      <c r="G21" s="6">
        <f t="shared" si="1"/>
        <v>1049.56</v>
      </c>
      <c r="H21" s="6">
        <f t="shared" si="1"/>
        <v>79</v>
      </c>
      <c r="I21" s="6">
        <f t="shared" si="1"/>
        <v>26</v>
      </c>
      <c r="J21" s="6">
        <f t="shared" si="1"/>
        <v>71121.100000000035</v>
      </c>
      <c r="K21" s="6">
        <f t="shared" si="1"/>
        <v>7703.4000000000015</v>
      </c>
      <c r="L21" s="6">
        <f t="shared" si="1"/>
        <v>499.5</v>
      </c>
      <c r="M21" s="6">
        <f t="shared" si="1"/>
        <v>291.54999999999995</v>
      </c>
      <c r="N21" s="6">
        <f t="shared" si="1"/>
        <v>1591.5</v>
      </c>
      <c r="O21" s="6">
        <f t="shared" si="1"/>
        <v>-917.09999999999991</v>
      </c>
      <c r="Q21" s="6">
        <f>IFERROR(+Q10-Q16, 0)</f>
        <v>206649.06000000017</v>
      </c>
    </row>
    <row r="22" spans="1:17" s="8" customFormat="1" x14ac:dyDescent="0.25">
      <c r="B22" s="16"/>
      <c r="C22" s="16"/>
      <c r="D22" s="4">
        <f t="shared" ref="D22:O22" si="2">IFERROR(D21/D10, 0)</f>
        <v>0.35212147448367326</v>
      </c>
      <c r="E22" s="4">
        <f t="shared" si="2"/>
        <v>0.24524581939499013</v>
      </c>
      <c r="F22" s="4">
        <f t="shared" si="2"/>
        <v>0.44603619350074497</v>
      </c>
      <c r="G22" s="4">
        <f t="shared" si="2"/>
        <v>0.45453994266064979</v>
      </c>
      <c r="H22" s="4">
        <f t="shared" si="2"/>
        <v>0.2581699346405229</v>
      </c>
      <c r="I22" s="4">
        <f t="shared" si="2"/>
        <v>0.26</v>
      </c>
      <c r="J22" s="4">
        <f t="shared" si="2"/>
        <v>0.23712795542650206</v>
      </c>
      <c r="K22" s="4">
        <f t="shared" si="2"/>
        <v>0.25723960142120594</v>
      </c>
      <c r="L22" s="4">
        <f t="shared" si="2"/>
        <v>0.25727530260108161</v>
      </c>
      <c r="M22" s="4">
        <f t="shared" si="2"/>
        <v>0.25720082925323096</v>
      </c>
      <c r="N22" s="4">
        <f t="shared" si="2"/>
        <v>0.25721212121212123</v>
      </c>
      <c r="O22" s="4">
        <f t="shared" si="2"/>
        <v>0.25724383607752938</v>
      </c>
      <c r="P22" s="18"/>
      <c r="Q22" s="4">
        <f>IFERROR(Q21/Q10, 0)</f>
        <v>0.25638287709421675</v>
      </c>
    </row>
    <row r="23" spans="1:17" x14ac:dyDescent="0.2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25">
      <c r="A24" s="8"/>
      <c r="B24" s="16" t="s">
        <v>291</v>
      </c>
      <c r="C24" s="8"/>
      <c r="D24" s="10">
        <f>SUM(OSRRefD20x_0)</f>
        <v>0</v>
      </c>
      <c r="E24" s="10">
        <f>SUM(OSRRefD20x_1)</f>
        <v>0</v>
      </c>
      <c r="F24" s="10">
        <f>SUM(OSRRefD20x_2)</f>
        <v>0</v>
      </c>
      <c r="G24" s="10">
        <f>SUM(OSRRefD20x_3)</f>
        <v>0</v>
      </c>
      <c r="H24" s="10">
        <f>SUM(OSRRefE20x_0)</f>
        <v>0</v>
      </c>
      <c r="I24" s="10">
        <f>SUM(OSRRefE20x_1)</f>
        <v>0</v>
      </c>
      <c r="J24" s="10">
        <f>SUM(OSRRefE20x_2)</f>
        <v>0</v>
      </c>
      <c r="K24" s="10">
        <f>SUM(OSRRefE20x_3)</f>
        <v>0</v>
      </c>
      <c r="L24" s="10">
        <f>SUM(OSRRefE20x_4)</f>
        <v>0</v>
      </c>
      <c r="M24" s="10">
        <f>SUM(OSRRefE20x_5)</f>
        <v>0</v>
      </c>
      <c r="N24" s="10">
        <f>SUM(OSRRefE20x_6)</f>
        <v>0</v>
      </c>
      <c r="O24" s="10">
        <f>SUM(OSRRefE20x_7)</f>
        <v>0</v>
      </c>
      <c r="Q24" s="10">
        <f>SUM(OSRRefG20x)</f>
        <v>0</v>
      </c>
    </row>
    <row r="25" spans="1:17" s="34" customFormat="1" collapsed="1" x14ac:dyDescent="0.25">
      <c r="A25" s="35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0</v>
      </c>
      <c r="E25" s="1">
        <f>SUM(OSRRefD21_0x_1)</f>
        <v>0</v>
      </c>
      <c r="F25" s="1">
        <f>SUM(OSRRefD21_0x_2)</f>
        <v>0</v>
      </c>
      <c r="G25" s="1">
        <f>SUM(OSRRefD21_0x_3)</f>
        <v>0</v>
      </c>
      <c r="H25" s="1">
        <f>SUM(OSRRefE21_0x_0)</f>
        <v>0</v>
      </c>
      <c r="I25" s="1">
        <f>SUM(OSRRefE21_0x_1)</f>
        <v>0</v>
      </c>
      <c r="J25" s="1">
        <f>SUM(OSRRefE21_0x_2)</f>
        <v>0</v>
      </c>
      <c r="K25" s="1">
        <f>SUM(OSRRefE21_0x_3)</f>
        <v>0</v>
      </c>
      <c r="L25" s="1">
        <f>SUM(OSRRefE21_0x_4)</f>
        <v>0</v>
      </c>
      <c r="M25" s="1">
        <f>SUM(OSRRefE21_0x_5)</f>
        <v>0</v>
      </c>
      <c r="N25" s="1">
        <f>SUM(OSRRefE21_0x_6)</f>
        <v>0</v>
      </c>
      <c r="O25" s="1">
        <f>SUM(OSRRefE21_0x_7)</f>
        <v>0</v>
      </c>
      <c r="Q25" s="2">
        <f>SUM(OSRRefD20_0x)+IFERROR(SUM(OSRRefE20_0x),0)</f>
        <v>0</v>
      </c>
    </row>
    <row r="26" spans="1:17" s="34" customFormat="1" hidden="1" outlineLevel="1" x14ac:dyDescent="0.25">
      <c r="A26" s="35"/>
      <c r="B26" s="13" t="str">
        <f>CONCATENATE("          ","6111", " - ","F.I.C.A.")</f>
        <v xml:space="preserve">          6111 - F.I.C.A.</v>
      </c>
      <c r="C26" s="15"/>
      <c r="D26" s="2"/>
      <c r="E26" s="2"/>
      <c r="F26" s="2"/>
      <c r="G26" s="2"/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SUM(OSRRefD21_0_0x)+IFERROR(SUM(OSRRefE21_0_0x),0)</f>
        <v>0</v>
      </c>
    </row>
    <row r="27" spans="1:17" s="34" customFormat="1" hidden="1" outlineLevel="1" x14ac:dyDescent="0.25">
      <c r="A27" s="35"/>
      <c r="B27" s="13" t="str">
        <f>CONCATENATE("          ","6112", " - ","COMPENSATION INSURANCE")</f>
        <v xml:space="preserve">          6112 - COMPENSATION INSURANCE</v>
      </c>
      <c r="C27" s="15"/>
      <c r="D27" s="2"/>
      <c r="E27" s="2"/>
      <c r="F27" s="2"/>
      <c r="G27" s="2"/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SUM(OSRRefD21_0_1x)+IFERROR(SUM(OSRRefE21_0_1x),0)</f>
        <v>0</v>
      </c>
    </row>
    <row r="28" spans="1:17" s="34" customFormat="1" hidden="1" outlineLevel="1" x14ac:dyDescent="0.25">
      <c r="A28" s="35"/>
      <c r="B28" s="13" t="str">
        <f>CONCATENATE("          ","6113", " - ","GROUP INSURANCE")</f>
        <v xml:space="preserve">          6113 - GROUP INSURANCE</v>
      </c>
      <c r="C28" s="15"/>
      <c r="D28" s="2"/>
      <c r="E28" s="2"/>
      <c r="F28" s="2"/>
      <c r="G28" s="2"/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SUM(OSRRefD21_0_2x)+IFERROR(SUM(OSRRefE21_0_2x),0)</f>
        <v>0</v>
      </c>
    </row>
    <row r="29" spans="1:17" s="34" customFormat="1" hidden="1" outlineLevel="1" x14ac:dyDescent="0.25">
      <c r="A29" s="35"/>
      <c r="B29" s="13" t="str">
        <f>CONCATENATE("          ","6114", " - ","STATE UNEMPLOYMENT INSURANCE")</f>
        <v xml:space="preserve">          6114 - STATE UNEMPLOYMENT INSURANCE</v>
      </c>
      <c r="C29" s="15"/>
      <c r="D29" s="2"/>
      <c r="E29" s="2"/>
      <c r="F29" s="2"/>
      <c r="G29" s="2"/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SUM(OSRRefD21_0_3x)+IFERROR(SUM(OSRRefE21_0_3x),0)</f>
        <v>0</v>
      </c>
    </row>
    <row r="30" spans="1:17" s="34" customFormat="1" hidden="1" outlineLevel="1" x14ac:dyDescent="0.25">
      <c r="A30" s="35"/>
      <c r="B30" s="13" t="str">
        <f>CONCATENATE("          ","6115", " - ","P.E.R.S.")</f>
        <v xml:space="preserve">          6115 - P.E.R.S.</v>
      </c>
      <c r="C30" s="15"/>
      <c r="D30" s="2"/>
      <c r="E30" s="2"/>
      <c r="F30" s="2"/>
      <c r="G30" s="2"/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SUM(OSRRefD21_0_4x)+IFERROR(SUM(OSRRefE21_0_4x),0)</f>
        <v>0</v>
      </c>
    </row>
    <row r="31" spans="1:17" s="34" customFormat="1" hidden="1" outlineLevel="1" x14ac:dyDescent="0.25">
      <c r="A31" s="35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25">
      <c r="A32" s="35"/>
      <c r="B32" s="13" t="str">
        <f>CONCATENATE("          ","6118", " - ","VACATION")</f>
        <v xml:space="preserve">          6118 - VACATION</v>
      </c>
      <c r="C32" s="15"/>
      <c r="D32" s="2"/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SUM(OSRRefD21_0_6x)+IFERROR(SUM(OSRRefE21_0_6x),0)</f>
        <v>0</v>
      </c>
    </row>
    <row r="33" spans="1:17" s="34" customFormat="1" hidden="1" outlineLevel="1" x14ac:dyDescent="0.25">
      <c r="A33" s="35"/>
      <c r="B33" s="13" t="str">
        <f>CONCATENATE("          ","6119", " - ","SICK LEAVE")</f>
        <v xml:space="preserve">          6119 - SICK LEAVE</v>
      </c>
      <c r="C33" s="15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SUM(OSRRefD21_0_7x)+IFERROR(SUM(OSRRefE21_0_7x),0)</f>
        <v>0</v>
      </c>
    </row>
    <row r="34" spans="1:17" s="34" customFormat="1" collapsed="1" x14ac:dyDescent="0.25">
      <c r="A34" s="35"/>
      <c r="B34" s="15" t="str">
        <f>CONCATENATE("     ","*Payroll                                          ")</f>
        <v xml:space="preserve">     *Payroll                                          </v>
      </c>
      <c r="C34" s="15"/>
      <c r="D34" s="1">
        <f>SUM(OSRRefD21_1x_0)</f>
        <v>0</v>
      </c>
      <c r="E34" s="1">
        <f>SUM(OSRRefD21_1x_1)</f>
        <v>0</v>
      </c>
      <c r="F34" s="1">
        <f>SUM(OSRRefD21_1x_2)</f>
        <v>0</v>
      </c>
      <c r="G34" s="1">
        <f>SUM(OSRRefD21_1x_3)</f>
        <v>0</v>
      </c>
      <c r="H34" s="1">
        <f>SUM(OSRRefE21_1x_0)</f>
        <v>0</v>
      </c>
      <c r="I34" s="1">
        <f>SUM(OSRRefE21_1x_1)</f>
        <v>0</v>
      </c>
      <c r="J34" s="1">
        <f>SUM(OSRRefE21_1x_2)</f>
        <v>0</v>
      </c>
      <c r="K34" s="1">
        <f>SUM(OSRRefE21_1x_3)</f>
        <v>0</v>
      </c>
      <c r="L34" s="1">
        <f>SUM(OSRRefE21_1x_4)</f>
        <v>0</v>
      </c>
      <c r="M34" s="1">
        <f>SUM(OSRRefE21_1x_5)</f>
        <v>0</v>
      </c>
      <c r="N34" s="1">
        <f>SUM(OSRRefE21_1x_6)</f>
        <v>0</v>
      </c>
      <c r="O34" s="1">
        <f>SUM(OSRRefE21_1x_7)</f>
        <v>0</v>
      </c>
      <c r="Q34" s="2">
        <f>SUM(OSRRefD20_1x)+IFERROR(SUM(OSRRefE20_1x),0)</f>
        <v>0</v>
      </c>
    </row>
    <row r="35" spans="1:17" s="34" customFormat="1" hidden="1" outlineLevel="1" x14ac:dyDescent="0.25">
      <c r="A35" s="35"/>
      <c r="B35" s="13" t="str">
        <f>CONCATENATE("          ","6001", " - ","ADMINISTRATIVE SALARIES")</f>
        <v xml:space="preserve">          6001 - ADMINISTRATIVE SALARIES</v>
      </c>
      <c r="C35" s="15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SUM(OSRRefD21_1_0x)+IFERROR(SUM(OSRRefE21_1_0x),0)</f>
        <v>0</v>
      </c>
    </row>
    <row r="36" spans="1:17" s="34" customFormat="1" hidden="1" outlineLevel="1" x14ac:dyDescent="0.25">
      <c r="A36" s="35"/>
      <c r="B36" s="13" t="str">
        <f>CONCATENATE("          ","6002", " - ","STAFF SALARIES")</f>
        <v xml:space="preserve">          6002 - STAFF SALARIES</v>
      </c>
      <c r="C36" s="15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SUM(OSRRefD21_1_1x)+IFERROR(SUM(OSRRefE21_1_1x),0)</f>
        <v>0</v>
      </c>
    </row>
    <row r="37" spans="1:17" s="34" customFormat="1" hidden="1" outlineLevel="1" x14ac:dyDescent="0.25">
      <c r="A37" s="35"/>
      <c r="B37" s="13" t="str">
        <f>CONCATENATE("          ","6003", " - ","STAFF HOURLY-9 MONTH")</f>
        <v xml:space="preserve">          6003 - STAFF HOURLY-9 MONTH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SUM(OSRRefD21_1_2x)+IFERROR(SUM(OSRRefE21_1_2x),0)</f>
        <v>0</v>
      </c>
    </row>
    <row r="38" spans="1:17" s="34" customFormat="1" hidden="1" outlineLevel="1" x14ac:dyDescent="0.25">
      <c r="A38" s="35"/>
      <c r="B38" s="13" t="str">
        <f>CONCATENATE("          ","6004", " - ","STAFF HOURLY")</f>
        <v xml:space="preserve">          6004 - STAFF HOURLY</v>
      </c>
      <c r="C38" s="15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SUM(OSRRefD21_1_3x)+IFERROR(SUM(OSRRefE21_1_3x),0)</f>
        <v>0</v>
      </c>
    </row>
    <row r="39" spans="1:17" s="34" customFormat="1" hidden="1" outlineLevel="1" x14ac:dyDescent="0.25">
      <c r="A39" s="35"/>
      <c r="B39" s="13" t="str">
        <f>CONCATENATE("          ","6005", " - ","TEMPORARY WAGES-HOURLY")</f>
        <v xml:space="preserve">          6005 - TEMPORARY WAGES-HOURLY</v>
      </c>
      <c r="C39" s="15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SUM(OSRRefD21_1_4x)+IFERROR(SUM(OSRRefE21_1_4x),0)</f>
        <v>0</v>
      </c>
    </row>
    <row r="40" spans="1:17" s="34" customFormat="1" hidden="1" outlineLevel="1" x14ac:dyDescent="0.25">
      <c r="A40" s="35"/>
      <c r="B40" s="13" t="str">
        <f>CONCATENATE("          ","6006", " - ","TEMPORARY PART TIME")</f>
        <v xml:space="preserve">          6006 - TEMPORARY PART TIME</v>
      </c>
      <c r="C40" s="15"/>
      <c r="D40" s="2"/>
      <c r="E40" s="2"/>
      <c r="F40" s="2"/>
      <c r="G40" s="2"/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SUM(OSRRefD21_1_5x)+IFERROR(SUM(OSRRefE21_1_5x),0)</f>
        <v>0</v>
      </c>
    </row>
    <row r="41" spans="1:17" s="34" customFormat="1" hidden="1" outlineLevel="1" x14ac:dyDescent="0.25">
      <c r="A41" s="35"/>
      <c r="B41" s="13" t="str">
        <f>CONCATENATE("          ","6007", " - ","STUDENT HOURLY")</f>
        <v xml:space="preserve">          6007 - STUDENT HOURLY</v>
      </c>
      <c r="C41" s="15"/>
      <c r="D41" s="2"/>
      <c r="E41" s="2"/>
      <c r="F41" s="2"/>
      <c r="G41" s="2"/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SUM(OSRRefD21_1_6x)+IFERROR(SUM(OSRRefE21_1_6x),0)</f>
        <v>0</v>
      </c>
    </row>
    <row r="42" spans="1:17" s="34" customFormat="1" hidden="1" outlineLevel="1" x14ac:dyDescent="0.25">
      <c r="A42" s="35"/>
      <c r="B42" s="13" t="str">
        <f>CONCATENATE("          ","6008", " - ","STUDENT HOURLY-FICA EXEMPT")</f>
        <v xml:space="preserve">          6008 - STUDENT HOURLY-FICA EXEMPT</v>
      </c>
      <c r="C42" s="15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SUM(OSRRefD21_1_7x)+IFERROR(SUM(OSRRefE21_1_7x),0)</f>
        <v>0</v>
      </c>
    </row>
    <row r="43" spans="1:17" s="34" customFormat="1" hidden="1" outlineLevel="1" x14ac:dyDescent="0.25">
      <c r="A43" s="35"/>
      <c r="B43" s="13" t="str">
        <f>CONCATENATE("          ","6009", " - ","TEMPORARY-SEASONAL")</f>
        <v xml:space="preserve">          6009 - TEMPORARY-SEASONAL</v>
      </c>
      <c r="C43" s="15"/>
      <c r="D43" s="2"/>
      <c r="E43" s="2"/>
      <c r="F43" s="2"/>
      <c r="G43" s="2"/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SUM(OSRRefD21_1_8x)+IFERROR(SUM(OSRRefE21_1_8x),0)</f>
        <v>0</v>
      </c>
    </row>
    <row r="44" spans="1:17" s="34" customFormat="1" hidden="1" outlineLevel="1" x14ac:dyDescent="0.25">
      <c r="A44" s="35"/>
      <c r="B44" s="13" t="str">
        <f>CONCATENATE("          ","6010", " - ","GRATUITY")</f>
        <v xml:space="preserve">          6010 - GRATUITY</v>
      </c>
      <c r="C44" s="15"/>
      <c r="D44" s="2"/>
      <c r="E44" s="2"/>
      <c r="F44" s="2"/>
      <c r="G44" s="2"/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SUM(OSRRefD21_1_9x)+IFERROR(SUM(OSRRefE21_1_9x),0)</f>
        <v>0</v>
      </c>
    </row>
    <row r="45" spans="1:17" s="28" customFormat="1" x14ac:dyDescent="0.25">
      <c r="A45" s="20"/>
      <c r="B45" s="20"/>
      <c r="C45" s="20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Q45" s="1"/>
    </row>
    <row r="46" spans="1:17" s="9" customFormat="1" x14ac:dyDescent="0.25">
      <c r="A46" s="22"/>
      <c r="B46" s="16" t="s">
        <v>0</v>
      </c>
      <c r="C46" s="23"/>
      <c r="D46" s="3">
        <f t="shared" ref="D46:G46" si="3">0</f>
        <v>0</v>
      </c>
      <c r="E46" s="3">
        <f t="shared" si="3"/>
        <v>0</v>
      </c>
      <c r="F46" s="3">
        <f t="shared" si="3"/>
        <v>0</v>
      </c>
      <c r="G46" s="3">
        <f t="shared" si="3"/>
        <v>0</v>
      </c>
      <c r="H46" s="3"/>
      <c r="I46" s="3"/>
      <c r="J46" s="3"/>
      <c r="K46" s="3"/>
      <c r="L46" s="3"/>
      <c r="M46" s="3"/>
      <c r="N46" s="3"/>
      <c r="O46" s="3"/>
      <c r="Q46" s="2">
        <f>SUM(OSRRefD23_0x)+IFERROR(SUM(OSRRefE23_0x),0)</f>
        <v>0</v>
      </c>
    </row>
    <row r="47" spans="1:17" x14ac:dyDescent="0.25">
      <c r="A47" s="5"/>
      <c r="B47" s="8"/>
      <c r="C47" s="8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Q47" s="3"/>
    </row>
    <row r="48" spans="1:17" s="14" customFormat="1" x14ac:dyDescent="0.25">
      <c r="A48" s="8"/>
      <c r="B48" s="17" t="s">
        <v>3</v>
      </c>
      <c r="C48" s="17"/>
      <c r="D48" s="6">
        <f t="shared" ref="D48:O48" si="4">IFERROR(+D21-D24+D46, 0)</f>
        <v>2570.3600000000006</v>
      </c>
      <c r="E48" s="6">
        <f t="shared" si="4"/>
        <v>101052.76000000001</v>
      </c>
      <c r="F48" s="6">
        <f t="shared" si="4"/>
        <v>21581.43</v>
      </c>
      <c r="G48" s="6">
        <f t="shared" si="4"/>
        <v>1049.56</v>
      </c>
      <c r="H48" s="6">
        <f t="shared" si="4"/>
        <v>79</v>
      </c>
      <c r="I48" s="6">
        <f t="shared" si="4"/>
        <v>26</v>
      </c>
      <c r="J48" s="6">
        <f t="shared" si="4"/>
        <v>71121.100000000035</v>
      </c>
      <c r="K48" s="6">
        <f t="shared" si="4"/>
        <v>7703.4000000000015</v>
      </c>
      <c r="L48" s="6">
        <f t="shared" si="4"/>
        <v>499.5</v>
      </c>
      <c r="M48" s="6">
        <f t="shared" si="4"/>
        <v>291.54999999999995</v>
      </c>
      <c r="N48" s="6">
        <f t="shared" si="4"/>
        <v>1591.5</v>
      </c>
      <c r="O48" s="6">
        <f t="shared" si="4"/>
        <v>-917.09999999999991</v>
      </c>
      <c r="Q48" s="6">
        <f>IFERROR(+Q21-Q24+Q46, 0)</f>
        <v>206649.06000000017</v>
      </c>
    </row>
    <row r="49" spans="1:17" s="8" customFormat="1" x14ac:dyDescent="0.25">
      <c r="B49" s="16"/>
      <c r="C49" s="16"/>
      <c r="D49" s="4">
        <f t="shared" ref="D49:O49" si="5">IFERROR(D48/D10, 0)</f>
        <v>0.35212147448367326</v>
      </c>
      <c r="E49" s="4">
        <f t="shared" si="5"/>
        <v>0.24524581939499013</v>
      </c>
      <c r="F49" s="4">
        <f t="shared" si="5"/>
        <v>0.44603619350074497</v>
      </c>
      <c r="G49" s="4">
        <f t="shared" si="5"/>
        <v>0.45453994266064979</v>
      </c>
      <c r="H49" s="4">
        <f t="shared" si="5"/>
        <v>0.2581699346405229</v>
      </c>
      <c r="I49" s="4">
        <f t="shared" si="5"/>
        <v>0.26</v>
      </c>
      <c r="J49" s="4">
        <f t="shared" si="5"/>
        <v>0.23712795542650206</v>
      </c>
      <c r="K49" s="4">
        <f t="shared" si="5"/>
        <v>0.25723960142120594</v>
      </c>
      <c r="L49" s="4">
        <f t="shared" si="5"/>
        <v>0.25727530260108161</v>
      </c>
      <c r="M49" s="4">
        <f t="shared" si="5"/>
        <v>0.25720082925323096</v>
      </c>
      <c r="N49" s="4">
        <f t="shared" si="5"/>
        <v>0.25721212121212123</v>
      </c>
      <c r="O49" s="4">
        <f t="shared" si="5"/>
        <v>0.25724383607752938</v>
      </c>
      <c r="P49" s="18"/>
      <c r="Q49" s="4">
        <f>IFERROR(Q48/Q10, 0)</f>
        <v>0.25638287709421675</v>
      </c>
    </row>
    <row r="50" spans="1:17" x14ac:dyDescent="0.25">
      <c r="A50" s="5"/>
      <c r="B50" s="8"/>
      <c r="C50" s="5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</row>
    <row r="51" spans="1:17" s="14" customFormat="1" x14ac:dyDescent="0.25">
      <c r="A51" s="25"/>
      <c r="B51" s="8" t="s">
        <v>8</v>
      </c>
      <c r="C51" s="8"/>
      <c r="D51" s="3">
        <v>3510.74</v>
      </c>
      <c r="E51" s="3">
        <v>67290.34</v>
      </c>
      <c r="F51" s="3">
        <v>15848.489999999998</v>
      </c>
      <c r="G51" s="3">
        <v>15171.310000000001</v>
      </c>
      <c r="H51" s="3">
        <v>12114</v>
      </c>
      <c r="I51" s="3">
        <v>9241</v>
      </c>
      <c r="J51" s="3">
        <v>81512</v>
      </c>
      <c r="K51" s="3">
        <v>7242</v>
      </c>
      <c r="L51" s="3">
        <v>7490</v>
      </c>
      <c r="M51" s="3">
        <v>6472</v>
      </c>
      <c r="N51" s="3">
        <v>6995</v>
      </c>
      <c r="O51" s="3">
        <v>-23446</v>
      </c>
      <c r="Q51" s="2">
        <f>SUM(OSRRefD28_0x)+IFERROR(SUM(OSRRefE28_0x),0)</f>
        <v>209440.88</v>
      </c>
    </row>
    <row r="52" spans="1:17" x14ac:dyDescent="0.25">
      <c r="A52" s="5"/>
      <c r="B52" s="8"/>
      <c r="C52" s="8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</row>
    <row r="53" spans="1:17" s="14" customFormat="1" ht="15.75" thickBot="1" x14ac:dyDescent="0.3">
      <c r="A53" s="8"/>
      <c r="B53" s="17" t="s">
        <v>4</v>
      </c>
      <c r="C53" s="17"/>
      <c r="D53" s="7">
        <f t="shared" ref="D53:O53" si="6">IFERROR(+D48-D51, 0)</f>
        <v>-940.3799999999992</v>
      </c>
      <c r="E53" s="7">
        <f t="shared" si="6"/>
        <v>33762.420000000013</v>
      </c>
      <c r="F53" s="7">
        <f t="shared" si="6"/>
        <v>5732.9400000000023</v>
      </c>
      <c r="G53" s="7">
        <f t="shared" si="6"/>
        <v>-14121.750000000002</v>
      </c>
      <c r="H53" s="7">
        <f t="shared" si="6"/>
        <v>-12035</v>
      </c>
      <c r="I53" s="7">
        <f t="shared" si="6"/>
        <v>-9215</v>
      </c>
      <c r="J53" s="7">
        <f t="shared" si="6"/>
        <v>-10390.899999999965</v>
      </c>
      <c r="K53" s="7">
        <f t="shared" si="6"/>
        <v>461.40000000000146</v>
      </c>
      <c r="L53" s="7">
        <f t="shared" si="6"/>
        <v>-6990.5</v>
      </c>
      <c r="M53" s="7">
        <f t="shared" si="6"/>
        <v>-6180.45</v>
      </c>
      <c r="N53" s="7">
        <f t="shared" si="6"/>
        <v>-5403.5</v>
      </c>
      <c r="O53" s="7">
        <f t="shared" si="6"/>
        <v>22528.9</v>
      </c>
      <c r="Q53" s="7">
        <f>IFERROR(+Q48-Q51, 0)</f>
        <v>-2791.8199999998324</v>
      </c>
    </row>
    <row r="54" spans="1:17" ht="15.75" thickTop="1" x14ac:dyDescent="0.25">
      <c r="A54" s="5"/>
      <c r="B54" s="5"/>
      <c r="C54" s="5"/>
      <c r="D54" s="4">
        <f t="shared" ref="D54:O54" si="7">IFERROR(D53/D10, 0)</f>
        <v>-0.12882553112208261</v>
      </c>
      <c r="E54" s="4">
        <f t="shared" si="7"/>
        <v>8.1938309826053296E-2</v>
      </c>
      <c r="F54" s="4">
        <f t="shared" si="7"/>
        <v>0.11848606580602684</v>
      </c>
      <c r="G54" s="4">
        <f t="shared" si="7"/>
        <v>-6.1158003689813176</v>
      </c>
      <c r="H54" s="4">
        <f t="shared" si="7"/>
        <v>-39.330065359477125</v>
      </c>
      <c r="I54" s="4">
        <f t="shared" si="7"/>
        <v>-92.15</v>
      </c>
      <c r="J54" s="4">
        <f t="shared" si="7"/>
        <v>-3.4644752008071177E-2</v>
      </c>
      <c r="K54" s="4">
        <f t="shared" si="7"/>
        <v>1.5407528116902247E-2</v>
      </c>
      <c r="L54" s="4">
        <f t="shared" si="7"/>
        <v>-3.6005665722379603</v>
      </c>
      <c r="M54" s="4">
        <f t="shared" si="7"/>
        <v>-5.4522958846102956</v>
      </c>
      <c r="N54" s="4">
        <f t="shared" si="7"/>
        <v>-0.87329292929292934</v>
      </c>
      <c r="O54" s="4">
        <f t="shared" si="7"/>
        <v>-6.319289781492806</v>
      </c>
      <c r="P54" s="18"/>
      <c r="Q54" s="4">
        <f>IFERROR(Q53/Q10, 0)</f>
        <v>-3.4637217509198089E-3</v>
      </c>
    </row>
    <row r="55" spans="1:17" x14ac:dyDescent="0.25">
      <c r="A55" s="5"/>
      <c r="B55" s="5"/>
      <c r="C55" s="5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</row>
    <row r="56" spans="1:17" x14ac:dyDescent="0.25">
      <c r="A56" s="5"/>
      <c r="B56" s="5"/>
      <c r="C56" s="5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4" customFormat="1" ht="15.75" thickBot="1" x14ac:dyDescent="0.3">
      <c r="A57" s="8"/>
      <c r="B57" s="17" t="s">
        <v>5</v>
      </c>
      <c r="C57" s="17"/>
      <c r="D57" s="7">
        <f t="shared" ref="D57:O57" si="8">IFERROR(SUM(D53:D56), 0)</f>
        <v>-940.50882553112126</v>
      </c>
      <c r="E57" s="7">
        <f t="shared" si="8"/>
        <v>33762.501938309841</v>
      </c>
      <c r="F57" s="7">
        <f t="shared" si="8"/>
        <v>5733.0584860658082</v>
      </c>
      <c r="G57" s="7">
        <f t="shared" si="8"/>
        <v>-14127.865800368983</v>
      </c>
      <c r="H57" s="7">
        <f t="shared" si="8"/>
        <v>-12074.330065359478</v>
      </c>
      <c r="I57" s="7">
        <f t="shared" si="8"/>
        <v>-9307.15</v>
      </c>
      <c r="J57" s="7">
        <f t="shared" si="8"/>
        <v>-10390.934644751973</v>
      </c>
      <c r="K57" s="7">
        <f t="shared" si="8"/>
        <v>461.41540752811835</v>
      </c>
      <c r="L57" s="7">
        <f t="shared" si="8"/>
        <v>-6994.1005665722378</v>
      </c>
      <c r="M57" s="7">
        <f t="shared" si="8"/>
        <v>-6185.9022958846099</v>
      </c>
      <c r="N57" s="7">
        <f t="shared" si="8"/>
        <v>-5404.3732929292928</v>
      </c>
      <c r="O57" s="7">
        <f t="shared" si="8"/>
        <v>22522.58071021851</v>
      </c>
      <c r="Q57" s="7">
        <f>IFERROR(SUM(Q53:Q56), 0)</f>
        <v>-2791.8234637215833</v>
      </c>
    </row>
    <row r="58" spans="1:17" ht="15.75" thickTop="1" x14ac:dyDescent="0.25">
      <c r="A58" s="5"/>
      <c r="C58" s="5"/>
      <c r="D58" s="4">
        <f t="shared" ref="D58:O58" si="9">IFERROR(D57/D10, 0)</f>
        <v>-0.1288431793254354</v>
      </c>
      <c r="E58" s="4">
        <f t="shared" si="9"/>
        <v>8.1938508682847841E-2</v>
      </c>
      <c r="F58" s="4">
        <f t="shared" si="9"/>
        <v>0.11848851462771173</v>
      </c>
      <c r="G58" s="4">
        <f t="shared" si="9"/>
        <v>-6.1184489793981029</v>
      </c>
      <c r="H58" s="4">
        <f t="shared" si="9"/>
        <v>-39.458594984834896</v>
      </c>
      <c r="I58" s="4">
        <f t="shared" si="9"/>
        <v>-93.0715</v>
      </c>
      <c r="J58" s="4">
        <f t="shared" si="9"/>
        <v>-3.4644867518646934E-2</v>
      </c>
      <c r="K58" s="4">
        <f t="shared" si="9"/>
        <v>1.5408042620419093E-2</v>
      </c>
      <c r="L58" s="4">
        <f t="shared" si="9"/>
        <v>-3.6024211004750128</v>
      </c>
      <c r="M58" s="4">
        <f t="shared" si="9"/>
        <v>-5.4571058143748488</v>
      </c>
      <c r="N58" s="4">
        <f t="shared" si="9"/>
        <v>-0.87343406754412811</v>
      </c>
      <c r="O58" s="4">
        <f t="shared" si="9"/>
        <v>-6.3175172394094163</v>
      </c>
      <c r="P58" s="18"/>
      <c r="Q58" s="4">
        <f>IFERROR(Q57/Q10, 0)</f>
        <v>-3.4637260482485647E-3</v>
      </c>
    </row>
    <row r="59" spans="1:17" x14ac:dyDescent="0.25">
      <c r="A59" s="5"/>
      <c r="B59" s="26">
        <v>44151.564912233793</v>
      </c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Q59" s="12"/>
    </row>
    <row r="60" spans="1:17" x14ac:dyDescent="0.25">
      <c r="A60" s="5"/>
      <c r="B60" s="30" t="s">
        <v>311</v>
      </c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Q60" s="12"/>
    </row>
    <row r="61" spans="1:17" x14ac:dyDescent="0.25">
      <c r="A61" s="5"/>
      <c r="B61" s="31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Q61" s="12"/>
    </row>
    <row r="62" spans="1:17" x14ac:dyDescent="0.25"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Q62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69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">
        <v>301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174780.81999999998</v>
      </c>
      <c r="E10" s="3">
        <f>SUM(OSRRefD11x_1)</f>
        <v>311058.33999999991</v>
      </c>
      <c r="F10" s="3">
        <f>SUM(OSRRefD11x_2)</f>
        <v>113768.15999999999</v>
      </c>
      <c r="G10" s="3">
        <f>SUM(OSRRefD11x_3)</f>
        <v>115409.98000000003</v>
      </c>
      <c r="H10" s="3">
        <f>SUM(OSRRefE11x_0)</f>
        <v>296702.19999999995</v>
      </c>
      <c r="I10" s="3">
        <f>SUM(OSRRefE11x_1)</f>
        <v>276241</v>
      </c>
      <c r="J10" s="3">
        <f>SUM(OSRRefE11x_2)</f>
        <v>201553.3</v>
      </c>
      <c r="K10" s="3">
        <f>SUM(OSRRefE11x_3)</f>
        <v>282567.3</v>
      </c>
      <c r="L10" s="3">
        <f>SUM(OSRRefE11x_4)</f>
        <v>265786.8</v>
      </c>
      <c r="M10" s="3">
        <f>SUM(OSRRefE11x_5)</f>
        <v>261193</v>
      </c>
      <c r="N10" s="3">
        <f>SUM(OSRRefE11x_6)</f>
        <v>337193.30000000005</v>
      </c>
      <c r="O10" s="3">
        <f>SUM(OSRRefE11x_7)</f>
        <v>292842</v>
      </c>
      <c r="P10" s="24"/>
      <c r="Q10" s="3">
        <f>SUM(OSRRefG11x)</f>
        <v>2929096.2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-9953.39</f>
        <v>-9953.39</v>
      </c>
      <c r="E11" s="2">
        <f>-12895.37</f>
        <v>-12895.37</v>
      </c>
      <c r="F11" s="2">
        <f>-7132.78</f>
        <v>-7132.78</v>
      </c>
      <c r="G11" s="2">
        <f>-10002.87</f>
        <v>-10002.870000000001</v>
      </c>
      <c r="H11" s="2">
        <v>296702.19999999995</v>
      </c>
      <c r="I11" s="2">
        <v>276241</v>
      </c>
      <c r="J11" s="2">
        <v>201553.3</v>
      </c>
      <c r="K11" s="2">
        <v>282567.3</v>
      </c>
      <c r="L11" s="2">
        <v>265786.8</v>
      </c>
      <c r="M11" s="2">
        <v>261193</v>
      </c>
      <c r="N11" s="2">
        <v>337193.30000000005</v>
      </c>
      <c r="O11" s="2">
        <v>292842</v>
      </c>
      <c r="Q11" s="2">
        <f>SUM(OSRRefD11_0x)+IFERROR(SUM(OSRRefE11_0x),0)</f>
        <v>2174094.4900000002</v>
      </c>
    </row>
    <row r="12" spans="1:18" s="9" customFormat="1" hidden="1" outlineLevel="1" x14ac:dyDescent="0.25">
      <c r="A12" s="22"/>
      <c r="B12" s="13" t="str">
        <f>CONCATENATE("          ","4026", " - ","TAXABLE SALES-WRITING INSTRUME")</f>
        <v xml:space="preserve">          4026 - TAXABLE SALES-WRITING INSTRUME</v>
      </c>
      <c r="C12" s="23"/>
      <c r="D12" s="2">
        <f>--236.56</f>
        <v>236.56</v>
      </c>
      <c r="E12" s="2">
        <f>0</f>
        <v>0</v>
      </c>
      <c r="F12" s="2">
        <f>--3.96</f>
        <v>3.96</v>
      </c>
      <c r="G12" s="2">
        <f>--20.8</f>
        <v>20.8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261.32</v>
      </c>
    </row>
    <row r="13" spans="1:18" s="9" customFormat="1" hidden="1" outlineLevel="1" x14ac:dyDescent="0.25">
      <c r="A13" s="22"/>
      <c r="B13" s="13" t="str">
        <f>CONCATENATE("          ","4027", " - ","TAXABLE SALES-SCHOOL SUPPLIES")</f>
        <v xml:space="preserve">          4027 - TAXABLE SALES-SCHOOL SUPPLIES</v>
      </c>
      <c r="C13" s="23"/>
      <c r="D13" s="2">
        <f>--1653.17</f>
        <v>1653.17</v>
      </c>
      <c r="E13" s="2">
        <f>--16859.02</f>
        <v>16859.02</v>
      </c>
      <c r="F13" s="2">
        <f>--6172.1</f>
        <v>6172.1</v>
      </c>
      <c r="G13" s="2">
        <f>--2328.89</f>
        <v>2328.89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27013.18</v>
      </c>
    </row>
    <row r="14" spans="1:18" s="9" customFormat="1" hidden="1" outlineLevel="1" x14ac:dyDescent="0.25">
      <c r="A14" s="22"/>
      <c r="B14" s="13" t="str">
        <f>CONCATENATE("          ","4028", " - ","TAXABLE SALES-ART/TECH")</f>
        <v xml:space="preserve">          4028 - TAXABLE SALES-ART/TECH</v>
      </c>
      <c r="C14" s="23"/>
      <c r="D14" s="2">
        <f>--19.85</f>
        <v>19.850000000000001</v>
      </c>
      <c r="E14" s="2">
        <f t="shared" ref="E14:F14" si="0">0</f>
        <v>0</v>
      </c>
      <c r="F14" s="2">
        <f t="shared" si="0"/>
        <v>0</v>
      </c>
      <c r="G14" s="2">
        <f>--1769.95</f>
        <v>1769.95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1789.8</v>
      </c>
    </row>
    <row r="15" spans="1:18" s="9" customFormat="1" hidden="1" outlineLevel="1" x14ac:dyDescent="0.25">
      <c r="A15" s="22"/>
      <c r="B15" s="13" t="str">
        <f>CONCATENATE("          ","4031", " - ","TAXABLE SALES-FOOD")</f>
        <v xml:space="preserve">          4031 - TAXABLE SALES-FOOD</v>
      </c>
      <c r="C15" s="23"/>
      <c r="D15" s="2">
        <f>--19.75</f>
        <v>19.75</v>
      </c>
      <c r="E15" s="2">
        <f>--407.47</f>
        <v>407.47</v>
      </c>
      <c r="F15" s="2">
        <f>--441.57</f>
        <v>441.57</v>
      </c>
      <c r="G15" s="2">
        <f>--424.62</f>
        <v>424.62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1293.4099999999999</v>
      </c>
    </row>
    <row r="16" spans="1:18" s="9" customFormat="1" hidden="1" outlineLevel="1" x14ac:dyDescent="0.25">
      <c r="A16" s="22"/>
      <c r="B16" s="13" t="str">
        <f>CONCATENATE("          ","4034", " - ","TAXABLE SALES-SODA")</f>
        <v xml:space="preserve">          4034 - TAXABLE SALES-SODA</v>
      </c>
      <c r="C16" s="23"/>
      <c r="D16" s="2">
        <f>--6.78</f>
        <v>6.78</v>
      </c>
      <c r="E16" s="2">
        <f t="shared" ref="E16:G16" si="1">0</f>
        <v>0</v>
      </c>
      <c r="F16" s="2">
        <f t="shared" si="1"/>
        <v>0</v>
      </c>
      <c r="G16" s="2">
        <f t="shared" si="1"/>
        <v>0</v>
      </c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6.78</v>
      </c>
    </row>
    <row r="17" spans="1:17" s="9" customFormat="1" hidden="1" outlineLevel="1" x14ac:dyDescent="0.25">
      <c r="A17" s="22"/>
      <c r="B17" s="13" t="str">
        <f>CONCATENATE("          ","4040", " - ","TAXABLE SALES-LOGO CLOTHING")</f>
        <v xml:space="preserve">          4040 - TAXABLE SALES-LOGO CLOTHING</v>
      </c>
      <c r="C17" s="23"/>
      <c r="D17" s="2">
        <f>--72292.26</f>
        <v>72292.259999999995</v>
      </c>
      <c r="E17" s="2">
        <f>--177286.09</f>
        <v>177286.09</v>
      </c>
      <c r="F17" s="2">
        <f>--78841.84</f>
        <v>78841.84</v>
      </c>
      <c r="G17" s="2">
        <f>--54384.72</f>
        <v>54384.72</v>
      </c>
      <c r="H17" s="2"/>
      <c r="I17" s="2"/>
      <c r="J17" s="2"/>
      <c r="K17" s="2"/>
      <c r="L17" s="2"/>
      <c r="M17" s="2"/>
      <c r="N17" s="2"/>
      <c r="O17" s="2"/>
      <c r="Q17" s="2">
        <f>SUM(OSRRefD11_6x)+IFERROR(SUM(OSRRefE11_6x),0)</f>
        <v>382804.90999999992</v>
      </c>
    </row>
    <row r="18" spans="1:17" s="9" customFormat="1" hidden="1" outlineLevel="1" x14ac:dyDescent="0.25">
      <c r="A18" s="22"/>
      <c r="B18" s="13" t="str">
        <f>CONCATENATE("          ","4041", " - ","TAXABLE SALES-LOGO GIFTS")</f>
        <v xml:space="preserve">          4041 - TAXABLE SALES-LOGO GIFTS</v>
      </c>
      <c r="C18" s="23"/>
      <c r="D18" s="2">
        <f>--20103.31</f>
        <v>20103.310000000001</v>
      </c>
      <c r="E18" s="2">
        <f>--39770.2</f>
        <v>39770.199999999997</v>
      </c>
      <c r="F18" s="2">
        <f>--18938.34</f>
        <v>18938.34</v>
      </c>
      <c r="G18" s="2">
        <f>--13906.05</f>
        <v>13906.05</v>
      </c>
      <c r="H18" s="2"/>
      <c r="I18" s="2"/>
      <c r="J18" s="2"/>
      <c r="K18" s="2"/>
      <c r="L18" s="2"/>
      <c r="M18" s="2"/>
      <c r="N18" s="2"/>
      <c r="O18" s="2"/>
      <c r="Q18" s="2">
        <f>SUM(OSRRefD11_7x)+IFERROR(SUM(OSRRefE11_7x),0)</f>
        <v>92717.9</v>
      </c>
    </row>
    <row r="19" spans="1:17" s="9" customFormat="1" hidden="1" outlineLevel="1" x14ac:dyDescent="0.25">
      <c r="A19" s="22"/>
      <c r="B19" s="13" t="str">
        <f>CONCATENATE("          ","4042", " - ","TAXABLE SALES-EVERYDAY GIFTS")</f>
        <v xml:space="preserve">          4042 - TAXABLE SALES-EVERYDAY GIFTS</v>
      </c>
      <c r="C19" s="23"/>
      <c r="D19" s="2">
        <f>--5753.38</f>
        <v>5753.38</v>
      </c>
      <c r="E19" s="2">
        <f>--25214.79</f>
        <v>25214.79</v>
      </c>
      <c r="F19" s="2">
        <f>--7527.61</f>
        <v>7527.61</v>
      </c>
      <c r="G19" s="2">
        <f>--4800.32</f>
        <v>4800.32</v>
      </c>
      <c r="H19" s="2"/>
      <c r="I19" s="2"/>
      <c r="J19" s="2"/>
      <c r="K19" s="2"/>
      <c r="L19" s="2"/>
      <c r="M19" s="2"/>
      <c r="N19" s="2"/>
      <c r="O19" s="2"/>
      <c r="Q19" s="2">
        <f>SUM(OSRRefD11_8x)+IFERROR(SUM(OSRRefE11_8x),0)</f>
        <v>43296.1</v>
      </c>
    </row>
    <row r="20" spans="1:17" s="9" customFormat="1" hidden="1" outlineLevel="1" x14ac:dyDescent="0.25">
      <c r="A20" s="22"/>
      <c r="B20" s="13" t="str">
        <f>CONCATENATE("          ","4043", " - ","TAXABLE SALES-CARDS")</f>
        <v xml:space="preserve">          4043 - TAXABLE SALES-CARDS</v>
      </c>
      <c r="C20" s="23"/>
      <c r="D20" s="2">
        <f>--217.36</f>
        <v>217.36</v>
      </c>
      <c r="E20" s="2">
        <f>--6763.28</f>
        <v>6763.28</v>
      </c>
      <c r="F20" s="2">
        <f>--2802.54</f>
        <v>2802.54</v>
      </c>
      <c r="G20" s="2">
        <f>--30454.88</f>
        <v>30454.880000000001</v>
      </c>
      <c r="H20" s="2"/>
      <c r="I20" s="2"/>
      <c r="J20" s="2"/>
      <c r="K20" s="2"/>
      <c r="L20" s="2"/>
      <c r="M20" s="2"/>
      <c r="N20" s="2"/>
      <c r="O20" s="2"/>
      <c r="Q20" s="2">
        <f>SUM(OSRRefD11_9x)+IFERROR(SUM(OSRRefE11_9x),0)</f>
        <v>40238.06</v>
      </c>
    </row>
    <row r="21" spans="1:17" s="9" customFormat="1" hidden="1" outlineLevel="1" x14ac:dyDescent="0.25">
      <c r="A21" s="22"/>
      <c r="B21" s="13" t="str">
        <f>CONCATENATE("          ","4044", " - ","TAXABLE SALES-ACCESSORIES")</f>
        <v xml:space="preserve">          4044 - TAXABLE SALES-ACCESSORIES</v>
      </c>
      <c r="C21" s="23"/>
      <c r="D21" s="2">
        <f>--1800.68</f>
        <v>1800.68</v>
      </c>
      <c r="E21" s="2">
        <f>--6568.52</f>
        <v>6568.52</v>
      </c>
      <c r="F21" s="2">
        <f>--2962.32</f>
        <v>2962.32</v>
      </c>
      <c r="G21" s="2">
        <f>--1157.64</f>
        <v>1157.6400000000001</v>
      </c>
      <c r="H21" s="2"/>
      <c r="I21" s="2"/>
      <c r="J21" s="2"/>
      <c r="K21" s="2"/>
      <c r="L21" s="2"/>
      <c r="M21" s="2"/>
      <c r="N21" s="2"/>
      <c r="O21" s="2"/>
      <c r="Q21" s="2">
        <f>SUM(OSRRefD11_10x)+IFERROR(SUM(OSRRefE11_10x),0)</f>
        <v>12489.16</v>
      </c>
    </row>
    <row r="22" spans="1:17" s="9" customFormat="1" hidden="1" outlineLevel="1" x14ac:dyDescent="0.25">
      <c r="A22" s="22"/>
      <c r="B22" s="13" t="str">
        <f>CONCATENATE("          ","4045", " - ","TAXABLE SALES-SPECIAL ORDERS")</f>
        <v xml:space="preserve">          4045 - TAXABLE SALES-SPECIAL ORDERS</v>
      </c>
      <c r="C22" s="23"/>
      <c r="D22" s="2">
        <f>--43426.73</f>
        <v>43426.73</v>
      </c>
      <c r="E22" s="2">
        <f>--46004.35</f>
        <v>46004.35</v>
      </c>
      <c r="F22" s="2">
        <f>--2575.36</f>
        <v>2575.36</v>
      </c>
      <c r="G22" s="2">
        <f>--4950.17</f>
        <v>4950.17</v>
      </c>
      <c r="H22" s="2"/>
      <c r="I22" s="2"/>
      <c r="J22" s="2"/>
      <c r="K22" s="2"/>
      <c r="L22" s="2"/>
      <c r="M22" s="2"/>
      <c r="N22" s="2"/>
      <c r="O22" s="2"/>
      <c r="Q22" s="2">
        <f>SUM(OSRRefD11_11x)+IFERROR(SUM(OSRRefE11_11x),0)</f>
        <v>96956.61</v>
      </c>
    </row>
    <row r="23" spans="1:17" s="9" customFormat="1" hidden="1" outlineLevel="1" x14ac:dyDescent="0.25">
      <c r="A23" s="22"/>
      <c r="B23" s="13" t="str">
        <f>CONCATENATE("          ","4126", " - ","NON-TAXABLE SALES-WRITING INST")</f>
        <v xml:space="preserve">          4126 - NON-TAXABLE SALES-WRITING INST</v>
      </c>
      <c r="C23" s="23"/>
      <c r="D23" s="2">
        <f>--52.68</f>
        <v>52.68</v>
      </c>
      <c r="E23" s="2">
        <f t="shared" ref="E23:G23" si="2">0</f>
        <v>0</v>
      </c>
      <c r="F23" s="2">
        <f t="shared" si="2"/>
        <v>0</v>
      </c>
      <c r="G23" s="2">
        <f t="shared" si="2"/>
        <v>0</v>
      </c>
      <c r="H23" s="2"/>
      <c r="I23" s="2"/>
      <c r="J23" s="2"/>
      <c r="K23" s="2"/>
      <c r="L23" s="2"/>
      <c r="M23" s="2"/>
      <c r="N23" s="2"/>
      <c r="O23" s="2"/>
      <c r="Q23" s="2">
        <f>SUM(OSRRefD11_12x)+IFERROR(SUM(OSRRefE11_12x),0)</f>
        <v>52.68</v>
      </c>
    </row>
    <row r="24" spans="1:17" s="9" customFormat="1" hidden="1" outlineLevel="1" x14ac:dyDescent="0.25">
      <c r="A24" s="22"/>
      <c r="B24" s="13" t="str">
        <f>CONCATENATE("          ","4127", " - ","NON-TAXABLE SALES-SCHOOL SUPPL")</f>
        <v xml:space="preserve">          4127 - NON-TAXABLE SALES-SCHOOL SUPPL</v>
      </c>
      <c r="C24" s="23"/>
      <c r="D24" s="2">
        <f>--72.25</f>
        <v>72.25</v>
      </c>
      <c r="E24" s="2">
        <f>--1788.16</f>
        <v>1788.16</v>
      </c>
      <c r="F24" s="2">
        <f>--810.33</f>
        <v>810.33</v>
      </c>
      <c r="G24" s="2">
        <f>--160.95</f>
        <v>160.94999999999999</v>
      </c>
      <c r="H24" s="2"/>
      <c r="I24" s="2"/>
      <c r="J24" s="2"/>
      <c r="K24" s="2"/>
      <c r="L24" s="2"/>
      <c r="M24" s="2"/>
      <c r="N24" s="2"/>
      <c r="O24" s="2"/>
      <c r="Q24" s="2">
        <f>SUM(OSRRefD11_13x)+IFERROR(SUM(OSRRefE11_13x),0)</f>
        <v>2831.69</v>
      </c>
    </row>
    <row r="25" spans="1:17" s="9" customFormat="1" hidden="1" outlineLevel="1" x14ac:dyDescent="0.25">
      <c r="A25" s="22"/>
      <c r="B25" s="13" t="str">
        <f>CONCATENATE("          ","4131", " - ","NON-TAXABLE SALES-FOOD")</f>
        <v xml:space="preserve">          4131 - NON-TAXABLE SALES-FOOD</v>
      </c>
      <c r="C25" s="23"/>
      <c r="D25" s="2">
        <f>--259.43</f>
        <v>259.43</v>
      </c>
      <c r="E25" s="2">
        <f>--988.65</f>
        <v>988.65</v>
      </c>
      <c r="F25" s="2">
        <f>--923.18</f>
        <v>923.18</v>
      </c>
      <c r="G25" s="2">
        <f>--1507.02</f>
        <v>1507.02</v>
      </c>
      <c r="H25" s="2"/>
      <c r="I25" s="2"/>
      <c r="J25" s="2"/>
      <c r="K25" s="2"/>
      <c r="L25" s="2"/>
      <c r="M25" s="2"/>
      <c r="N25" s="2"/>
      <c r="O25" s="2"/>
      <c r="Q25" s="2">
        <f>SUM(OSRRefD11_14x)+IFERROR(SUM(OSRRefE11_14x),0)</f>
        <v>3678.2799999999997</v>
      </c>
    </row>
    <row r="26" spans="1:17" s="9" customFormat="1" hidden="1" outlineLevel="1" x14ac:dyDescent="0.25">
      <c r="A26" s="22"/>
      <c r="B26" s="13" t="str">
        <f>CONCATENATE("          ","4132", " - ","NON-TAXABLE SALES-JUICE")</f>
        <v xml:space="preserve">          4132 - NON-TAXABLE SALES-JUICE</v>
      </c>
      <c r="C26" s="23"/>
      <c r="D26" s="2">
        <f>--22.49</f>
        <v>22.49</v>
      </c>
      <c r="E26" s="2">
        <f t="shared" ref="E26:G26" si="3">0</f>
        <v>0</v>
      </c>
      <c r="F26" s="2">
        <f t="shared" si="3"/>
        <v>0</v>
      </c>
      <c r="G26" s="2">
        <f t="shared" si="3"/>
        <v>0</v>
      </c>
      <c r="H26" s="2"/>
      <c r="I26" s="2"/>
      <c r="J26" s="2"/>
      <c r="K26" s="2"/>
      <c r="L26" s="2"/>
      <c r="M26" s="2"/>
      <c r="N26" s="2"/>
      <c r="O26" s="2"/>
      <c r="Q26" s="2">
        <f>SUM(OSRRefD11_15x)+IFERROR(SUM(OSRRefE11_15x),0)</f>
        <v>22.49</v>
      </c>
    </row>
    <row r="27" spans="1:17" s="9" customFormat="1" hidden="1" outlineLevel="1" x14ac:dyDescent="0.25">
      <c r="A27" s="22"/>
      <c r="B27" s="13" t="str">
        <f>CONCATENATE("          ","4133", " - ","NON-TAXABLE SALES-CANDY")</f>
        <v xml:space="preserve">          4133 - NON-TAXABLE SALES-CANDY</v>
      </c>
      <c r="C27" s="23"/>
      <c r="D27" s="2">
        <f>--68.28</f>
        <v>68.28</v>
      </c>
      <c r="E27" s="2">
        <f>--12.43</f>
        <v>12.43</v>
      </c>
      <c r="F27" s="2">
        <f t="shared" ref="F27:G29" si="4">0</f>
        <v>0</v>
      </c>
      <c r="G27" s="2">
        <f t="shared" si="4"/>
        <v>0</v>
      </c>
      <c r="H27" s="2"/>
      <c r="I27" s="2"/>
      <c r="J27" s="2"/>
      <c r="K27" s="2"/>
      <c r="L27" s="2"/>
      <c r="M27" s="2"/>
      <c r="N27" s="2"/>
      <c r="O27" s="2"/>
      <c r="Q27" s="2">
        <f>SUM(OSRRefD11_16x)+IFERROR(SUM(OSRRefE11_16x),0)</f>
        <v>80.710000000000008</v>
      </c>
    </row>
    <row r="28" spans="1:17" s="9" customFormat="1" hidden="1" outlineLevel="1" x14ac:dyDescent="0.25">
      <c r="A28" s="22"/>
      <c r="B28" s="13" t="str">
        <f>CONCATENATE("          ","4134", " - ","NON-TAXABLE SALES-SODA")</f>
        <v xml:space="preserve">          4134 - NON-TAXABLE SALES-SODA</v>
      </c>
      <c r="C28" s="23"/>
      <c r="D28" s="2">
        <f>--45.53</f>
        <v>45.53</v>
      </c>
      <c r="E28" s="2">
        <f t="shared" ref="E28:E29" si="5">0</f>
        <v>0</v>
      </c>
      <c r="F28" s="2">
        <f t="shared" si="4"/>
        <v>0</v>
      </c>
      <c r="G28" s="2">
        <f t="shared" si="4"/>
        <v>0</v>
      </c>
      <c r="H28" s="2"/>
      <c r="I28" s="2"/>
      <c r="J28" s="2"/>
      <c r="K28" s="2"/>
      <c r="L28" s="2"/>
      <c r="M28" s="2"/>
      <c r="N28" s="2"/>
      <c r="O28" s="2"/>
      <c r="Q28" s="2">
        <f>SUM(OSRRefD11_17x)+IFERROR(SUM(OSRRefE11_17x),0)</f>
        <v>45.53</v>
      </c>
    </row>
    <row r="29" spans="1:17" s="9" customFormat="1" hidden="1" outlineLevel="1" x14ac:dyDescent="0.25">
      <c r="A29" s="22"/>
      <c r="B29" s="13" t="str">
        <f>CONCATENATE("          ","4137", " - ","NON-TAXABLE SALES-WATER")</f>
        <v xml:space="preserve">          4137 - NON-TAXABLE SALES-WATER</v>
      </c>
      <c r="C29" s="23"/>
      <c r="D29" s="2">
        <f>--68.25</f>
        <v>68.25</v>
      </c>
      <c r="E29" s="2">
        <f t="shared" si="5"/>
        <v>0</v>
      </c>
      <c r="F29" s="2">
        <f t="shared" si="4"/>
        <v>0</v>
      </c>
      <c r="G29" s="2">
        <f t="shared" si="4"/>
        <v>0</v>
      </c>
      <c r="H29" s="2"/>
      <c r="I29" s="2"/>
      <c r="J29" s="2"/>
      <c r="K29" s="2"/>
      <c r="L29" s="2"/>
      <c r="M29" s="2"/>
      <c r="N29" s="2"/>
      <c r="O29" s="2"/>
      <c r="Q29" s="2">
        <f>SUM(OSRRefD11_18x)+IFERROR(SUM(OSRRefE11_18x),0)</f>
        <v>68.25</v>
      </c>
    </row>
    <row r="30" spans="1:17" s="9" customFormat="1" hidden="1" outlineLevel="1" x14ac:dyDescent="0.25">
      <c r="A30" s="22"/>
      <c r="B30" s="13" t="str">
        <f>CONCATENATE("          ","4140", " - ","NON-TAXABLE SALES-LOGO CLOTHIN")</f>
        <v xml:space="preserve">          4140 - NON-TAXABLE SALES-LOGO CLOTHIN</v>
      </c>
      <c r="C30" s="23"/>
      <c r="D30" s="2">
        <f>--6846.24</f>
        <v>6846.24</v>
      </c>
      <c r="E30" s="2">
        <f>--7266.5</f>
        <v>7266.5</v>
      </c>
      <c r="F30" s="2">
        <f>--3339.7</f>
        <v>3339.7</v>
      </c>
      <c r="G30" s="2">
        <f>--13163.04</f>
        <v>13163.04</v>
      </c>
      <c r="H30" s="2"/>
      <c r="I30" s="2"/>
      <c r="J30" s="2"/>
      <c r="K30" s="2"/>
      <c r="L30" s="2"/>
      <c r="M30" s="2"/>
      <c r="N30" s="2"/>
      <c r="O30" s="2"/>
      <c r="Q30" s="2">
        <f>SUM(OSRRefD11_19x)+IFERROR(SUM(OSRRefE11_19x),0)</f>
        <v>30615.48</v>
      </c>
    </row>
    <row r="31" spans="1:17" s="9" customFormat="1" hidden="1" outlineLevel="1" x14ac:dyDescent="0.25">
      <c r="A31" s="22"/>
      <c r="B31" s="13" t="str">
        <f>CONCATENATE("          ","4141", " - ","NON-TAXABLE SALES-LOGO GIFTS")</f>
        <v xml:space="preserve">          4141 - NON-TAXABLE SALES-LOGO GIFTS</v>
      </c>
      <c r="C31" s="23"/>
      <c r="D31" s="2">
        <f>--1189.44</f>
        <v>1189.44</v>
      </c>
      <c r="E31" s="2">
        <f>--742.31</f>
        <v>742.31</v>
      </c>
      <c r="F31" s="2">
        <f>--555.74</f>
        <v>555.74</v>
      </c>
      <c r="G31" s="2">
        <f>--383.71</f>
        <v>383.71</v>
      </c>
      <c r="H31" s="2"/>
      <c r="I31" s="2"/>
      <c r="J31" s="2"/>
      <c r="K31" s="2"/>
      <c r="L31" s="2"/>
      <c r="M31" s="2"/>
      <c r="N31" s="2"/>
      <c r="O31" s="2"/>
      <c r="Q31" s="2">
        <f>SUM(OSRRefD11_20x)+IFERROR(SUM(OSRRefE11_20x),0)</f>
        <v>2871.2</v>
      </c>
    </row>
    <row r="32" spans="1:17" s="9" customFormat="1" hidden="1" outlineLevel="1" x14ac:dyDescent="0.25">
      <c r="A32" s="22"/>
      <c r="B32" s="13" t="str">
        <f>CONCATENATE("          ","4142", " - ","NON-TAXABLE SALES-EVERYDAY GIF")</f>
        <v xml:space="preserve">          4142 - NON-TAXABLE SALES-EVERYDAY GIF</v>
      </c>
      <c r="C32" s="23"/>
      <c r="D32" s="2">
        <f>--640.17</f>
        <v>640.16999999999996</v>
      </c>
      <c r="E32" s="2">
        <f>--333.42</f>
        <v>333.42</v>
      </c>
      <c r="F32" s="2">
        <f>--30.16</f>
        <v>30.16</v>
      </c>
      <c r="G32" s="2">
        <f>--65.68</f>
        <v>65.680000000000007</v>
      </c>
      <c r="H32" s="2"/>
      <c r="I32" s="2"/>
      <c r="J32" s="2"/>
      <c r="K32" s="2"/>
      <c r="L32" s="2"/>
      <c r="M32" s="2"/>
      <c r="N32" s="2"/>
      <c r="O32" s="2"/>
      <c r="Q32" s="2">
        <f>SUM(OSRRefD11_21x)+IFERROR(SUM(OSRRefE11_21x),0)</f>
        <v>1069.4299999999998</v>
      </c>
    </row>
    <row r="33" spans="1:17" s="9" customFormat="1" hidden="1" outlineLevel="1" x14ac:dyDescent="0.25">
      <c r="A33" s="22"/>
      <c r="B33" s="13" t="str">
        <f>CONCATENATE("          ","4143", " - ","NON-TAXABLE SALES-CARDS")</f>
        <v xml:space="preserve">          4143 - NON-TAXABLE SALES-CARDS</v>
      </c>
      <c r="C33" s="23"/>
      <c r="D33" s="2">
        <f>0</f>
        <v>0</v>
      </c>
      <c r="E33" s="2">
        <f>--19.98</f>
        <v>19.98</v>
      </c>
      <c r="F33" s="2">
        <f>0</f>
        <v>0</v>
      </c>
      <c r="G33" s="2">
        <f>--9.99</f>
        <v>9.99</v>
      </c>
      <c r="H33" s="2"/>
      <c r="I33" s="2"/>
      <c r="J33" s="2"/>
      <c r="K33" s="2"/>
      <c r="L33" s="2"/>
      <c r="M33" s="2"/>
      <c r="N33" s="2"/>
      <c r="O33" s="2"/>
      <c r="Q33" s="2">
        <f>SUM(OSRRefD11_22x)+IFERROR(SUM(OSRRefE11_22x),0)</f>
        <v>29.97</v>
      </c>
    </row>
    <row r="34" spans="1:17" s="9" customFormat="1" hidden="1" outlineLevel="1" x14ac:dyDescent="0.25">
      <c r="A34" s="22"/>
      <c r="B34" s="13" t="str">
        <f>CONCATENATE("          ","4144", " - ","NON-TAXABLE SALES-ACCESSORIES")</f>
        <v xml:space="preserve">          4144 - NON-TAXABLE SALES-ACCESSORIES</v>
      </c>
      <c r="C34" s="23"/>
      <c r="D34" s="2">
        <f>--47.85</f>
        <v>47.85</v>
      </c>
      <c r="E34" s="2">
        <f>--107.95</f>
        <v>107.95</v>
      </c>
      <c r="F34" s="2">
        <f>--59.95</f>
        <v>59.95</v>
      </c>
      <c r="G34" s="2">
        <f>--154</f>
        <v>154</v>
      </c>
      <c r="H34" s="2"/>
      <c r="I34" s="2"/>
      <c r="J34" s="2"/>
      <c r="K34" s="2"/>
      <c r="L34" s="2"/>
      <c r="M34" s="2"/>
      <c r="N34" s="2"/>
      <c r="O34" s="2"/>
      <c r="Q34" s="2">
        <f>SUM(OSRRefD11_23x)+IFERROR(SUM(OSRRefE11_23x),0)</f>
        <v>369.75</v>
      </c>
    </row>
    <row r="35" spans="1:17" s="9" customFormat="1" hidden="1" outlineLevel="1" x14ac:dyDescent="0.25">
      <c r="A35" s="22"/>
      <c r="B35" s="13" t="str">
        <f>CONCATENATE("          ","4145", " - ","NON-TAXABLE SALES-SPECIAL ORDE")</f>
        <v xml:space="preserve">          4145 - NON-TAXABLE SALES-SPECIAL ORDE</v>
      </c>
      <c r="C35" s="23"/>
      <c r="D35" s="2">
        <f>--35496</f>
        <v>35496</v>
      </c>
      <c r="E35" s="2">
        <f>--350</f>
        <v>350</v>
      </c>
      <c r="F35" s="2">
        <f t="shared" ref="F35:G35" si="6">0</f>
        <v>0</v>
      </c>
      <c r="G35" s="2">
        <f t="shared" si="6"/>
        <v>0</v>
      </c>
      <c r="H35" s="2"/>
      <c r="I35" s="2"/>
      <c r="J35" s="2"/>
      <c r="K35" s="2"/>
      <c r="L35" s="2"/>
      <c r="M35" s="2"/>
      <c r="N35" s="2"/>
      <c r="O35" s="2"/>
      <c r="Q35" s="2">
        <f>SUM(OSRRefD11_24x)+IFERROR(SUM(OSRRefE11_24x),0)</f>
        <v>35846</v>
      </c>
    </row>
    <row r="36" spans="1:17" s="9" customFormat="1" hidden="1" outlineLevel="1" x14ac:dyDescent="0.25">
      <c r="A36" s="22"/>
      <c r="B36" s="13" t="str">
        <f>CONCATENATE("          ","4226", " - ","SALES RETURN TAXABLE-WRITING I")</f>
        <v xml:space="preserve">          4226 - SALES RETURN TAXABLE-WRITING I</v>
      </c>
      <c r="C36" s="23"/>
      <c r="D36" s="2">
        <f>-6.38</f>
        <v>-6.38</v>
      </c>
      <c r="E36" s="2">
        <f>0</f>
        <v>0</v>
      </c>
      <c r="F36" s="2">
        <f>-22.49</f>
        <v>-22.49</v>
      </c>
      <c r="G36" s="2">
        <f>-5.36</f>
        <v>-5.36</v>
      </c>
      <c r="H36" s="2"/>
      <c r="I36" s="2"/>
      <c r="J36" s="2"/>
      <c r="K36" s="2"/>
      <c r="L36" s="2"/>
      <c r="M36" s="2"/>
      <c r="N36" s="2"/>
      <c r="O36" s="2"/>
      <c r="Q36" s="2">
        <f>SUM(OSRRefD11_25x)+IFERROR(SUM(OSRRefE11_25x),0)</f>
        <v>-34.229999999999997</v>
      </c>
    </row>
    <row r="37" spans="1:17" s="9" customFormat="1" hidden="1" outlineLevel="1" x14ac:dyDescent="0.25">
      <c r="A37" s="22"/>
      <c r="B37" s="13" t="str">
        <f>CONCATENATE("          ","4227", " - ","SALES RETURN TAXABLE-SCHOOL SU")</f>
        <v xml:space="preserve">          4227 - SALES RETURN TAXABLE-SCHOOL SU</v>
      </c>
      <c r="C37" s="23"/>
      <c r="D37" s="2">
        <f>-56.77</f>
        <v>-56.77</v>
      </c>
      <c r="E37" s="2">
        <f>-219.22</f>
        <v>-219.22</v>
      </c>
      <c r="F37" s="2">
        <f>-132.71</f>
        <v>-132.71</v>
      </c>
      <c r="G37" s="2">
        <f>-9.99</f>
        <v>-9.99</v>
      </c>
      <c r="H37" s="2"/>
      <c r="I37" s="2"/>
      <c r="J37" s="2"/>
      <c r="K37" s="2"/>
      <c r="L37" s="2"/>
      <c r="M37" s="2"/>
      <c r="N37" s="2"/>
      <c r="O37" s="2"/>
      <c r="Q37" s="2">
        <f>SUM(OSRRefD11_26x)+IFERROR(SUM(OSRRefE11_26x),0)</f>
        <v>-418.69000000000005</v>
      </c>
    </row>
    <row r="38" spans="1:17" s="9" customFormat="1" hidden="1" outlineLevel="1" x14ac:dyDescent="0.25">
      <c r="A38" s="22"/>
      <c r="B38" s="13" t="str">
        <f>CONCATENATE("          ","4240", " - ","SALES RETURN TAXABLE-LOGO CLOT")</f>
        <v xml:space="preserve">          4240 - SALES RETURN TAXABLE-LOGO CLOT</v>
      </c>
      <c r="C38" s="23"/>
      <c r="D38" s="2">
        <f>-3368.1</f>
        <v>-3368.1</v>
      </c>
      <c r="E38" s="2">
        <f>-4788.72</f>
        <v>-4788.72</v>
      </c>
      <c r="F38" s="2">
        <f>-3453.14</f>
        <v>-3453.14</v>
      </c>
      <c r="G38" s="2">
        <f>-2239.56</f>
        <v>-2239.56</v>
      </c>
      <c r="H38" s="2"/>
      <c r="I38" s="2"/>
      <c r="J38" s="2"/>
      <c r="K38" s="2"/>
      <c r="L38" s="2"/>
      <c r="M38" s="2"/>
      <c r="N38" s="2"/>
      <c r="O38" s="2"/>
      <c r="Q38" s="2">
        <f>SUM(OSRRefD11_27x)+IFERROR(SUM(OSRRefE11_27x),0)</f>
        <v>-13849.519999999999</v>
      </c>
    </row>
    <row r="39" spans="1:17" s="9" customFormat="1" hidden="1" outlineLevel="1" x14ac:dyDescent="0.25">
      <c r="A39" s="22"/>
      <c r="B39" s="13" t="str">
        <f>CONCATENATE("          ","4241", " - ","SALES RETURN TAXABLE-LOGO GIFT")</f>
        <v xml:space="preserve">          4241 - SALES RETURN TAXABLE-LOGO GIFT</v>
      </c>
      <c r="C39" s="23"/>
      <c r="D39" s="2">
        <f>-341.98</f>
        <v>-341.98</v>
      </c>
      <c r="E39" s="2">
        <f>-464.76</f>
        <v>-464.76</v>
      </c>
      <c r="F39" s="2">
        <f>-754.62</f>
        <v>-754.62</v>
      </c>
      <c r="G39" s="2">
        <f>-318.5</f>
        <v>-318.5</v>
      </c>
      <c r="H39" s="2"/>
      <c r="I39" s="2"/>
      <c r="J39" s="2"/>
      <c r="K39" s="2"/>
      <c r="L39" s="2"/>
      <c r="M39" s="2"/>
      <c r="N39" s="2"/>
      <c r="O39" s="2"/>
      <c r="Q39" s="2">
        <f>SUM(OSRRefD11_28x)+IFERROR(SUM(OSRRefE11_28x),0)</f>
        <v>-1879.8600000000001</v>
      </c>
    </row>
    <row r="40" spans="1:17" s="9" customFormat="1" hidden="1" outlineLevel="1" x14ac:dyDescent="0.25">
      <c r="A40" s="22"/>
      <c r="B40" s="13" t="str">
        <f>CONCATENATE("          ","4242", " - ","SALES RETURN TAXABLE-EVERYDAY")</f>
        <v xml:space="preserve">          4242 - SALES RETURN TAXABLE-EVERYDAY</v>
      </c>
      <c r="C40" s="23"/>
      <c r="D40" s="2">
        <f>-178.96</f>
        <v>-178.96</v>
      </c>
      <c r="E40" s="2">
        <f>-470.53</f>
        <v>-470.53</v>
      </c>
      <c r="F40" s="2">
        <f>-405.07</f>
        <v>-405.07</v>
      </c>
      <c r="G40" s="2">
        <f>-266.95</f>
        <v>-266.95</v>
      </c>
      <c r="H40" s="2"/>
      <c r="I40" s="2"/>
      <c r="J40" s="2"/>
      <c r="K40" s="2"/>
      <c r="L40" s="2"/>
      <c r="M40" s="2"/>
      <c r="N40" s="2"/>
      <c r="O40" s="2"/>
      <c r="Q40" s="2">
        <f>SUM(OSRRefD11_29x)+IFERROR(SUM(OSRRefE11_29x),0)</f>
        <v>-1321.51</v>
      </c>
    </row>
    <row r="41" spans="1:17" s="9" customFormat="1" hidden="1" outlineLevel="1" x14ac:dyDescent="0.25">
      <c r="A41" s="22"/>
      <c r="B41" s="13" t="str">
        <f>CONCATENATE("          ","4243", " - ","SALES RETURN TAXABLE-CARDS")</f>
        <v xml:space="preserve">          4243 - SALES RETURN TAXABLE-CARDS</v>
      </c>
      <c r="C41" s="23"/>
      <c r="D41" s="2">
        <f t="shared" ref="D41:D42" si="7">0</f>
        <v>0</v>
      </c>
      <c r="E41" s="2">
        <f>-93.43</f>
        <v>-93.43</v>
      </c>
      <c r="F41" s="2">
        <f>-59.94</f>
        <v>-59.94</v>
      </c>
      <c r="G41" s="2">
        <f>-829.55</f>
        <v>-829.55</v>
      </c>
      <c r="H41" s="2"/>
      <c r="I41" s="2"/>
      <c r="J41" s="2"/>
      <c r="K41" s="2"/>
      <c r="L41" s="2"/>
      <c r="M41" s="2"/>
      <c r="N41" s="2"/>
      <c r="O41" s="2"/>
      <c r="Q41" s="2">
        <f>SUM(OSRRefD11_30x)+IFERROR(SUM(OSRRefE11_30x),0)</f>
        <v>-982.92</v>
      </c>
    </row>
    <row r="42" spans="1:17" s="9" customFormat="1" hidden="1" outlineLevel="1" x14ac:dyDescent="0.25">
      <c r="A42" s="22"/>
      <c r="B42" s="13" t="str">
        <f>CONCATENATE("          ","4244", " - ","SALES RETURN TAXABLE-ACCESSORI")</f>
        <v xml:space="preserve">          4244 - SALES RETURN TAXABLE-ACCESSORI</v>
      </c>
      <c r="C42" s="23"/>
      <c r="D42" s="2">
        <f t="shared" si="7"/>
        <v>0</v>
      </c>
      <c r="E42" s="2">
        <f>-350.99</f>
        <v>-350.99</v>
      </c>
      <c r="F42" s="2">
        <f>-60</f>
        <v>-60</v>
      </c>
      <c r="G42" s="2">
        <f>0</f>
        <v>0</v>
      </c>
      <c r="H42" s="2"/>
      <c r="I42" s="2"/>
      <c r="J42" s="2"/>
      <c r="K42" s="2"/>
      <c r="L42" s="2"/>
      <c r="M42" s="2"/>
      <c r="N42" s="2"/>
      <c r="O42" s="2"/>
      <c r="Q42" s="2">
        <f>SUM(OSRRefD11_31x)+IFERROR(SUM(OSRRefE11_31x),0)</f>
        <v>-410.99</v>
      </c>
    </row>
    <row r="43" spans="1:17" s="9" customFormat="1" hidden="1" outlineLevel="1" x14ac:dyDescent="0.25">
      <c r="A43" s="22"/>
      <c r="B43" s="13" t="str">
        <f>CONCATENATE("          ","4245", " - ","SALES RETURN TAXABLE-SPECIAL O")</f>
        <v xml:space="preserve">          4245 - SALES RETURN TAXABLE-SPECIAL O</v>
      </c>
      <c r="C43" s="23"/>
      <c r="D43" s="2">
        <f>-1121</f>
        <v>-1121</v>
      </c>
      <c r="E43" s="2">
        <f>-57.96</f>
        <v>-57.96</v>
      </c>
      <c r="F43" s="2">
        <f>-3.99</f>
        <v>-3.99</v>
      </c>
      <c r="G43" s="2">
        <f>-363.98</f>
        <v>-363.98</v>
      </c>
      <c r="H43" s="2"/>
      <c r="I43" s="2"/>
      <c r="J43" s="2"/>
      <c r="K43" s="2"/>
      <c r="L43" s="2"/>
      <c r="M43" s="2"/>
      <c r="N43" s="2"/>
      <c r="O43" s="2"/>
      <c r="Q43" s="2">
        <f>SUM(OSRRefD11_32x)+IFERROR(SUM(OSRRefE11_32x),0)</f>
        <v>-1546.93</v>
      </c>
    </row>
    <row r="44" spans="1:17" s="9" customFormat="1" hidden="1" outlineLevel="1" x14ac:dyDescent="0.25">
      <c r="A44" s="22"/>
      <c r="B44" s="13" t="str">
        <f>CONCATENATE("          ","4340", " - ","SALES RETURN NON TAXABLE-LOGO")</f>
        <v xml:space="preserve">          4340 - SALES RETURN NON TAXABLE-LOGO</v>
      </c>
      <c r="C44" s="23"/>
      <c r="D44" s="2">
        <f>-434.24</f>
        <v>-434.24</v>
      </c>
      <c r="E44" s="2">
        <f>-69.9</f>
        <v>-69.900000000000006</v>
      </c>
      <c r="F44" s="2">
        <f>-36.9</f>
        <v>-36.9</v>
      </c>
      <c r="G44" s="2">
        <f>-195.69</f>
        <v>-195.69</v>
      </c>
      <c r="H44" s="2"/>
      <c r="I44" s="2"/>
      <c r="J44" s="2"/>
      <c r="K44" s="2"/>
      <c r="L44" s="2"/>
      <c r="M44" s="2"/>
      <c r="N44" s="2"/>
      <c r="O44" s="2"/>
      <c r="Q44" s="2">
        <f>SUM(OSRRefD11_33x)+IFERROR(SUM(OSRRefE11_33x),0)</f>
        <v>-736.73</v>
      </c>
    </row>
    <row r="45" spans="1:17" s="9" customFormat="1" hidden="1" outlineLevel="1" x14ac:dyDescent="0.25">
      <c r="A45" s="22"/>
      <c r="B45" s="13" t="str">
        <f>CONCATENATE("          ","4341", " - ","SALES RETURN NON TAXABLE-LOGO")</f>
        <v xml:space="preserve">          4341 - SALES RETURN NON TAXABLE-LOGO</v>
      </c>
      <c r="C45" s="23"/>
      <c r="D45" s="2">
        <f>-16.95</f>
        <v>-16.95</v>
      </c>
      <c r="E45" s="2">
        <f>0</f>
        <v>0</v>
      </c>
      <c r="F45" s="2">
        <f>-129.95</f>
        <v>-129.94999999999999</v>
      </c>
      <c r="G45" s="2">
        <f t="shared" ref="G45:G46" si="8">0</f>
        <v>0</v>
      </c>
      <c r="H45" s="2"/>
      <c r="I45" s="2"/>
      <c r="J45" s="2"/>
      <c r="K45" s="2"/>
      <c r="L45" s="2"/>
      <c r="M45" s="2"/>
      <c r="N45" s="2"/>
      <c r="O45" s="2"/>
      <c r="Q45" s="2">
        <f>SUM(OSRRefD11_34x)+IFERROR(SUM(OSRRefE11_34x),0)</f>
        <v>-146.89999999999998</v>
      </c>
    </row>
    <row r="46" spans="1:17" s="9" customFormat="1" hidden="1" outlineLevel="1" x14ac:dyDescent="0.25">
      <c r="A46" s="22"/>
      <c r="B46" s="13" t="str">
        <f>CONCATENATE("          ","4342", " - ","SALES RETURN NON TAXABLE-EVERY")</f>
        <v xml:space="preserve">          4342 - SALES RETURN NON TAXABLE-EVERY</v>
      </c>
      <c r="C46" s="23"/>
      <c r="D46" s="2">
        <f>-79.85</f>
        <v>-79.849999999999994</v>
      </c>
      <c r="E46" s="2">
        <f>-13.9</f>
        <v>-13.9</v>
      </c>
      <c r="F46" s="2">
        <f>-24.95</f>
        <v>-24.95</v>
      </c>
      <c r="G46" s="2">
        <f t="shared" si="8"/>
        <v>0</v>
      </c>
      <c r="H46" s="2"/>
      <c r="I46" s="2"/>
      <c r="J46" s="2"/>
      <c r="K46" s="2"/>
      <c r="L46" s="2"/>
      <c r="M46" s="2"/>
      <c r="N46" s="2"/>
      <c r="O46" s="2"/>
      <c r="Q46" s="2">
        <f>SUM(OSRRefD11_35x)+IFERROR(SUM(OSRRefE11_35x),0)</f>
        <v>-118.7</v>
      </c>
    </row>
    <row r="47" spans="1:17" x14ac:dyDescent="0.25">
      <c r="A47" s="5"/>
      <c r="B47" s="8"/>
      <c r="C47" s="5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Q47" s="3"/>
    </row>
    <row r="48" spans="1:17" s="9" customFormat="1" collapsed="1" x14ac:dyDescent="0.25">
      <c r="A48" s="22"/>
      <c r="B48" s="16" t="s">
        <v>290</v>
      </c>
      <c r="C48" s="23"/>
      <c r="D48" s="3">
        <f>SUM(OSRRefD14x_0)</f>
        <v>110539.94</v>
      </c>
      <c r="E48" s="3">
        <f>SUM(OSRRefD14x_1)</f>
        <v>180056</v>
      </c>
      <c r="F48" s="3">
        <f>SUM(OSRRefD14x_2)</f>
        <v>68684.60000000002</v>
      </c>
      <c r="G48" s="3">
        <f>SUM(OSRRefD14x_3)</f>
        <v>60248.999999999985</v>
      </c>
      <c r="H48" s="3">
        <f>SUM(OSRRefE14x_0)</f>
        <v>158209</v>
      </c>
      <c r="I48" s="3">
        <f>SUM(OSRRefE14x_1)</f>
        <v>144639</v>
      </c>
      <c r="J48" s="3">
        <f>SUM(OSRRefE14x_2)</f>
        <v>106206</v>
      </c>
      <c r="K48" s="3">
        <f>SUM(OSRRefE14x_3)</f>
        <v>157166</v>
      </c>
      <c r="L48" s="3">
        <f>SUM(OSRRefE14x_4)</f>
        <v>144577</v>
      </c>
      <c r="M48" s="3">
        <f>SUM(OSRRefE14x_5)</f>
        <v>144606</v>
      </c>
      <c r="N48" s="3">
        <f>SUM(OSRRefE14x_6)</f>
        <v>185175</v>
      </c>
      <c r="O48" s="3">
        <f>SUM(OSRRefE14x_7)</f>
        <v>156260</v>
      </c>
      <c r="Q48" s="3">
        <f>SUM(OSRRefG14x)</f>
        <v>1616367.54</v>
      </c>
    </row>
    <row r="49" spans="1:17" s="9" customFormat="1" hidden="1" outlineLevel="1" x14ac:dyDescent="0.25">
      <c r="A49" s="22"/>
      <c r="B49" s="13" t="str">
        <f>CONCATENATE("          ","5000", " - ","PURCHASES @ COST")</f>
        <v xml:space="preserve">          5000 - PURCHASES @ COST</v>
      </c>
      <c r="C49" s="23"/>
      <c r="D49" s="2"/>
      <c r="E49" s="2"/>
      <c r="F49" s="2"/>
      <c r="G49" s="2"/>
      <c r="H49" s="2">
        <v>158209</v>
      </c>
      <c r="I49" s="2">
        <v>144639</v>
      </c>
      <c r="J49" s="2">
        <v>106206</v>
      </c>
      <c r="K49" s="2">
        <v>157166</v>
      </c>
      <c r="L49" s="2">
        <v>144577</v>
      </c>
      <c r="M49" s="2">
        <v>144606</v>
      </c>
      <c r="N49" s="2">
        <v>185175</v>
      </c>
      <c r="O49" s="2">
        <v>156260</v>
      </c>
      <c r="Q49" s="2">
        <f>SUM(OSRRefD14_0x)+IFERROR(SUM(OSRRefE14_0x),0)</f>
        <v>1196838</v>
      </c>
    </row>
    <row r="50" spans="1:17" s="9" customFormat="1" hidden="1" outlineLevel="1" x14ac:dyDescent="0.25">
      <c r="A50" s="22"/>
      <c r="B50" s="13" t="str">
        <f>CONCATENATE("          ","5025", " - ","PURCHASES @ COST-TEST FORMS")</f>
        <v xml:space="preserve">          5025 - PURCHASES @ COST-TEST FORMS</v>
      </c>
      <c r="C50" s="23"/>
      <c r="D50" s="2"/>
      <c r="E50" s="2"/>
      <c r="F50" s="2"/>
      <c r="G50" s="2">
        <v>599.29</v>
      </c>
      <c r="H50" s="2"/>
      <c r="I50" s="2"/>
      <c r="J50" s="2"/>
      <c r="K50" s="2"/>
      <c r="L50" s="2"/>
      <c r="M50" s="2"/>
      <c r="N50" s="2"/>
      <c r="O50" s="2"/>
      <c r="Q50" s="2">
        <f>SUM(OSRRefD14_1x)+IFERROR(SUM(OSRRefE14_1x),0)</f>
        <v>599.29</v>
      </c>
    </row>
    <row r="51" spans="1:17" s="9" customFormat="1" hidden="1" outlineLevel="1" x14ac:dyDescent="0.25">
      <c r="A51" s="22"/>
      <c r="B51" s="13" t="str">
        <f>CONCATENATE("          ","5026", " - ","PURCHASES @ COST-WRITING INSTR")</f>
        <v xml:space="preserve">          5026 - PURCHASES @ COST-WRITING INSTR</v>
      </c>
      <c r="C51" s="23"/>
      <c r="D51" s="2"/>
      <c r="E51" s="2"/>
      <c r="F51" s="2"/>
      <c r="G51" s="2">
        <v>10</v>
      </c>
      <c r="H51" s="2"/>
      <c r="I51" s="2"/>
      <c r="J51" s="2"/>
      <c r="K51" s="2"/>
      <c r="L51" s="2"/>
      <c r="M51" s="2"/>
      <c r="N51" s="2"/>
      <c r="O51" s="2"/>
      <c r="Q51" s="2">
        <f>SUM(OSRRefD14_2x)+IFERROR(SUM(OSRRefE14_2x),0)</f>
        <v>10</v>
      </c>
    </row>
    <row r="52" spans="1:17" s="9" customFormat="1" hidden="1" outlineLevel="1" x14ac:dyDescent="0.25">
      <c r="A52" s="22"/>
      <c r="B52" s="13" t="str">
        <f>CONCATENATE("          ","5027", " - ","PURCHASES @ COST-SCHOOL SUPPLI")</f>
        <v xml:space="preserve">          5027 - PURCHASES @ COST-SCHOOL SUPPLI</v>
      </c>
      <c r="C52" s="23"/>
      <c r="D52" s="2">
        <v>8503.4</v>
      </c>
      <c r="E52" s="2"/>
      <c r="F52" s="2"/>
      <c r="G52" s="2">
        <v>9672.48</v>
      </c>
      <c r="H52" s="2"/>
      <c r="I52" s="2"/>
      <c r="J52" s="2"/>
      <c r="K52" s="2"/>
      <c r="L52" s="2"/>
      <c r="M52" s="2"/>
      <c r="N52" s="2"/>
      <c r="O52" s="2"/>
      <c r="Q52" s="2">
        <f>SUM(OSRRefD14_3x)+IFERROR(SUM(OSRRefE14_3x),0)</f>
        <v>18175.879999999997</v>
      </c>
    </row>
    <row r="53" spans="1:17" s="9" customFormat="1" hidden="1" outlineLevel="1" x14ac:dyDescent="0.25">
      <c r="A53" s="22"/>
      <c r="B53" s="13" t="str">
        <f>CONCATENATE("          ","5028", " - ","PURCHASES @ COST-ART/TECH")</f>
        <v xml:space="preserve">          5028 - PURCHASES @ COST-ART/TECH</v>
      </c>
      <c r="C53" s="23"/>
      <c r="D53" s="2"/>
      <c r="E53" s="2"/>
      <c r="F53" s="2">
        <v>-83.4</v>
      </c>
      <c r="G53" s="2"/>
      <c r="H53" s="2"/>
      <c r="I53" s="2"/>
      <c r="J53" s="2"/>
      <c r="K53" s="2"/>
      <c r="L53" s="2"/>
      <c r="M53" s="2"/>
      <c r="N53" s="2"/>
      <c r="O53" s="2"/>
      <c r="Q53" s="2">
        <f>SUM(OSRRefD14_4x)+IFERROR(SUM(OSRRefE14_4x),0)</f>
        <v>-83.4</v>
      </c>
    </row>
    <row r="54" spans="1:17" s="9" customFormat="1" hidden="1" outlineLevel="1" x14ac:dyDescent="0.25">
      <c r="A54" s="22"/>
      <c r="B54" s="13" t="str">
        <f>CONCATENATE("          ","5031", " - ","PURCHASES @ COST-FOOD")</f>
        <v xml:space="preserve">          5031 - PURCHASES @ COST-FOOD</v>
      </c>
      <c r="C54" s="23"/>
      <c r="D54" s="2"/>
      <c r="E54" s="2"/>
      <c r="F54" s="2">
        <v>1183.51</v>
      </c>
      <c r="G54" s="2">
        <v>4421.92</v>
      </c>
      <c r="H54" s="2"/>
      <c r="I54" s="2"/>
      <c r="J54" s="2"/>
      <c r="K54" s="2"/>
      <c r="L54" s="2"/>
      <c r="M54" s="2"/>
      <c r="N54" s="2"/>
      <c r="O54" s="2"/>
      <c r="Q54" s="2">
        <f>SUM(OSRRefD14_5x)+IFERROR(SUM(OSRRefE14_5x),0)</f>
        <v>5605.43</v>
      </c>
    </row>
    <row r="55" spans="1:17" s="9" customFormat="1" hidden="1" outlineLevel="1" x14ac:dyDescent="0.25">
      <c r="A55" s="22"/>
      <c r="B55" s="13" t="str">
        <f>CONCATENATE("          ","5040", " - ","PURCHASES @ COST-LOGO CLOTHING")</f>
        <v xml:space="preserve">          5040 - PURCHASES @ COST-LOGO CLOTHING</v>
      </c>
      <c r="C55" s="23"/>
      <c r="D55" s="2">
        <v>1723.07</v>
      </c>
      <c r="E55" s="2">
        <v>7628.83</v>
      </c>
      <c r="F55" s="2">
        <v>4398.1499999999996</v>
      </c>
      <c r="G55" s="2">
        <v>25420.9</v>
      </c>
      <c r="H55" s="2"/>
      <c r="I55" s="2"/>
      <c r="J55" s="2"/>
      <c r="K55" s="2"/>
      <c r="L55" s="2"/>
      <c r="M55" s="2"/>
      <c r="N55" s="2"/>
      <c r="O55" s="2"/>
      <c r="Q55" s="2">
        <f>SUM(OSRRefD14_6x)+IFERROR(SUM(OSRRefE14_6x),0)</f>
        <v>39170.949999999997</v>
      </c>
    </row>
    <row r="56" spans="1:17" s="9" customFormat="1" hidden="1" outlineLevel="1" x14ac:dyDescent="0.25">
      <c r="A56" s="22"/>
      <c r="B56" s="13" t="str">
        <f>CONCATENATE("          ","5041", " - ","PURCHASES @ COST-LOGO GIFTS")</f>
        <v xml:space="preserve">          5041 - PURCHASES @ COST-LOGO GIFTS</v>
      </c>
      <c r="C56" s="23"/>
      <c r="D56" s="2">
        <v>-713.75</v>
      </c>
      <c r="E56" s="2">
        <v>1843.29</v>
      </c>
      <c r="F56" s="2">
        <v>868</v>
      </c>
      <c r="G56" s="2">
        <v>15289.8</v>
      </c>
      <c r="H56" s="2"/>
      <c r="I56" s="2"/>
      <c r="J56" s="2"/>
      <c r="K56" s="2"/>
      <c r="L56" s="2"/>
      <c r="M56" s="2"/>
      <c r="N56" s="2"/>
      <c r="O56" s="2"/>
      <c r="Q56" s="2">
        <f>SUM(OSRRefD14_7x)+IFERROR(SUM(OSRRefE14_7x),0)</f>
        <v>17287.34</v>
      </c>
    </row>
    <row r="57" spans="1:17" s="9" customFormat="1" hidden="1" outlineLevel="1" x14ac:dyDescent="0.25">
      <c r="A57" s="22"/>
      <c r="B57" s="13" t="str">
        <f>CONCATENATE("          ","5042", " - ","PURCHASES @ COST-EVERYDAY GIFT")</f>
        <v xml:space="preserve">          5042 - PURCHASES @ COST-EVERYDAY GIFT</v>
      </c>
      <c r="C57" s="23"/>
      <c r="D57" s="2">
        <v>236.16</v>
      </c>
      <c r="E57" s="2">
        <v>732.99</v>
      </c>
      <c r="F57" s="2">
        <v>522</v>
      </c>
      <c r="G57" s="2">
        <v>9421.5300000000007</v>
      </c>
      <c r="H57" s="2"/>
      <c r="I57" s="2"/>
      <c r="J57" s="2"/>
      <c r="K57" s="2"/>
      <c r="L57" s="2"/>
      <c r="M57" s="2"/>
      <c r="N57" s="2"/>
      <c r="O57" s="2"/>
      <c r="Q57" s="2">
        <f>SUM(OSRRefD14_8x)+IFERROR(SUM(OSRRefE14_8x),0)</f>
        <v>10912.68</v>
      </c>
    </row>
    <row r="58" spans="1:17" s="9" customFormat="1" hidden="1" outlineLevel="1" x14ac:dyDescent="0.25">
      <c r="A58" s="22"/>
      <c r="B58" s="13" t="str">
        <f>CONCATENATE("          ","5043", " - ","PURCHASES @ COST-CARDS")</f>
        <v xml:space="preserve">          5043 - PURCHASES @ COST-CARDS</v>
      </c>
      <c r="C58" s="23"/>
      <c r="D58" s="2">
        <v>308.7</v>
      </c>
      <c r="E58" s="2">
        <v>1406.55</v>
      </c>
      <c r="F58" s="2">
        <v>1401</v>
      </c>
      <c r="G58" s="2">
        <v>2526.75</v>
      </c>
      <c r="H58" s="2"/>
      <c r="I58" s="2"/>
      <c r="J58" s="2"/>
      <c r="K58" s="2"/>
      <c r="L58" s="2"/>
      <c r="M58" s="2"/>
      <c r="N58" s="2"/>
      <c r="O58" s="2"/>
      <c r="Q58" s="2">
        <f>SUM(OSRRefD14_9x)+IFERROR(SUM(OSRRefE14_9x),0)</f>
        <v>5643</v>
      </c>
    </row>
    <row r="59" spans="1:17" s="9" customFormat="1" hidden="1" outlineLevel="1" x14ac:dyDescent="0.25">
      <c r="A59" s="22"/>
      <c r="B59" s="13" t="str">
        <f>CONCATENATE("          ","5045", " - ","PURCHASES @ COST-SPECIAL ORDER")</f>
        <v xml:space="preserve">          5045 - PURCHASES @ COST-SPECIAL ORDER</v>
      </c>
      <c r="C59" s="23"/>
      <c r="D59" s="2">
        <v>2756.21</v>
      </c>
      <c r="E59" s="2">
        <v>5633.96</v>
      </c>
      <c r="F59" s="2">
        <v>52784.12</v>
      </c>
      <c r="G59" s="2">
        <v>10080.23</v>
      </c>
      <c r="H59" s="2"/>
      <c r="I59" s="2"/>
      <c r="J59" s="2"/>
      <c r="K59" s="2"/>
      <c r="L59" s="2"/>
      <c r="M59" s="2"/>
      <c r="N59" s="2"/>
      <c r="O59" s="2"/>
      <c r="Q59" s="2">
        <f>SUM(OSRRefD14_10x)+IFERROR(SUM(OSRRefE14_10x),0)</f>
        <v>71254.52</v>
      </c>
    </row>
    <row r="60" spans="1:17" s="9" customFormat="1" hidden="1" outlineLevel="1" x14ac:dyDescent="0.25">
      <c r="A60" s="22"/>
      <c r="B60" s="13" t="str">
        <f>CONCATENATE("          ","5200", " - ","PURCHASES OFFSET")</f>
        <v xml:space="preserve">          5200 - PURCHASES OFFSET</v>
      </c>
      <c r="C60" s="23"/>
      <c r="D60" s="2">
        <v>-13113.6</v>
      </c>
      <c r="E60" s="2">
        <v>-18536.04</v>
      </c>
      <c r="F60" s="2">
        <v>-61907.239999999991</v>
      </c>
      <c r="G60" s="2">
        <v>-79762.5</v>
      </c>
      <c r="H60" s="2"/>
      <c r="I60" s="2"/>
      <c r="J60" s="2"/>
      <c r="K60" s="2"/>
      <c r="L60" s="2"/>
      <c r="M60" s="2"/>
      <c r="N60" s="2"/>
      <c r="O60" s="2"/>
      <c r="Q60" s="2">
        <f>SUM(OSRRefD14_11x)+IFERROR(SUM(OSRRefE14_11x),0)</f>
        <v>-173319.38</v>
      </c>
    </row>
    <row r="61" spans="1:17" s="9" customFormat="1" hidden="1" outlineLevel="1" x14ac:dyDescent="0.25">
      <c r="A61" s="22"/>
      <c r="B61" s="13" t="str">
        <f>CONCATENATE("          ","5300", " - ","COG$ OFFSET")</f>
        <v xml:space="preserve">          5300 - COG$ OFFSET</v>
      </c>
      <c r="C61" s="23"/>
      <c r="D61" s="2">
        <v>109540</v>
      </c>
      <c r="E61" s="2">
        <v>180056</v>
      </c>
      <c r="F61" s="2">
        <v>68768</v>
      </c>
      <c r="G61" s="2">
        <v>60248.999999999993</v>
      </c>
      <c r="H61" s="2"/>
      <c r="I61" s="2"/>
      <c r="J61" s="2"/>
      <c r="K61" s="2"/>
      <c r="L61" s="2"/>
      <c r="M61" s="2"/>
      <c r="N61" s="2"/>
      <c r="O61" s="2"/>
      <c r="Q61" s="2">
        <f>SUM(OSRRefD14_12x)+IFERROR(SUM(OSRRefE14_12x),0)</f>
        <v>418613</v>
      </c>
    </row>
    <row r="62" spans="1:17" s="9" customFormat="1" hidden="1" outlineLevel="1" x14ac:dyDescent="0.25">
      <c r="A62" s="22"/>
      <c r="B62" s="13" t="str">
        <f>CONCATENATE("          ","5525", " - ","FREIGHT-IN-TEST FORMS")</f>
        <v xml:space="preserve">          5525 - FREIGHT-IN-TEST FORMS</v>
      </c>
      <c r="C62" s="23"/>
      <c r="D62" s="2"/>
      <c r="E62" s="2"/>
      <c r="F62" s="2"/>
      <c r="G62" s="2">
        <v>48.14</v>
      </c>
      <c r="H62" s="2"/>
      <c r="I62" s="2"/>
      <c r="J62" s="2"/>
      <c r="K62" s="2"/>
      <c r="L62" s="2"/>
      <c r="M62" s="2"/>
      <c r="N62" s="2"/>
      <c r="O62" s="2"/>
      <c r="Q62" s="2">
        <f>SUM(OSRRefD14_13x)+IFERROR(SUM(OSRRefE14_13x),0)</f>
        <v>48.14</v>
      </c>
    </row>
    <row r="63" spans="1:17" s="9" customFormat="1" hidden="1" outlineLevel="1" x14ac:dyDescent="0.25">
      <c r="A63" s="22"/>
      <c r="B63" s="13" t="str">
        <f>CONCATENATE("          ","5527", " - ","FREIGHT-IN-SCHOOL SUPPLIES")</f>
        <v xml:space="preserve">          5527 - FREIGHT-IN-SCHOOL SUPPLIES</v>
      </c>
      <c r="C63" s="23"/>
      <c r="D63" s="2"/>
      <c r="E63" s="2"/>
      <c r="F63" s="2"/>
      <c r="G63" s="2">
        <v>56</v>
      </c>
      <c r="H63" s="2"/>
      <c r="I63" s="2"/>
      <c r="J63" s="2"/>
      <c r="K63" s="2"/>
      <c r="L63" s="2"/>
      <c r="M63" s="2"/>
      <c r="N63" s="2"/>
      <c r="O63" s="2"/>
      <c r="Q63" s="2">
        <f>SUM(OSRRefD14_14x)+IFERROR(SUM(OSRRefE14_14x),0)</f>
        <v>56</v>
      </c>
    </row>
    <row r="64" spans="1:17" s="9" customFormat="1" hidden="1" outlineLevel="1" x14ac:dyDescent="0.25">
      <c r="A64" s="22"/>
      <c r="B64" s="13" t="str">
        <f>CONCATENATE("          ","5528", " - ","FREIGHT-IN-ART/TECH")</f>
        <v xml:space="preserve">          5528 - FREIGHT-IN-ART/TECH</v>
      </c>
      <c r="C64" s="23"/>
      <c r="D64" s="2"/>
      <c r="E64" s="2"/>
      <c r="F64" s="2"/>
      <c r="G64" s="2">
        <v>3.94</v>
      </c>
      <c r="H64" s="2"/>
      <c r="I64" s="2"/>
      <c r="J64" s="2"/>
      <c r="K64" s="2"/>
      <c r="L64" s="2"/>
      <c r="M64" s="2"/>
      <c r="N64" s="2"/>
      <c r="O64" s="2"/>
      <c r="Q64" s="2">
        <f>SUM(OSRRefD14_15x)+IFERROR(SUM(OSRRefE14_15x),0)</f>
        <v>3.94</v>
      </c>
    </row>
    <row r="65" spans="1:17" s="9" customFormat="1" hidden="1" outlineLevel="1" x14ac:dyDescent="0.25">
      <c r="A65" s="22"/>
      <c r="B65" s="13" t="str">
        <f>CONCATENATE("          ","5540", " - ","FREIGHT-IN-LOGO CLOTHING")</f>
        <v xml:space="preserve">          5540 - FREIGHT-IN-LOGO CLOTHING</v>
      </c>
      <c r="C65" s="23"/>
      <c r="D65" s="2">
        <v>909.83</v>
      </c>
      <c r="E65" s="2">
        <v>1021.7</v>
      </c>
      <c r="F65" s="2">
        <v>234.23</v>
      </c>
      <c r="G65" s="2">
        <v>1036.57</v>
      </c>
      <c r="H65" s="2"/>
      <c r="I65" s="2"/>
      <c r="J65" s="2"/>
      <c r="K65" s="2"/>
      <c r="L65" s="2"/>
      <c r="M65" s="2"/>
      <c r="N65" s="2"/>
      <c r="O65" s="2"/>
      <c r="Q65" s="2">
        <f>SUM(OSRRefD14_16x)+IFERROR(SUM(OSRRefE14_16x),0)</f>
        <v>3202.33</v>
      </c>
    </row>
    <row r="66" spans="1:17" s="9" customFormat="1" hidden="1" outlineLevel="1" x14ac:dyDescent="0.25">
      <c r="A66" s="22"/>
      <c r="B66" s="13" t="str">
        <f>CONCATENATE("          ","5541", " - ","FREIGHT-IN-LOGO GIFTS")</f>
        <v xml:space="preserve">          5541 - FREIGHT-IN-LOGO GIFTS</v>
      </c>
      <c r="C66" s="23"/>
      <c r="D66" s="2">
        <v>83.58</v>
      </c>
      <c r="E66" s="2">
        <v>123.12</v>
      </c>
      <c r="F66" s="2">
        <v>154.41</v>
      </c>
      <c r="G66" s="2">
        <v>773.7</v>
      </c>
      <c r="H66" s="2"/>
      <c r="I66" s="2"/>
      <c r="J66" s="2"/>
      <c r="K66" s="2"/>
      <c r="L66" s="2"/>
      <c r="M66" s="2"/>
      <c r="N66" s="2"/>
      <c r="O66" s="2"/>
      <c r="Q66" s="2">
        <f>SUM(OSRRefD14_17x)+IFERROR(SUM(OSRRefE14_17x),0)</f>
        <v>1134.81</v>
      </c>
    </row>
    <row r="67" spans="1:17" s="9" customFormat="1" hidden="1" outlineLevel="1" x14ac:dyDescent="0.25">
      <c r="A67" s="22"/>
      <c r="B67" s="13" t="str">
        <f>CONCATENATE("          ","5542", " - ","FREIGHT-IN-EVERYDAY GIFTS")</f>
        <v xml:space="preserve">          5542 - FREIGHT-IN-EVERYDAY GIFTS</v>
      </c>
      <c r="C67" s="23"/>
      <c r="D67" s="2">
        <v>5.94</v>
      </c>
      <c r="E67" s="2"/>
      <c r="F67" s="2">
        <v>65.44</v>
      </c>
      <c r="G67" s="2">
        <v>104.17</v>
      </c>
      <c r="H67" s="2"/>
      <c r="I67" s="2"/>
      <c r="J67" s="2"/>
      <c r="K67" s="2"/>
      <c r="L67" s="2"/>
      <c r="M67" s="2"/>
      <c r="N67" s="2"/>
      <c r="O67" s="2"/>
      <c r="Q67" s="2">
        <f>SUM(OSRRefD14_18x)+IFERROR(SUM(OSRRefE14_18x),0)</f>
        <v>175.55</v>
      </c>
    </row>
    <row r="68" spans="1:17" s="9" customFormat="1" hidden="1" outlineLevel="1" x14ac:dyDescent="0.25">
      <c r="A68" s="22"/>
      <c r="B68" s="13" t="str">
        <f>CONCATENATE("          ","5543", " - ","FREIGHT-IN-CARDS")</f>
        <v xml:space="preserve">          5543 - FREIGHT-IN-CARDS</v>
      </c>
      <c r="C68" s="23"/>
      <c r="D68" s="2"/>
      <c r="E68" s="2"/>
      <c r="F68" s="2">
        <v>81.77</v>
      </c>
      <c r="G68" s="2">
        <v>107.42</v>
      </c>
      <c r="H68" s="2"/>
      <c r="I68" s="2"/>
      <c r="J68" s="2"/>
      <c r="K68" s="2"/>
      <c r="L68" s="2"/>
      <c r="M68" s="2"/>
      <c r="N68" s="2"/>
      <c r="O68" s="2"/>
      <c r="Q68" s="2">
        <f>SUM(OSRRefD14_19x)+IFERROR(SUM(OSRRefE14_19x),0)</f>
        <v>189.19</v>
      </c>
    </row>
    <row r="69" spans="1:17" s="9" customFormat="1" hidden="1" outlineLevel="1" x14ac:dyDescent="0.25">
      <c r="A69" s="22"/>
      <c r="B69" s="13" t="str">
        <f>CONCATENATE("          ","5545", " - ","FREIGHT-IN-SPECIAL ORDERS")</f>
        <v xml:space="preserve">          5545 - FREIGHT-IN-SPECIAL ORDERS</v>
      </c>
      <c r="C69" s="23"/>
      <c r="D69" s="2">
        <v>300.39999999999998</v>
      </c>
      <c r="E69" s="2">
        <v>145.6</v>
      </c>
      <c r="F69" s="2">
        <v>214.61</v>
      </c>
      <c r="G69" s="2">
        <v>189.66</v>
      </c>
      <c r="H69" s="2"/>
      <c r="I69" s="2"/>
      <c r="J69" s="2"/>
      <c r="K69" s="2"/>
      <c r="L69" s="2"/>
      <c r="M69" s="2"/>
      <c r="N69" s="2"/>
      <c r="O69" s="2"/>
      <c r="Q69" s="2">
        <f>SUM(OSRRefD14_20x)+IFERROR(SUM(OSRRefE14_20x),0)</f>
        <v>850.27</v>
      </c>
    </row>
    <row r="70" spans="1:17" x14ac:dyDescent="0.25">
      <c r="A70" s="5"/>
      <c r="B70" s="8"/>
      <c r="C70" s="8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4" customFormat="1" x14ac:dyDescent="0.25">
      <c r="A71" s="8"/>
      <c r="B71" s="17" t="s">
        <v>6</v>
      </c>
      <c r="C71" s="17"/>
      <c r="D71" s="6">
        <f t="shared" ref="D71:O71" si="9">IFERROR(+D10-D48, 0)</f>
        <v>64240.879999999976</v>
      </c>
      <c r="E71" s="6">
        <f t="shared" si="9"/>
        <v>131002.33999999991</v>
      </c>
      <c r="F71" s="6">
        <f t="shared" si="9"/>
        <v>45083.559999999969</v>
      </c>
      <c r="G71" s="6">
        <f t="shared" si="9"/>
        <v>55160.98000000004</v>
      </c>
      <c r="H71" s="6">
        <f t="shared" si="9"/>
        <v>138493.19999999995</v>
      </c>
      <c r="I71" s="6">
        <f t="shared" si="9"/>
        <v>131602</v>
      </c>
      <c r="J71" s="6">
        <f t="shared" si="9"/>
        <v>95347.299999999988</v>
      </c>
      <c r="K71" s="6">
        <f t="shared" si="9"/>
        <v>125401.29999999999</v>
      </c>
      <c r="L71" s="6">
        <f t="shared" si="9"/>
        <v>121209.79999999999</v>
      </c>
      <c r="M71" s="6">
        <f t="shared" si="9"/>
        <v>116587</v>
      </c>
      <c r="N71" s="6">
        <f t="shared" si="9"/>
        <v>152018.30000000005</v>
      </c>
      <c r="O71" s="6">
        <f t="shared" si="9"/>
        <v>136582</v>
      </c>
      <c r="Q71" s="6">
        <f>IFERROR(+Q10-Q48, 0)</f>
        <v>1312728.6600000001</v>
      </c>
    </row>
    <row r="72" spans="1:17" s="8" customFormat="1" x14ac:dyDescent="0.25">
      <c r="B72" s="16"/>
      <c r="C72" s="16"/>
      <c r="D72" s="4">
        <f t="shared" ref="D72:O72" si="10">IFERROR(D71/D10, 0)</f>
        <v>0.3675510848387139</v>
      </c>
      <c r="E72" s="4">
        <f t="shared" si="10"/>
        <v>0.42115038613013861</v>
      </c>
      <c r="F72" s="4">
        <f t="shared" si="10"/>
        <v>0.39627572424481483</v>
      </c>
      <c r="G72" s="4">
        <f t="shared" si="10"/>
        <v>0.47795675902551954</v>
      </c>
      <c r="H72" s="4">
        <f t="shared" si="10"/>
        <v>0.46677510311686254</v>
      </c>
      <c r="I72" s="4">
        <f t="shared" si="10"/>
        <v>0.47640285113361158</v>
      </c>
      <c r="J72" s="4">
        <f t="shared" si="10"/>
        <v>0.47306246040129335</v>
      </c>
      <c r="K72" s="4">
        <f t="shared" si="10"/>
        <v>0.44379268230966568</v>
      </c>
      <c r="L72" s="4">
        <f t="shared" si="10"/>
        <v>0.45604145879328845</v>
      </c>
      <c r="M72" s="4">
        <f t="shared" si="10"/>
        <v>0.44636341709004451</v>
      </c>
      <c r="N72" s="4">
        <f t="shared" si="10"/>
        <v>0.45083428407385329</v>
      </c>
      <c r="O72" s="4">
        <f t="shared" si="10"/>
        <v>0.46640167735502419</v>
      </c>
      <c r="P72" s="18"/>
      <c r="Q72" s="4">
        <f>IFERROR(Q71/Q10, 0)</f>
        <v>0.44816850330829011</v>
      </c>
    </row>
    <row r="73" spans="1:17" x14ac:dyDescent="0.25">
      <c r="A73" s="5"/>
      <c r="B73" s="8"/>
      <c r="C73" s="5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Q73" s="1"/>
    </row>
    <row r="74" spans="1:17" s="14" customFormat="1" x14ac:dyDescent="0.25">
      <c r="A74" s="8"/>
      <c r="B74" s="16" t="s">
        <v>291</v>
      </c>
      <c r="C74" s="8"/>
      <c r="D74" s="10">
        <f>SUM(OSRRefD20x_0)</f>
        <v>62782.46</v>
      </c>
      <c r="E74" s="10">
        <f>SUM(OSRRefD20x_1)</f>
        <v>78463.589999999982</v>
      </c>
      <c r="F74" s="10">
        <f>SUM(OSRRefD20x_2)</f>
        <v>68755.760000000009</v>
      </c>
      <c r="G74" s="10">
        <f>SUM(OSRRefD20x_3)</f>
        <v>75807.510000000009</v>
      </c>
      <c r="H74" s="10">
        <f>SUM(OSRRefE20x_0)</f>
        <v>108793.03962692304</v>
      </c>
      <c r="I74" s="10">
        <f>SUM(OSRRefE20x_1)</f>
        <v>111771.55583076918</v>
      </c>
      <c r="J74" s="10">
        <f>SUM(OSRRefE20x_2)</f>
        <v>129218.79091015385</v>
      </c>
      <c r="K74" s="10">
        <f>SUM(OSRRefE20x_3)</f>
        <v>120776.85625092307</v>
      </c>
      <c r="L74" s="10">
        <f>SUM(OSRRefE20x_4)</f>
        <v>114001.75797492306</v>
      </c>
      <c r="M74" s="10">
        <f>SUM(OSRRefE20x_5)</f>
        <v>128577.55370415386</v>
      </c>
      <c r="N74" s="10">
        <f>SUM(OSRRefE20x_6)</f>
        <v>111566.00663892306</v>
      </c>
      <c r="O74" s="10">
        <f>SUM(OSRRefE20x_7)</f>
        <v>92870.657397723058</v>
      </c>
      <c r="Q74" s="10">
        <f>SUM(OSRRefG20x)</f>
        <v>1203385.5383344921</v>
      </c>
    </row>
    <row r="75" spans="1:17" s="34" customFormat="1" collapsed="1" x14ac:dyDescent="0.25">
      <c r="A75" s="35"/>
      <c r="B75" s="15" t="str">
        <f>CONCATENATE("     ","*Benefits                                         ")</f>
        <v xml:space="preserve">     *Benefits                                         </v>
      </c>
      <c r="C75" s="15"/>
      <c r="D75" s="1">
        <f>SUM(OSRRefD21_0x_0)</f>
        <v>13065.430000000002</v>
      </c>
      <c r="E75" s="1">
        <f>SUM(OSRRefD21_0x_1)</f>
        <v>15999.289999999999</v>
      </c>
      <c r="F75" s="1">
        <f>SUM(OSRRefD21_0x_2)</f>
        <v>19144.490000000005</v>
      </c>
      <c r="G75" s="1">
        <f>SUM(OSRRefD21_0x_3)</f>
        <v>15231.83</v>
      </c>
      <c r="H75" s="1">
        <f>SUM(OSRRefE21_0x_0)</f>
        <v>18758.078088461531</v>
      </c>
      <c r="I75" s="1">
        <f>SUM(OSRRefE21_0x_1)</f>
        <v>20489.017369230773</v>
      </c>
      <c r="J75" s="1">
        <f>SUM(OSRRefE21_0x_2)</f>
        <v>21498.13648707691</v>
      </c>
      <c r="K75" s="1">
        <f>SUM(OSRRefE21_0x_3)</f>
        <v>19212.584712461532</v>
      </c>
      <c r="L75" s="1">
        <f>SUM(OSRRefE21_0x_4)</f>
        <v>19075.646436461531</v>
      </c>
      <c r="M75" s="1">
        <f>SUM(OSRRefE21_0x_5)</f>
        <v>21481.359281076908</v>
      </c>
      <c r="N75" s="1">
        <f>SUM(OSRRefE21_0x_6)</f>
        <v>18997.655100461532</v>
      </c>
      <c r="O75" s="1">
        <f>SUM(OSRRefE21_0x_7)</f>
        <v>20044.885859261532</v>
      </c>
      <c r="Q75" s="2">
        <f>SUM(OSRRefD20_0x)+IFERROR(SUM(OSRRefE20_0x),0)</f>
        <v>222998.40333449226</v>
      </c>
    </row>
    <row r="76" spans="1:17" s="34" customFormat="1" hidden="1" outlineLevel="1" x14ac:dyDescent="0.25">
      <c r="A76" s="35"/>
      <c r="B76" s="13" t="str">
        <f>CONCATENATE("          ","6111", " - ","F.I.C.A.")</f>
        <v xml:space="preserve">          6111 - F.I.C.A.</v>
      </c>
      <c r="C76" s="15"/>
      <c r="D76" s="2">
        <v>2072.21</v>
      </c>
      <c r="E76" s="2">
        <v>2882.59</v>
      </c>
      <c r="F76" s="2">
        <v>5873.67</v>
      </c>
      <c r="G76" s="2">
        <v>3369.28</v>
      </c>
      <c r="H76" s="2">
        <v>2768.3844461538479</v>
      </c>
      <c r="I76" s="2">
        <v>3048.6608538461583</v>
      </c>
      <c r="J76" s="2">
        <v>3531.4238676923046</v>
      </c>
      <c r="K76" s="2">
        <v>2825.139094153848</v>
      </c>
      <c r="L76" s="2">
        <v>2825.139094153848</v>
      </c>
      <c r="M76" s="2">
        <v>3531.4238676923046</v>
      </c>
      <c r="N76" s="2">
        <v>2825.139094153848</v>
      </c>
      <c r="O76" s="2">
        <v>4484.9645909538476</v>
      </c>
      <c r="P76" s="9"/>
      <c r="Q76" s="2">
        <f>SUM(OSRRefD21_0_0x)+IFERROR(SUM(OSRRefE21_0_0x),0)</f>
        <v>40038.024908800013</v>
      </c>
    </row>
    <row r="77" spans="1:17" s="34" customFormat="1" hidden="1" outlineLevel="1" x14ac:dyDescent="0.25">
      <c r="A77" s="35"/>
      <c r="B77" s="13" t="str">
        <f>CONCATENATE("          ","6112", " - ","COMPENSATION INSURANCE")</f>
        <v xml:space="preserve">          6112 - COMPENSATION INSURANCE</v>
      </c>
      <c r="C77" s="15"/>
      <c r="D77" s="2">
        <v>590.98</v>
      </c>
      <c r="E77" s="2">
        <v>983.4</v>
      </c>
      <c r="F77" s="2">
        <v>2711.85</v>
      </c>
      <c r="G77" s="2">
        <v>716.01</v>
      </c>
      <c r="H77" s="2">
        <v>1384.1394038461519</v>
      </c>
      <c r="I77" s="2">
        <v>1412.940346153842</v>
      </c>
      <c r="J77" s="2">
        <v>1744.438032307695</v>
      </c>
      <c r="K77" s="2">
        <v>1576.431363846152</v>
      </c>
      <c r="L77" s="2">
        <v>1494.9729038461519</v>
      </c>
      <c r="M77" s="2">
        <v>1734.458022307695</v>
      </c>
      <c r="N77" s="2">
        <v>1448.5793438461519</v>
      </c>
      <c r="O77" s="2">
        <v>1084.1741138461541</v>
      </c>
      <c r="P77" s="9"/>
      <c r="Q77" s="2">
        <f>SUM(OSRRefD21_0_1x)+IFERROR(SUM(OSRRefE21_0_1x),0)</f>
        <v>16882.373529999993</v>
      </c>
    </row>
    <row r="78" spans="1:17" s="34" customFormat="1" hidden="1" outlineLevel="1" x14ac:dyDescent="0.25">
      <c r="A78" s="35"/>
      <c r="B78" s="13" t="str">
        <f>CONCATENATE("          ","6113", " - ","GROUP INSURANCE")</f>
        <v xml:space="preserve">          6113 - GROUP INSURANCE</v>
      </c>
      <c r="C78" s="15"/>
      <c r="D78" s="2">
        <v>4838.6000000000004</v>
      </c>
      <c r="E78" s="2">
        <v>6377.33</v>
      </c>
      <c r="F78" s="2">
        <v>5541.11</v>
      </c>
      <c r="G78" s="2">
        <v>5541.11</v>
      </c>
      <c r="H78" s="2">
        <v>7938.8461538461497</v>
      </c>
      <c r="I78" s="2">
        <v>8928.8461538461506</v>
      </c>
      <c r="J78" s="2">
        <v>8092.3076923076906</v>
      </c>
      <c r="K78" s="2">
        <v>7938.8461538461497</v>
      </c>
      <c r="L78" s="2">
        <v>7938.8461538461497</v>
      </c>
      <c r="M78" s="2">
        <v>8092.3076923076906</v>
      </c>
      <c r="N78" s="2">
        <v>7938.8461538461497</v>
      </c>
      <c r="O78" s="2">
        <v>7938.8461538461497</v>
      </c>
      <c r="P78" s="9"/>
      <c r="Q78" s="2">
        <f>SUM(OSRRefD21_0_2x)+IFERROR(SUM(OSRRefE21_0_2x),0)</f>
        <v>87105.842307692277</v>
      </c>
    </row>
    <row r="79" spans="1:17" s="34" customFormat="1" hidden="1" outlineLevel="1" x14ac:dyDescent="0.25">
      <c r="A79" s="35"/>
      <c r="B79" s="13" t="str">
        <f>CONCATENATE("          ","6114", " - ","STATE UNEMPLOYMENT INSURANCE")</f>
        <v xml:space="preserve">          6114 - STATE UNEMPLOYMENT INSURANCE</v>
      </c>
      <c r="C79" s="15"/>
      <c r="D79" s="2">
        <v>67.400000000000006</v>
      </c>
      <c r="E79" s="2">
        <v>107.75</v>
      </c>
      <c r="F79" s="2">
        <v>227.12</v>
      </c>
      <c r="G79" s="2">
        <v>100.63</v>
      </c>
      <c r="H79" s="2">
        <v>194.52770000000001</v>
      </c>
      <c r="I79" s="2">
        <v>198.5754</v>
      </c>
      <c r="J79" s="2">
        <v>245.164264</v>
      </c>
      <c r="K79" s="2">
        <v>221.552516</v>
      </c>
      <c r="L79" s="2">
        <v>210.10429999999999</v>
      </c>
      <c r="M79" s="2">
        <v>243.76166799999999</v>
      </c>
      <c r="N79" s="2">
        <v>203.584124</v>
      </c>
      <c r="O79" s="2">
        <v>152.37041600000001</v>
      </c>
      <c r="P79" s="9"/>
      <c r="Q79" s="2">
        <f>SUM(OSRRefD21_0_3x)+IFERROR(SUM(OSRRefE21_0_3x),0)</f>
        <v>2172.5403879999999</v>
      </c>
    </row>
    <row r="80" spans="1:17" s="34" customFormat="1" hidden="1" outlineLevel="1" x14ac:dyDescent="0.25">
      <c r="A80" s="35"/>
      <c r="B80" s="13" t="str">
        <f>CONCATENATE("          ","6115", " - ","P.E.R.S.")</f>
        <v xml:space="preserve">          6115 - P.E.R.S.</v>
      </c>
      <c r="C80" s="15"/>
      <c r="D80" s="2">
        <v>2512.37</v>
      </c>
      <c r="E80" s="2">
        <v>1889.29</v>
      </c>
      <c r="F80" s="2">
        <v>1664.19</v>
      </c>
      <c r="G80" s="2">
        <v>1272.4100000000001</v>
      </c>
      <c r="H80" s="2">
        <v>1700.5507692307719</v>
      </c>
      <c r="I80" s="2">
        <v>1901.9892307692319</v>
      </c>
      <c r="J80" s="2">
        <v>2152.5204615384573</v>
      </c>
      <c r="K80" s="2">
        <v>1722.0163692307719</v>
      </c>
      <c r="L80" s="2">
        <v>1722.0163692307719</v>
      </c>
      <c r="M80" s="2">
        <v>2152.5204615384573</v>
      </c>
      <c r="N80" s="2">
        <v>1722.0163692307719</v>
      </c>
      <c r="O80" s="2">
        <v>1722.0163692307719</v>
      </c>
      <c r="P80" s="9"/>
      <c r="Q80" s="2">
        <f>SUM(OSRRefD21_0_4x)+IFERROR(SUM(OSRRefE21_0_4x),0)</f>
        <v>22133.906400000007</v>
      </c>
    </row>
    <row r="81" spans="1:17" s="34" customFormat="1" hidden="1" outlineLevel="1" x14ac:dyDescent="0.25">
      <c r="A81" s="35"/>
      <c r="B81" s="13" t="str">
        <f>CONCATENATE("          ","6116", " - ","EDUCATIONAL BENEFITS")</f>
        <v xml:space="preserve">          6116 - EDUCATIONAL BENEFITS</v>
      </c>
      <c r="C81" s="15"/>
      <c r="D81" s="2"/>
      <c r="E81" s="2"/>
      <c r="F81" s="2"/>
      <c r="G81" s="2"/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9"/>
      <c r="Q81" s="2">
        <f>SUM(OSRRefD21_0_5x)+IFERROR(SUM(OSRRefE21_0_5x),0)</f>
        <v>0</v>
      </c>
    </row>
    <row r="82" spans="1:17" s="34" customFormat="1" hidden="1" outlineLevel="1" x14ac:dyDescent="0.25">
      <c r="A82" s="35"/>
      <c r="B82" s="13" t="str">
        <f>CONCATENATE("          ","6118", " - ","VACATION")</f>
        <v xml:space="preserve">          6118 - VACATION</v>
      </c>
      <c r="C82" s="15"/>
      <c r="D82" s="2">
        <v>1625.03</v>
      </c>
      <c r="E82" s="2">
        <v>1849.98</v>
      </c>
      <c r="F82" s="2">
        <v>1385.36</v>
      </c>
      <c r="G82" s="2">
        <v>1957.79</v>
      </c>
      <c r="H82" s="2">
        <v>1430.6923076923049</v>
      </c>
      <c r="I82" s="2">
        <v>1547.8076923076951</v>
      </c>
      <c r="J82" s="2">
        <v>1820.5403846153811</v>
      </c>
      <c r="K82" s="2">
        <v>1456.4323076923049</v>
      </c>
      <c r="L82" s="2">
        <v>1456.4323076923049</v>
      </c>
      <c r="M82" s="2">
        <v>1820.5403846153811</v>
      </c>
      <c r="N82" s="2">
        <v>1456.4323076923049</v>
      </c>
      <c r="O82" s="2">
        <v>1456.4323076923049</v>
      </c>
      <c r="P82" s="9"/>
      <c r="Q82" s="2">
        <f>SUM(OSRRefD21_0_6x)+IFERROR(SUM(OSRRefE21_0_6x),0)</f>
        <v>19263.469999999979</v>
      </c>
    </row>
    <row r="83" spans="1:17" s="34" customFormat="1" hidden="1" outlineLevel="1" x14ac:dyDescent="0.25">
      <c r="A83" s="35"/>
      <c r="B83" s="13" t="str">
        <f>CONCATENATE("          ","6119", " - ","SICK LEAVE")</f>
        <v xml:space="preserve">          6119 - SICK LEAVE</v>
      </c>
      <c r="C83" s="15"/>
      <c r="D83" s="2">
        <v>1000.53</v>
      </c>
      <c r="E83" s="2">
        <v>1319.82</v>
      </c>
      <c r="F83" s="2">
        <v>1223.8800000000001</v>
      </c>
      <c r="G83" s="2">
        <v>1691.91</v>
      </c>
      <c r="H83" s="2">
        <v>2115.9373076923048</v>
      </c>
      <c r="I83" s="2">
        <v>2225.1976923076954</v>
      </c>
      <c r="J83" s="2">
        <v>2686.7417846153808</v>
      </c>
      <c r="K83" s="2">
        <v>2247.1669076923049</v>
      </c>
      <c r="L83" s="2">
        <v>2203.1353076923047</v>
      </c>
      <c r="M83" s="2">
        <v>2681.3471846153811</v>
      </c>
      <c r="N83" s="2">
        <v>2178.0577076923046</v>
      </c>
      <c r="O83" s="2">
        <v>1981.0819076923049</v>
      </c>
      <c r="P83" s="9"/>
      <c r="Q83" s="2">
        <f>SUM(OSRRefD21_0_7x)+IFERROR(SUM(OSRRefE21_0_7x),0)</f>
        <v>23554.805799999976</v>
      </c>
    </row>
    <row r="84" spans="1:17" s="34" customFormat="1" hidden="1" outlineLevel="1" x14ac:dyDescent="0.25">
      <c r="A84" s="35"/>
      <c r="B84" s="13" t="str">
        <f>CONCATENATE("          ","6156", " - ","EMPLOYEE MEALS")</f>
        <v xml:space="preserve">          6156 - EMPLOYEE MEALS</v>
      </c>
      <c r="C84" s="15"/>
      <c r="D84" s="2">
        <v>358.31</v>
      </c>
      <c r="E84" s="2">
        <v>589.13</v>
      </c>
      <c r="F84" s="2">
        <v>517.30999999999995</v>
      </c>
      <c r="G84" s="2">
        <v>582.69000000000005</v>
      </c>
      <c r="H84" s="2">
        <v>1225</v>
      </c>
      <c r="I84" s="2">
        <v>1225</v>
      </c>
      <c r="J84" s="2">
        <v>1225</v>
      </c>
      <c r="K84" s="2">
        <v>1225</v>
      </c>
      <c r="L84" s="2">
        <v>1225</v>
      </c>
      <c r="M84" s="2">
        <v>1225</v>
      </c>
      <c r="N84" s="2">
        <v>1225</v>
      </c>
      <c r="O84" s="2">
        <v>1225</v>
      </c>
      <c r="P84" s="9"/>
      <c r="Q84" s="2">
        <f>SUM(OSRRefD21_0_8x)+IFERROR(SUM(OSRRefE21_0_8x),0)</f>
        <v>11847.44</v>
      </c>
    </row>
    <row r="85" spans="1:17" s="34" customFormat="1" collapsed="1" x14ac:dyDescent="0.25">
      <c r="A85" s="35"/>
      <c r="B85" s="15" t="str">
        <f>CONCATENATE("     ","*Payroll                                          ")</f>
        <v xml:space="preserve">     *Payroll                                          </v>
      </c>
      <c r="C85" s="15"/>
      <c r="D85" s="1">
        <f>SUM(OSRRefD21_1x_0)</f>
        <v>32293.550000000003</v>
      </c>
      <c r="E85" s="1">
        <f>SUM(OSRRefD21_1x_1)</f>
        <v>41314.639999999999</v>
      </c>
      <c r="F85" s="1">
        <f>SUM(OSRRefD21_1x_2)</f>
        <v>38040.07</v>
      </c>
      <c r="G85" s="1">
        <f>SUM(OSRRefD21_1x_3)</f>
        <v>40179.089999999997</v>
      </c>
      <c r="H85" s="1">
        <f>SUM(OSRRefE21_1x_0)</f>
        <v>71677.961538461517</v>
      </c>
      <c r="I85" s="1">
        <f>SUM(OSRRefE21_1x_1)</f>
        <v>73000.53846153841</v>
      </c>
      <c r="J85" s="1">
        <f>SUM(OSRRefE21_1x_2)</f>
        <v>90293.65442307695</v>
      </c>
      <c r="K85" s="1">
        <f>SUM(OSRRefE21_1x_3)</f>
        <v>82012.271538461529</v>
      </c>
      <c r="L85" s="1">
        <f>SUM(OSRRefE21_1x_4)</f>
        <v>77609.111538461526</v>
      </c>
      <c r="M85" s="1">
        <f>SUM(OSRRefE21_1x_5)</f>
        <v>89754.194423076959</v>
      </c>
      <c r="N85" s="1">
        <f>SUM(OSRRefE21_1x_6)</f>
        <v>75101.351538461531</v>
      </c>
      <c r="O85" s="1">
        <f>SUM(OSRRefE21_1x_7)</f>
        <v>55403.771538461529</v>
      </c>
      <c r="Q85" s="2">
        <f>SUM(OSRRefD20_1x)+IFERROR(SUM(OSRRefE20_1x),0)</f>
        <v>766680.20499999996</v>
      </c>
    </row>
    <row r="86" spans="1:17" s="34" customFormat="1" hidden="1" outlineLevel="1" x14ac:dyDescent="0.25">
      <c r="A86" s="35"/>
      <c r="B86" s="13" t="str">
        <f>CONCATENATE("          ","6001", " - ","ADMINISTRATIVE SALARIES")</f>
        <v xml:space="preserve">          6001 - ADMINISTRATIVE SALARIES</v>
      </c>
      <c r="C86" s="15"/>
      <c r="D86" s="2"/>
      <c r="E86" s="2"/>
      <c r="F86" s="2"/>
      <c r="G86" s="2"/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9"/>
      <c r="Q86" s="2">
        <f>SUM(OSRRefD21_1_0x)+IFERROR(SUM(OSRRefE21_1_0x),0)</f>
        <v>0</v>
      </c>
    </row>
    <row r="87" spans="1:17" s="34" customFormat="1" hidden="1" outlineLevel="1" x14ac:dyDescent="0.25">
      <c r="A87" s="35"/>
      <c r="B87" s="13" t="str">
        <f>CONCATENATE("          ","6002", " - ","STAFF SALARIES")</f>
        <v xml:space="preserve">          6002 - STAFF SALARIES</v>
      </c>
      <c r="C87" s="15"/>
      <c r="D87" s="2">
        <v>22090.400000000001</v>
      </c>
      <c r="E87" s="2">
        <v>18082.939999999999</v>
      </c>
      <c r="F87" s="2">
        <v>15514.48</v>
      </c>
      <c r="G87" s="2">
        <v>14599.4</v>
      </c>
      <c r="H87" s="2">
        <v>17796.461538461521</v>
      </c>
      <c r="I87" s="2">
        <v>19904.538461538417</v>
      </c>
      <c r="J87" s="2">
        <v>22526.37692307695</v>
      </c>
      <c r="K87" s="2">
        <v>18021.10153846152</v>
      </c>
      <c r="L87" s="2">
        <v>18021.10153846152</v>
      </c>
      <c r="M87" s="2">
        <v>22526.37692307695</v>
      </c>
      <c r="N87" s="2">
        <v>18021.10153846152</v>
      </c>
      <c r="O87" s="2">
        <v>18021.10153846152</v>
      </c>
      <c r="P87" s="9"/>
      <c r="Q87" s="2">
        <f>SUM(OSRRefD21_1_1x)+IFERROR(SUM(OSRRefE21_1_1x),0)</f>
        <v>225125.37999999989</v>
      </c>
    </row>
    <row r="88" spans="1:17" s="34" customFormat="1" hidden="1" outlineLevel="1" x14ac:dyDescent="0.25">
      <c r="A88" s="35"/>
      <c r="B88" s="13" t="str">
        <f>CONCATENATE("          ","6003", " - ","STAFF HOURLY-9 MONTH")</f>
        <v xml:space="preserve">          6003 - STAFF HOURLY-9 MONTH</v>
      </c>
      <c r="C88" s="15"/>
      <c r="D88" s="2"/>
      <c r="E88" s="2"/>
      <c r="F88" s="2"/>
      <c r="G88" s="2"/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9"/>
      <c r="Q88" s="2">
        <f>SUM(OSRRefD21_1_2x)+IFERROR(SUM(OSRRefE21_1_2x),0)</f>
        <v>0</v>
      </c>
    </row>
    <row r="89" spans="1:17" s="34" customFormat="1" hidden="1" outlineLevel="1" x14ac:dyDescent="0.25">
      <c r="A89" s="35"/>
      <c r="B89" s="13" t="str">
        <f>CONCATENATE("          ","6004", " - ","STAFF HOURLY")</f>
        <v xml:space="preserve">          6004 - STAFF HOURLY</v>
      </c>
      <c r="C89" s="15"/>
      <c r="D89" s="2">
        <v>6739.72</v>
      </c>
      <c r="E89" s="2">
        <v>7211.23</v>
      </c>
      <c r="F89" s="2">
        <v>9483.5400000000009</v>
      </c>
      <c r="G89" s="2">
        <v>9364.9599999999991</v>
      </c>
      <c r="H89" s="2">
        <v>15237</v>
      </c>
      <c r="I89" s="2">
        <v>16557</v>
      </c>
      <c r="J89" s="2">
        <v>19617.637500000001</v>
      </c>
      <c r="K89" s="2">
        <v>15694.110000000002</v>
      </c>
      <c r="L89" s="2">
        <v>15694.110000000002</v>
      </c>
      <c r="M89" s="2">
        <v>19617.637500000001</v>
      </c>
      <c r="N89" s="2">
        <v>15694.110000000002</v>
      </c>
      <c r="O89" s="2">
        <v>15694.110000000002</v>
      </c>
      <c r="P89" s="9"/>
      <c r="Q89" s="2">
        <f>SUM(OSRRefD21_1_3x)+IFERROR(SUM(OSRRefE21_1_3x),0)</f>
        <v>166605.16499999998</v>
      </c>
    </row>
    <row r="90" spans="1:17" s="34" customFormat="1" hidden="1" outlineLevel="1" x14ac:dyDescent="0.25">
      <c r="A90" s="35"/>
      <c r="B90" s="13" t="str">
        <f>CONCATENATE("          ","6005", " - ","TEMPORARY WAGES-HOURLY")</f>
        <v xml:space="preserve">          6005 - TEMPORARY WAGES-HOURLY</v>
      </c>
      <c r="C90" s="15"/>
      <c r="D90" s="2">
        <v>1937.43</v>
      </c>
      <c r="E90" s="2">
        <v>4486.28</v>
      </c>
      <c r="F90" s="2">
        <v>6615.24</v>
      </c>
      <c r="G90" s="2">
        <v>7661.13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9"/>
      <c r="Q90" s="2">
        <f>SUM(OSRRefD21_1_4x)+IFERROR(SUM(OSRRefE21_1_4x),0)</f>
        <v>20700.080000000002</v>
      </c>
    </row>
    <row r="91" spans="1:17" s="34" customFormat="1" hidden="1" outlineLevel="1" x14ac:dyDescent="0.25">
      <c r="A91" s="35"/>
      <c r="B91" s="13" t="str">
        <f>CONCATENATE("          ","6006", " - ","TEMPORARY PART TIME")</f>
        <v xml:space="preserve">          6006 - TEMPORARY PART TIME</v>
      </c>
      <c r="C91" s="15"/>
      <c r="D91" s="2"/>
      <c r="E91" s="2"/>
      <c r="F91" s="2"/>
      <c r="G91" s="2"/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9"/>
      <c r="Q91" s="2">
        <f>SUM(OSRRefD21_1_5x)+IFERROR(SUM(OSRRefE21_1_5x),0)</f>
        <v>0</v>
      </c>
    </row>
    <row r="92" spans="1:17" s="34" customFormat="1" hidden="1" outlineLevel="1" x14ac:dyDescent="0.25">
      <c r="A92" s="35"/>
      <c r="B92" s="13" t="str">
        <f>CONCATENATE("          ","6007", " - ","STUDENT HOURLY")</f>
        <v xml:space="preserve">          6007 - STUDENT HOURLY</v>
      </c>
      <c r="C92" s="15"/>
      <c r="D92" s="2">
        <v>1526</v>
      </c>
      <c r="E92" s="2">
        <v>11101.16</v>
      </c>
      <c r="F92" s="2">
        <v>5371.14</v>
      </c>
      <c r="G92" s="2">
        <v>7077.58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21688.560000000001</v>
      </c>
      <c r="P92" s="9"/>
      <c r="Q92" s="2">
        <f>SUM(OSRRefD21_1_6x)+IFERROR(SUM(OSRRefE21_1_6x),0)</f>
        <v>46764.44</v>
      </c>
    </row>
    <row r="93" spans="1:17" s="34" customFormat="1" hidden="1" outlineLevel="1" x14ac:dyDescent="0.25">
      <c r="A93" s="35"/>
      <c r="B93" s="13" t="str">
        <f>CONCATENATE("          ","6008", " - ","STUDENT HOURLY-FICA EXEMPT")</f>
        <v xml:space="preserve">          6008 - STUDENT HOURLY-FICA EXEMPT</v>
      </c>
      <c r="C93" s="15"/>
      <c r="D93" s="2"/>
      <c r="E93" s="2">
        <v>433.03</v>
      </c>
      <c r="F93" s="2">
        <v>1055.67</v>
      </c>
      <c r="G93" s="2">
        <v>1476.02</v>
      </c>
      <c r="H93" s="2">
        <v>38644.5</v>
      </c>
      <c r="I93" s="2">
        <v>36539</v>
      </c>
      <c r="J93" s="2">
        <v>48149.64</v>
      </c>
      <c r="K93" s="2">
        <v>48297.06</v>
      </c>
      <c r="L93" s="2">
        <v>43893.9</v>
      </c>
      <c r="M93" s="2">
        <v>47610.18</v>
      </c>
      <c r="N93" s="2">
        <v>41386.140000000007</v>
      </c>
      <c r="O93" s="2">
        <v>0</v>
      </c>
      <c r="P93" s="9"/>
      <c r="Q93" s="2">
        <f>SUM(OSRRefD21_1_7x)+IFERROR(SUM(OSRRefE21_1_7x),0)</f>
        <v>307485.14</v>
      </c>
    </row>
    <row r="94" spans="1:17" s="34" customFormat="1" hidden="1" outlineLevel="1" x14ac:dyDescent="0.25">
      <c r="A94" s="35"/>
      <c r="B94" s="13" t="str">
        <f>CONCATENATE("          ","6009", " - ","TEMPORARY-SEASONAL")</f>
        <v xml:space="preserve">          6009 - TEMPORARY-SEASONAL</v>
      </c>
      <c r="C94" s="15"/>
      <c r="D94" s="2"/>
      <c r="E94" s="2"/>
      <c r="F94" s="2"/>
      <c r="G94" s="2"/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9"/>
      <c r="Q94" s="2">
        <f>SUM(OSRRefD21_1_8x)+IFERROR(SUM(OSRRefE21_1_8x),0)</f>
        <v>0</v>
      </c>
    </row>
    <row r="95" spans="1:17" s="34" customFormat="1" hidden="1" outlineLevel="1" x14ac:dyDescent="0.25">
      <c r="A95" s="35"/>
      <c r="B95" s="13" t="str">
        <f>CONCATENATE("          ","6010", " - ","GRATUITY")</f>
        <v xml:space="preserve">          6010 - GRATUITY</v>
      </c>
      <c r="C95" s="15"/>
      <c r="D95" s="2"/>
      <c r="E95" s="2"/>
      <c r="F95" s="2"/>
      <c r="G95" s="2"/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9"/>
      <c r="Q95" s="2">
        <f>SUM(OSRRefD21_1_9x)+IFERROR(SUM(OSRRefE21_1_9x),0)</f>
        <v>0</v>
      </c>
    </row>
    <row r="96" spans="1:17" s="34" customFormat="1" collapsed="1" x14ac:dyDescent="0.25">
      <c r="A96" s="35"/>
      <c r="B96" s="15" t="str">
        <f>CONCATENATE("     ","Advertising/Promo                                 ")</f>
        <v xml:space="preserve">     Advertising/Promo                                 </v>
      </c>
      <c r="C96" s="15"/>
      <c r="D96" s="1">
        <f>SUM(OSRRefD21_2x_0)</f>
        <v>1340.93</v>
      </c>
      <c r="E96" s="1">
        <f>SUM(OSRRefD21_2x_1)</f>
        <v>9301.39</v>
      </c>
      <c r="F96" s="1">
        <f>SUM(OSRRefD21_2x_2)</f>
        <v>391.39</v>
      </c>
      <c r="G96" s="1">
        <f>SUM(OSRRefD21_2x_3)</f>
        <v>1191.44</v>
      </c>
      <c r="H96" s="1">
        <f>SUM(OSRRefE21_2x_0)</f>
        <v>300</v>
      </c>
      <c r="I96" s="1">
        <f>SUM(OSRRefE21_2x_1)</f>
        <v>250</v>
      </c>
      <c r="J96" s="1">
        <f>SUM(OSRRefE21_2x_2)</f>
        <v>300</v>
      </c>
      <c r="K96" s="1">
        <f>SUM(OSRRefE21_2x_3)</f>
        <v>250</v>
      </c>
      <c r="L96" s="1">
        <f>SUM(OSRRefE21_2x_4)</f>
        <v>300</v>
      </c>
      <c r="M96" s="1">
        <f>SUM(OSRRefE21_2x_5)</f>
        <v>250</v>
      </c>
      <c r="N96" s="1">
        <f>SUM(OSRRefE21_2x_6)</f>
        <v>300</v>
      </c>
      <c r="O96" s="1">
        <f>SUM(OSRRefE21_2x_7)</f>
        <v>250</v>
      </c>
      <c r="Q96" s="2">
        <f>SUM(OSRRefD20_2x)+IFERROR(SUM(OSRRefE20_2x),0)</f>
        <v>14425.15</v>
      </c>
    </row>
    <row r="97" spans="1:17" s="34" customFormat="1" hidden="1" outlineLevel="1" x14ac:dyDescent="0.25">
      <c r="A97" s="35"/>
      <c r="B97" s="13" t="str">
        <f>CONCATENATE("          ","6362", " - ","ADVERTISING EXPENSE")</f>
        <v xml:space="preserve">          6362 - ADVERTISING EXPENSE</v>
      </c>
      <c r="C97" s="15"/>
      <c r="D97" s="2">
        <v>1340.93</v>
      </c>
      <c r="E97" s="2">
        <v>9301.39</v>
      </c>
      <c r="F97" s="2">
        <v>391.39</v>
      </c>
      <c r="G97" s="2">
        <v>1191.44</v>
      </c>
      <c r="H97" s="2">
        <v>300</v>
      </c>
      <c r="I97" s="2">
        <v>250</v>
      </c>
      <c r="J97" s="2">
        <v>300</v>
      </c>
      <c r="K97" s="2">
        <v>250</v>
      </c>
      <c r="L97" s="2">
        <v>300</v>
      </c>
      <c r="M97" s="2">
        <v>250</v>
      </c>
      <c r="N97" s="2">
        <v>300</v>
      </c>
      <c r="O97" s="2">
        <v>250</v>
      </c>
      <c r="P97" s="9"/>
      <c r="Q97" s="2">
        <f>SUM(OSRRefD21_2_0x)+IFERROR(SUM(OSRRefE21_2_0x),0)</f>
        <v>14425.15</v>
      </c>
    </row>
    <row r="98" spans="1:17" s="34" customFormat="1" collapsed="1" x14ac:dyDescent="0.25">
      <c r="A98" s="35"/>
      <c r="B98" s="15" t="str">
        <f>CONCATENATE("     ","Bad Debts/Over/Short                              ")</f>
        <v xml:space="preserve">     Bad Debts/Over/Short                              </v>
      </c>
      <c r="C98" s="15"/>
      <c r="D98" s="1">
        <f>SUM(OSRRefD21_3x_0)</f>
        <v>-0.9</v>
      </c>
      <c r="E98" s="1">
        <f>SUM(OSRRefD21_3x_1)</f>
        <v>4.5599999999999996</v>
      </c>
      <c r="F98" s="1">
        <f>SUM(OSRRefD21_3x_2)</f>
        <v>-2.96</v>
      </c>
      <c r="G98" s="1">
        <f>SUM(OSRRefD21_3x_3)</f>
        <v>-1.23</v>
      </c>
      <c r="H98" s="1">
        <f>SUM(OSRRefE21_3x_0)</f>
        <v>10</v>
      </c>
      <c r="I98" s="1">
        <f>SUM(OSRRefE21_3x_1)</f>
        <v>10</v>
      </c>
      <c r="J98" s="1">
        <f>SUM(OSRRefE21_3x_2)</f>
        <v>10</v>
      </c>
      <c r="K98" s="1">
        <f>SUM(OSRRefE21_3x_3)</f>
        <v>10</v>
      </c>
      <c r="L98" s="1">
        <f>SUM(OSRRefE21_3x_4)</f>
        <v>10</v>
      </c>
      <c r="M98" s="1">
        <f>SUM(OSRRefE21_3x_5)</f>
        <v>10</v>
      </c>
      <c r="N98" s="1">
        <f>SUM(OSRRefE21_3x_6)</f>
        <v>10</v>
      </c>
      <c r="O98" s="1">
        <f>SUM(OSRRefE21_3x_7)</f>
        <v>10</v>
      </c>
      <c r="Q98" s="2">
        <f>SUM(OSRRefD20_3x)+IFERROR(SUM(OSRRefE20_3x),0)</f>
        <v>79.47</v>
      </c>
    </row>
    <row r="99" spans="1:17" s="34" customFormat="1" hidden="1" outlineLevel="1" x14ac:dyDescent="0.25">
      <c r="A99" s="35"/>
      <c r="B99" s="13" t="str">
        <f>CONCATENATE("          ","6272", " - ","CASH (OVER/SHORT)")</f>
        <v xml:space="preserve">          6272 - CASH (OVER/SHORT)</v>
      </c>
      <c r="C99" s="15"/>
      <c r="D99" s="2">
        <v>-0.9</v>
      </c>
      <c r="E99" s="2">
        <v>4.5599999999999996</v>
      </c>
      <c r="F99" s="2">
        <v>-2.96</v>
      </c>
      <c r="G99" s="2">
        <v>-1.23</v>
      </c>
      <c r="H99" s="2">
        <v>10</v>
      </c>
      <c r="I99" s="2">
        <v>10</v>
      </c>
      <c r="J99" s="2">
        <v>10</v>
      </c>
      <c r="K99" s="2">
        <v>10</v>
      </c>
      <c r="L99" s="2">
        <v>10</v>
      </c>
      <c r="M99" s="2">
        <v>10</v>
      </c>
      <c r="N99" s="2">
        <v>10</v>
      </c>
      <c r="O99" s="2">
        <v>10</v>
      </c>
      <c r="P99" s="9"/>
      <c r="Q99" s="2">
        <f>SUM(OSRRefD21_3_0x)+IFERROR(SUM(OSRRefE21_3_0x),0)</f>
        <v>79.47</v>
      </c>
    </row>
    <row r="100" spans="1:17" s="34" customFormat="1" collapsed="1" x14ac:dyDescent="0.25">
      <c r="A100" s="35"/>
      <c r="B100" s="15" t="str">
        <f>CONCATENATE("     ","Bank/card Fees                                    ")</f>
        <v xml:space="preserve">     Bank/card Fees                                    </v>
      </c>
      <c r="C100" s="15"/>
      <c r="D100" s="1">
        <f>SUM(OSRRefD21_4x_0)</f>
        <v>306.89</v>
      </c>
      <c r="E100" s="1">
        <f>SUM(OSRRefD21_4x_1)</f>
        <v>452.83</v>
      </c>
      <c r="F100" s="1">
        <f>SUM(OSRRefD21_4x_2)</f>
        <v>306.45</v>
      </c>
      <c r="G100" s="1">
        <f>SUM(OSRRefD21_4x_3)</f>
        <v>291.5</v>
      </c>
      <c r="H100" s="1">
        <f>SUM(OSRRefE21_4x_0)</f>
        <v>600</v>
      </c>
      <c r="I100" s="1">
        <f>SUM(OSRRefE21_4x_1)</f>
        <v>1650</v>
      </c>
      <c r="J100" s="1">
        <f>SUM(OSRRefE21_4x_2)</f>
        <v>490</v>
      </c>
      <c r="K100" s="1">
        <f>SUM(OSRRefE21_4x_3)</f>
        <v>600</v>
      </c>
      <c r="L100" s="1">
        <f>SUM(OSRRefE21_4x_4)</f>
        <v>700</v>
      </c>
      <c r="M100" s="1">
        <f>SUM(OSRRefE21_4x_5)</f>
        <v>700</v>
      </c>
      <c r="N100" s="1">
        <f>SUM(OSRRefE21_4x_6)</f>
        <v>1000</v>
      </c>
      <c r="O100" s="1">
        <f>SUM(OSRRefE21_4x_7)</f>
        <v>900</v>
      </c>
      <c r="Q100" s="2">
        <f>SUM(OSRRefD20_4x)+IFERROR(SUM(OSRRefE20_4x),0)</f>
        <v>7997.67</v>
      </c>
    </row>
    <row r="101" spans="1:17" s="34" customFormat="1" hidden="1" outlineLevel="1" x14ac:dyDescent="0.25">
      <c r="A101" s="35"/>
      <c r="B101" s="13" t="str">
        <f>CONCATENATE("          ","6381", " - ","BANK/CREDIT CARD FEES")</f>
        <v xml:space="preserve">          6381 - BANK/CREDIT CARD FEES</v>
      </c>
      <c r="C101" s="15"/>
      <c r="D101" s="2">
        <v>306.89</v>
      </c>
      <c r="E101" s="2">
        <v>452.83</v>
      </c>
      <c r="F101" s="2">
        <v>306.45</v>
      </c>
      <c r="G101" s="2">
        <v>291.5</v>
      </c>
      <c r="H101" s="2">
        <v>600</v>
      </c>
      <c r="I101" s="2">
        <v>1650</v>
      </c>
      <c r="J101" s="2">
        <v>490</v>
      </c>
      <c r="K101" s="2">
        <v>600</v>
      </c>
      <c r="L101" s="2">
        <v>700</v>
      </c>
      <c r="M101" s="2">
        <v>700</v>
      </c>
      <c r="N101" s="2">
        <v>1000</v>
      </c>
      <c r="O101" s="2">
        <v>900</v>
      </c>
      <c r="P101" s="9"/>
      <c r="Q101" s="2">
        <f>SUM(OSRRefD21_4_0x)+IFERROR(SUM(OSRRefE21_4_0x),0)</f>
        <v>7997.67</v>
      </c>
    </row>
    <row r="102" spans="1:17" s="34" customFormat="1" collapsed="1" x14ac:dyDescent="0.25">
      <c r="A102" s="35"/>
      <c r="B102" s="15" t="str">
        <f>CONCATENATE("     ","Discounts and Markdowns                           ")</f>
        <v xml:space="preserve">     Discounts and Markdowns                           </v>
      </c>
      <c r="C102" s="15"/>
      <c r="D102" s="1">
        <f>SUM(OSRRefD21_5x_0)</f>
        <v>0</v>
      </c>
      <c r="E102" s="1">
        <f>SUM(OSRRefD21_5x_1)</f>
        <v>0</v>
      </c>
      <c r="F102" s="1">
        <f>SUM(OSRRefD21_5x_2)</f>
        <v>830.95</v>
      </c>
      <c r="G102" s="1">
        <f>SUM(OSRRefD21_5x_3)</f>
        <v>-830.95</v>
      </c>
      <c r="H102" s="1">
        <f>SUM(OSRRefE21_5x_0)</f>
        <v>0</v>
      </c>
      <c r="I102" s="1">
        <f>SUM(OSRRefE21_5x_1)</f>
        <v>0</v>
      </c>
      <c r="J102" s="1">
        <f>SUM(OSRRefE21_5x_2)</f>
        <v>0</v>
      </c>
      <c r="K102" s="1">
        <f>SUM(OSRRefE21_5x_3)</f>
        <v>0</v>
      </c>
      <c r="L102" s="1">
        <f>SUM(OSRRefE21_5x_4)</f>
        <v>0</v>
      </c>
      <c r="M102" s="1">
        <f>SUM(OSRRefE21_5x_5)</f>
        <v>0</v>
      </c>
      <c r="N102" s="1">
        <f>SUM(OSRRefE21_5x_6)</f>
        <v>0</v>
      </c>
      <c r="O102" s="1">
        <f>SUM(OSRRefE21_5x_7)</f>
        <v>0</v>
      </c>
      <c r="Q102" s="2">
        <f>SUM(OSRRefD20_5x)+IFERROR(SUM(OSRRefE20_5x),0)</f>
        <v>0</v>
      </c>
    </row>
    <row r="103" spans="1:17" s="34" customFormat="1" hidden="1" outlineLevel="1" x14ac:dyDescent="0.25">
      <c r="A103" s="35"/>
      <c r="B103" s="13" t="str">
        <f>CONCATENATE("          ","6382", " - ","DISCOUNTS/MARK DOWNS")</f>
        <v xml:space="preserve">          6382 - DISCOUNTS/MARK DOWNS</v>
      </c>
      <c r="C103" s="15"/>
      <c r="D103" s="2"/>
      <c r="E103" s="2"/>
      <c r="F103" s="2">
        <v>830.95</v>
      </c>
      <c r="G103" s="2">
        <v>-830.95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9"/>
      <c r="Q103" s="2">
        <f>SUM(OSRRefD21_5_0x)+IFERROR(SUM(OSRRefE21_5_0x),0)</f>
        <v>0</v>
      </c>
    </row>
    <row r="104" spans="1:17" s="34" customFormat="1" collapsed="1" x14ac:dyDescent="0.25">
      <c r="A104" s="35"/>
      <c r="B104" s="15" t="str">
        <f>CONCATENATE("     ","Employees' Appreciation                           ")</f>
        <v xml:space="preserve">     Employees' Appreciation                           </v>
      </c>
      <c r="C104" s="15"/>
      <c r="D104" s="1">
        <f>SUM(OSRRefD21_6x_0)</f>
        <v>0</v>
      </c>
      <c r="E104" s="1">
        <f>SUM(OSRRefD21_6x_1)</f>
        <v>0</v>
      </c>
      <c r="F104" s="1">
        <f>SUM(OSRRefD21_6x_2)</f>
        <v>0</v>
      </c>
      <c r="G104" s="1">
        <f>SUM(OSRRefD21_6x_3)</f>
        <v>0</v>
      </c>
      <c r="H104" s="1">
        <f>SUM(OSRRefE21_6x_0)</f>
        <v>50</v>
      </c>
      <c r="I104" s="1">
        <f>SUM(OSRRefE21_6x_1)</f>
        <v>50</v>
      </c>
      <c r="J104" s="1">
        <f>SUM(OSRRefE21_6x_2)</f>
        <v>50</v>
      </c>
      <c r="K104" s="1">
        <f>SUM(OSRRefE21_6x_3)</f>
        <v>50</v>
      </c>
      <c r="L104" s="1">
        <f>SUM(OSRRefE21_6x_4)</f>
        <v>50</v>
      </c>
      <c r="M104" s="1">
        <f>SUM(OSRRefE21_6x_5)</f>
        <v>50</v>
      </c>
      <c r="N104" s="1">
        <f>SUM(OSRRefE21_6x_6)</f>
        <v>50</v>
      </c>
      <c r="O104" s="1">
        <f>SUM(OSRRefE21_6x_7)</f>
        <v>50</v>
      </c>
      <c r="Q104" s="2">
        <f>SUM(OSRRefD20_6x)+IFERROR(SUM(OSRRefE20_6x),0)</f>
        <v>400</v>
      </c>
    </row>
    <row r="105" spans="1:17" s="34" customFormat="1" hidden="1" outlineLevel="1" x14ac:dyDescent="0.25">
      <c r="A105" s="35"/>
      <c r="B105" s="13" t="str">
        <f>CONCATENATE("          ","6277", " - ","EMPLOYEE APPRECIATION")</f>
        <v xml:space="preserve">          6277 - EMPLOYEE APPRECIATION</v>
      </c>
      <c r="C105" s="15"/>
      <c r="D105" s="2"/>
      <c r="E105" s="2"/>
      <c r="F105" s="2"/>
      <c r="G105" s="2"/>
      <c r="H105" s="2">
        <v>50</v>
      </c>
      <c r="I105" s="2">
        <v>50</v>
      </c>
      <c r="J105" s="2">
        <v>50</v>
      </c>
      <c r="K105" s="2">
        <v>50</v>
      </c>
      <c r="L105" s="2">
        <v>50</v>
      </c>
      <c r="M105" s="2">
        <v>50</v>
      </c>
      <c r="N105" s="2">
        <v>50</v>
      </c>
      <c r="O105" s="2">
        <v>50</v>
      </c>
      <c r="P105" s="9"/>
      <c r="Q105" s="2">
        <f>SUM(OSRRefD21_6_0x)+IFERROR(SUM(OSRRefE21_6_0x),0)</f>
        <v>400</v>
      </c>
    </row>
    <row r="106" spans="1:17" s="34" customFormat="1" collapsed="1" x14ac:dyDescent="0.25">
      <c r="A106" s="35"/>
      <c r="B106" s="15" t="str">
        <f>CONCATENATE("     ","Freight out/Postage                               ")</f>
        <v xml:space="preserve">     Freight out/Postage                               </v>
      </c>
      <c r="C106" s="15"/>
      <c r="D106" s="1">
        <f>SUM(OSRRefD21_7x_0)</f>
        <v>16.39</v>
      </c>
      <c r="E106" s="1">
        <f>SUM(OSRRefD21_7x_1)</f>
        <v>34.06</v>
      </c>
      <c r="F106" s="1">
        <f>SUM(OSRRefD21_7x_2)</f>
        <v>30.66</v>
      </c>
      <c r="G106" s="1">
        <f>SUM(OSRRefD21_7x_3)</f>
        <v>10.85</v>
      </c>
      <c r="H106" s="1">
        <f>SUM(OSRRefE21_7x_0)</f>
        <v>25</v>
      </c>
      <c r="I106" s="1">
        <f>SUM(OSRRefE21_7x_1)</f>
        <v>25</v>
      </c>
      <c r="J106" s="1">
        <f>SUM(OSRRefE21_7x_2)</f>
        <v>25</v>
      </c>
      <c r="K106" s="1">
        <f>SUM(OSRRefE21_7x_3)</f>
        <v>25</v>
      </c>
      <c r="L106" s="1">
        <f>SUM(OSRRefE21_7x_4)</f>
        <v>25</v>
      </c>
      <c r="M106" s="1">
        <f>SUM(OSRRefE21_7x_5)</f>
        <v>25</v>
      </c>
      <c r="N106" s="1">
        <f>SUM(OSRRefE21_7x_6)</f>
        <v>25</v>
      </c>
      <c r="O106" s="1">
        <f>SUM(OSRRefE21_7x_7)</f>
        <v>25</v>
      </c>
      <c r="Q106" s="2">
        <f>SUM(OSRRefD20_7x)+IFERROR(SUM(OSRRefE20_7x),0)</f>
        <v>291.95999999999998</v>
      </c>
    </row>
    <row r="107" spans="1:17" s="34" customFormat="1" hidden="1" outlineLevel="1" x14ac:dyDescent="0.25">
      <c r="A107" s="35"/>
      <c r="B107" s="13" t="str">
        <f>CONCATENATE("          ","6305", " - ","FREIGHT OUT")</f>
        <v xml:space="preserve">          6305 - FREIGHT OUT</v>
      </c>
      <c r="C107" s="15"/>
      <c r="D107" s="2">
        <v>16.39</v>
      </c>
      <c r="E107" s="2">
        <v>34.06</v>
      </c>
      <c r="F107" s="2">
        <v>30.66</v>
      </c>
      <c r="G107" s="2">
        <v>10.85</v>
      </c>
      <c r="H107" s="2"/>
      <c r="I107" s="2"/>
      <c r="J107" s="2"/>
      <c r="K107" s="2"/>
      <c r="L107" s="2"/>
      <c r="M107" s="2"/>
      <c r="N107" s="2"/>
      <c r="O107" s="2"/>
      <c r="P107" s="9"/>
      <c r="Q107" s="2">
        <f>SUM(OSRRefD21_7_0x)+IFERROR(SUM(OSRRefE21_7_0x),0)</f>
        <v>91.96</v>
      </c>
    </row>
    <row r="108" spans="1:17" s="34" customFormat="1" hidden="1" outlineLevel="1" x14ac:dyDescent="0.25">
      <c r="A108" s="35"/>
      <c r="B108" s="13" t="str">
        <f>CONCATENATE("          ","6307", " - ","POSTAGE")</f>
        <v xml:space="preserve">          6307 - POSTAGE</v>
      </c>
      <c r="C108" s="15"/>
      <c r="D108" s="2"/>
      <c r="E108" s="2"/>
      <c r="F108" s="2"/>
      <c r="G108" s="2"/>
      <c r="H108" s="2">
        <v>25</v>
      </c>
      <c r="I108" s="2">
        <v>25</v>
      </c>
      <c r="J108" s="2">
        <v>25</v>
      </c>
      <c r="K108" s="2">
        <v>25</v>
      </c>
      <c r="L108" s="2">
        <v>25</v>
      </c>
      <c r="M108" s="2">
        <v>25</v>
      </c>
      <c r="N108" s="2">
        <v>25</v>
      </c>
      <c r="O108" s="2">
        <v>25</v>
      </c>
      <c r="P108" s="9"/>
      <c r="Q108" s="2">
        <f>SUM(OSRRefD21_7_1x)+IFERROR(SUM(OSRRefE21_7_1x),0)</f>
        <v>200</v>
      </c>
    </row>
    <row r="109" spans="1:17" s="34" customFormat="1" collapsed="1" x14ac:dyDescent="0.25">
      <c r="A109" s="35"/>
      <c r="B109" s="15" t="str">
        <f>CONCATENATE("     ","General                                           ")</f>
        <v xml:space="preserve">     General                                           </v>
      </c>
      <c r="C109" s="15"/>
      <c r="D109" s="1">
        <f>SUM(OSRRefD21_8x_0)</f>
        <v>0</v>
      </c>
      <c r="E109" s="1">
        <f>SUM(OSRRefD21_8x_1)</f>
        <v>0</v>
      </c>
      <c r="F109" s="1">
        <f>SUM(OSRRefD21_8x_2)</f>
        <v>0</v>
      </c>
      <c r="G109" s="1">
        <f>SUM(OSRRefD21_8x_3)</f>
        <v>0</v>
      </c>
      <c r="H109" s="1">
        <f>SUM(OSRRefE21_8x_0)</f>
        <v>1300</v>
      </c>
      <c r="I109" s="1">
        <f>SUM(OSRRefE21_8x_1)</f>
        <v>200</v>
      </c>
      <c r="J109" s="1">
        <f>SUM(OSRRefE21_8x_2)</f>
        <v>0</v>
      </c>
      <c r="K109" s="1">
        <f>SUM(OSRRefE21_8x_3)</f>
        <v>0</v>
      </c>
      <c r="L109" s="1">
        <f>SUM(OSRRefE21_8x_4)</f>
        <v>50</v>
      </c>
      <c r="M109" s="1">
        <f>SUM(OSRRefE21_8x_5)</f>
        <v>250</v>
      </c>
      <c r="N109" s="1">
        <f>SUM(OSRRefE21_8x_6)</f>
        <v>0</v>
      </c>
      <c r="O109" s="1">
        <f>SUM(OSRRefE21_8x_7)</f>
        <v>0</v>
      </c>
      <c r="Q109" s="2">
        <f>SUM(OSRRefD20_8x)+IFERROR(SUM(OSRRefE20_8x),0)</f>
        <v>1800</v>
      </c>
    </row>
    <row r="110" spans="1:17" s="34" customFormat="1" hidden="1" outlineLevel="1" x14ac:dyDescent="0.25">
      <c r="A110" s="35"/>
      <c r="B110" s="13" t="str">
        <f>CONCATENATE("          ","6279", " - ","GENERAL EXPENSE")</f>
        <v xml:space="preserve">          6279 - GENERAL EXPENSE</v>
      </c>
      <c r="C110" s="15"/>
      <c r="D110" s="2"/>
      <c r="E110" s="2"/>
      <c r="F110" s="2"/>
      <c r="G110" s="2"/>
      <c r="H110" s="2">
        <v>1300</v>
      </c>
      <c r="I110" s="2">
        <v>200</v>
      </c>
      <c r="J110" s="2">
        <v>0</v>
      </c>
      <c r="K110" s="2">
        <v>0</v>
      </c>
      <c r="L110" s="2">
        <v>50</v>
      </c>
      <c r="M110" s="2">
        <v>250</v>
      </c>
      <c r="N110" s="2">
        <v>0</v>
      </c>
      <c r="O110" s="2">
        <v>0</v>
      </c>
      <c r="P110" s="9"/>
      <c r="Q110" s="2">
        <f>SUM(OSRRefD21_8_0x)+IFERROR(SUM(OSRRefE21_8_0x),0)</f>
        <v>1800</v>
      </c>
    </row>
    <row r="111" spans="1:17" s="34" customFormat="1" collapsed="1" x14ac:dyDescent="0.25">
      <c r="A111" s="35"/>
      <c r="B111" s="15" t="str">
        <f>CONCATENATE("     ","Insurance                                         ")</f>
        <v xml:space="preserve">     Insurance                                         </v>
      </c>
      <c r="C111" s="15"/>
      <c r="D111" s="1">
        <f>SUM(OSRRefD21_9x_0)</f>
        <v>161.18</v>
      </c>
      <c r="E111" s="1">
        <f>SUM(OSRRefD21_9x_1)</f>
        <v>161.18</v>
      </c>
      <c r="F111" s="1">
        <f>SUM(OSRRefD21_9x_2)</f>
        <v>161.18</v>
      </c>
      <c r="G111" s="1">
        <f>SUM(OSRRefD21_9x_3)</f>
        <v>161.18</v>
      </c>
      <c r="H111" s="1">
        <f>SUM(OSRRefE21_9x_0)</f>
        <v>176</v>
      </c>
      <c r="I111" s="1">
        <f>SUM(OSRRefE21_9x_1)</f>
        <v>176</v>
      </c>
      <c r="J111" s="1">
        <f>SUM(OSRRefE21_9x_2)</f>
        <v>176</v>
      </c>
      <c r="K111" s="1">
        <f>SUM(OSRRefE21_9x_3)</f>
        <v>176</v>
      </c>
      <c r="L111" s="1">
        <f>SUM(OSRRefE21_9x_4)</f>
        <v>176</v>
      </c>
      <c r="M111" s="1">
        <f>SUM(OSRRefE21_9x_5)</f>
        <v>176</v>
      </c>
      <c r="N111" s="1">
        <f>SUM(OSRRefE21_9x_6)</f>
        <v>176</v>
      </c>
      <c r="O111" s="1">
        <f>SUM(OSRRefE21_9x_7)</f>
        <v>176</v>
      </c>
      <c r="Q111" s="2">
        <f>SUM(OSRRefD20_9x)+IFERROR(SUM(OSRRefE20_9x),0)</f>
        <v>2052.7200000000003</v>
      </c>
    </row>
    <row r="112" spans="1:17" s="34" customFormat="1" hidden="1" outlineLevel="1" x14ac:dyDescent="0.25">
      <c r="A112" s="35"/>
      <c r="B112" s="13" t="str">
        <f>CONCATENATE("          ","6314", " - ","LIABILITY INSURANCE")</f>
        <v xml:space="preserve">          6314 - LIABILITY INSURANCE</v>
      </c>
      <c r="C112" s="15"/>
      <c r="D112" s="2">
        <v>161.18</v>
      </c>
      <c r="E112" s="2">
        <v>161.18</v>
      </c>
      <c r="F112" s="2">
        <v>161.18</v>
      </c>
      <c r="G112" s="2">
        <v>161.18</v>
      </c>
      <c r="H112" s="2">
        <v>176</v>
      </c>
      <c r="I112" s="2">
        <v>176</v>
      </c>
      <c r="J112" s="2">
        <v>176</v>
      </c>
      <c r="K112" s="2">
        <v>176</v>
      </c>
      <c r="L112" s="2">
        <v>176</v>
      </c>
      <c r="M112" s="2">
        <v>176</v>
      </c>
      <c r="N112" s="2">
        <v>176</v>
      </c>
      <c r="O112" s="2">
        <v>176</v>
      </c>
      <c r="P112" s="9"/>
      <c r="Q112" s="2">
        <f>SUM(OSRRefD21_9_0x)+IFERROR(SUM(OSRRefE21_9_0x),0)</f>
        <v>2052.7200000000003</v>
      </c>
    </row>
    <row r="113" spans="1:17" s="34" customFormat="1" collapsed="1" x14ac:dyDescent="0.25">
      <c r="A113" s="35"/>
      <c r="B113" s="15" t="str">
        <f>CONCATENATE("     ","Inventory Adjustment                              ")</f>
        <v xml:space="preserve">     Inventory Adjustment                              </v>
      </c>
      <c r="C113" s="15"/>
      <c r="D113" s="1">
        <f>SUM(OSRRefD21_10x_0)</f>
        <v>1100</v>
      </c>
      <c r="E113" s="1">
        <f>SUM(OSRRefD21_10x_1)</f>
        <v>1100</v>
      </c>
      <c r="F113" s="1">
        <f>SUM(OSRRefD21_10x_2)</f>
        <v>1100</v>
      </c>
      <c r="G113" s="1">
        <f>SUM(OSRRefD21_10x_3)</f>
        <v>1100</v>
      </c>
      <c r="H113" s="1">
        <f>SUM(OSRRefE21_10x_0)</f>
        <v>1100</v>
      </c>
      <c r="I113" s="1">
        <f>SUM(OSRRefE21_10x_1)</f>
        <v>1100</v>
      </c>
      <c r="J113" s="1">
        <f>SUM(OSRRefE21_10x_2)</f>
        <v>1100</v>
      </c>
      <c r="K113" s="1">
        <f>SUM(OSRRefE21_10x_3)</f>
        <v>1100</v>
      </c>
      <c r="L113" s="1">
        <f>SUM(OSRRefE21_10x_4)</f>
        <v>1100</v>
      </c>
      <c r="M113" s="1">
        <f>SUM(OSRRefE21_10x_5)</f>
        <v>1100</v>
      </c>
      <c r="N113" s="1">
        <f>SUM(OSRRefE21_10x_6)</f>
        <v>1100</v>
      </c>
      <c r="O113" s="1">
        <f>SUM(OSRRefE21_10x_7)</f>
        <v>1100</v>
      </c>
      <c r="Q113" s="2">
        <f>SUM(OSRRefD20_10x)+IFERROR(SUM(OSRRefE20_10x),0)</f>
        <v>13200</v>
      </c>
    </row>
    <row r="114" spans="1:17" s="34" customFormat="1" hidden="1" outlineLevel="1" x14ac:dyDescent="0.25">
      <c r="A114" s="35"/>
      <c r="B114" s="13" t="str">
        <f>CONCATENATE("          ","6408", " - ","INVENTORY ADJUSTMENT")</f>
        <v xml:space="preserve">          6408 - INVENTORY ADJUSTMENT</v>
      </c>
      <c r="C114" s="15"/>
      <c r="D114" s="2">
        <v>1100</v>
      </c>
      <c r="E114" s="2">
        <v>1100</v>
      </c>
      <c r="F114" s="2">
        <v>1100</v>
      </c>
      <c r="G114" s="2">
        <v>1100</v>
      </c>
      <c r="H114" s="2">
        <v>1100</v>
      </c>
      <c r="I114" s="2">
        <v>1100</v>
      </c>
      <c r="J114" s="2">
        <v>1100</v>
      </c>
      <c r="K114" s="2">
        <v>1100</v>
      </c>
      <c r="L114" s="2">
        <v>1100</v>
      </c>
      <c r="M114" s="2">
        <v>1100</v>
      </c>
      <c r="N114" s="2">
        <v>1100</v>
      </c>
      <c r="O114" s="2">
        <v>1100</v>
      </c>
      <c r="P114" s="9"/>
      <c r="Q114" s="2">
        <f>SUM(OSRRefD21_10_0x)+IFERROR(SUM(OSRRefE21_10_0x),0)</f>
        <v>13200</v>
      </c>
    </row>
    <row r="115" spans="1:17" s="34" customFormat="1" collapsed="1" x14ac:dyDescent="0.25">
      <c r="A115" s="35"/>
      <c r="B115" s="15" t="str">
        <f>CONCATENATE("     ","Professional Services                             ")</f>
        <v xml:space="preserve">     Professional Services                             </v>
      </c>
      <c r="C115" s="15"/>
      <c r="D115" s="1">
        <f>SUM(OSRRefD21_11x_0)</f>
        <v>0</v>
      </c>
      <c r="E115" s="1">
        <f>SUM(OSRRefD21_11x_1)</f>
        <v>0</v>
      </c>
      <c r="F115" s="1">
        <f>SUM(OSRRefD21_11x_2)</f>
        <v>0</v>
      </c>
      <c r="G115" s="1">
        <f>SUM(OSRRefD21_11x_3)</f>
        <v>0</v>
      </c>
      <c r="H115" s="1">
        <f>SUM(OSRRefE21_11x_0)</f>
        <v>0</v>
      </c>
      <c r="I115" s="1">
        <f>SUM(OSRRefE21_11x_1)</f>
        <v>0</v>
      </c>
      <c r="J115" s="1">
        <f>SUM(OSRRefE21_11x_2)</f>
        <v>0</v>
      </c>
      <c r="K115" s="1">
        <f>SUM(OSRRefE21_11x_3)</f>
        <v>0</v>
      </c>
      <c r="L115" s="1">
        <f>SUM(OSRRefE21_11x_4)</f>
        <v>0</v>
      </c>
      <c r="M115" s="1">
        <f>SUM(OSRRefE21_11x_5)</f>
        <v>0</v>
      </c>
      <c r="N115" s="1">
        <f>SUM(OSRRefE21_11x_6)</f>
        <v>0</v>
      </c>
      <c r="O115" s="1">
        <f>SUM(OSRRefE21_11x_7)</f>
        <v>0</v>
      </c>
      <c r="Q115" s="2">
        <f>SUM(OSRRefD20_11x)+IFERROR(SUM(OSRRefE20_11x),0)</f>
        <v>0</v>
      </c>
    </row>
    <row r="116" spans="1:17" s="34" customFormat="1" hidden="1" outlineLevel="1" x14ac:dyDescent="0.25">
      <c r="A116" s="35"/>
      <c r="B116" s="13" t="str">
        <f>CONCATENATE("          ","6336", " - ","PROFESSIONAL SERVICES")</f>
        <v xml:space="preserve">          6336 - PROFESSIONAL SERVICES</v>
      </c>
      <c r="C116" s="15"/>
      <c r="D116" s="2"/>
      <c r="E116" s="2"/>
      <c r="F116" s="2"/>
      <c r="G116" s="2"/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9"/>
      <c r="Q116" s="2">
        <f>SUM(OSRRefD21_11_0x)+IFERROR(SUM(OSRRefE21_11_0x),0)</f>
        <v>0</v>
      </c>
    </row>
    <row r="117" spans="1:17" s="34" customFormat="1" collapsed="1" x14ac:dyDescent="0.25">
      <c r="A117" s="35"/>
      <c r="B117" s="15" t="str">
        <f>CONCATENATE("     ","Rent                                              ")</f>
        <v xml:space="preserve">     Rent                                              </v>
      </c>
      <c r="C117" s="15"/>
      <c r="D117" s="1">
        <f>SUM(OSRRefD21_12x_0)</f>
        <v>6900</v>
      </c>
      <c r="E117" s="1">
        <f>SUM(OSRRefD21_12x_1)</f>
        <v>6900</v>
      </c>
      <c r="F117" s="1">
        <f>SUM(OSRRefD21_12x_2)</f>
        <v>6900</v>
      </c>
      <c r="G117" s="1">
        <f>SUM(OSRRefD21_12x_3)</f>
        <v>6900</v>
      </c>
      <c r="H117" s="1">
        <f>SUM(OSRRefE21_12x_0)</f>
        <v>6900</v>
      </c>
      <c r="I117" s="1">
        <f>SUM(OSRRefE21_12x_1)</f>
        <v>6900</v>
      </c>
      <c r="J117" s="1">
        <f>SUM(OSRRefE21_12x_2)</f>
        <v>6900</v>
      </c>
      <c r="K117" s="1">
        <f>SUM(OSRRefE21_12x_3)</f>
        <v>6900</v>
      </c>
      <c r="L117" s="1">
        <f>SUM(OSRRefE21_12x_4)</f>
        <v>6900</v>
      </c>
      <c r="M117" s="1">
        <f>SUM(OSRRefE21_12x_5)</f>
        <v>6900</v>
      </c>
      <c r="N117" s="1">
        <f>SUM(OSRRefE21_12x_6)</f>
        <v>6900</v>
      </c>
      <c r="O117" s="1">
        <f>SUM(OSRRefE21_12x_7)</f>
        <v>6900</v>
      </c>
      <c r="Q117" s="2">
        <f>SUM(OSRRefD20_12x)+IFERROR(SUM(OSRRefE20_12x),0)</f>
        <v>82800</v>
      </c>
    </row>
    <row r="118" spans="1:17" s="34" customFormat="1" hidden="1" outlineLevel="1" x14ac:dyDescent="0.25">
      <c r="A118" s="35"/>
      <c r="B118" s="13" t="str">
        <f>CONCATENATE("          ","6273", " - ","RENT")</f>
        <v xml:space="preserve">          6273 - RENT</v>
      </c>
      <c r="C118" s="15"/>
      <c r="D118" s="2">
        <v>6900</v>
      </c>
      <c r="E118" s="2">
        <v>6900</v>
      </c>
      <c r="F118" s="2">
        <v>6900</v>
      </c>
      <c r="G118" s="2">
        <v>6900</v>
      </c>
      <c r="H118" s="2">
        <v>6900</v>
      </c>
      <c r="I118" s="2">
        <v>6900</v>
      </c>
      <c r="J118" s="2">
        <v>6900</v>
      </c>
      <c r="K118" s="2">
        <v>6900</v>
      </c>
      <c r="L118" s="2">
        <v>6900</v>
      </c>
      <c r="M118" s="2">
        <v>6900</v>
      </c>
      <c r="N118" s="2">
        <v>6900</v>
      </c>
      <c r="O118" s="2">
        <v>6900</v>
      </c>
      <c r="P118" s="9"/>
      <c r="Q118" s="2">
        <f>SUM(OSRRefD21_12_0x)+IFERROR(SUM(OSRRefE21_12_0x),0)</f>
        <v>82800</v>
      </c>
    </row>
    <row r="119" spans="1:17" s="34" customFormat="1" collapsed="1" x14ac:dyDescent="0.25">
      <c r="A119" s="35"/>
      <c r="B119" s="15" t="str">
        <f>CONCATENATE("     ","Repair and Maintenance                            ")</f>
        <v xml:space="preserve">     Repair and Maintenance                            </v>
      </c>
      <c r="C119" s="15"/>
      <c r="D119" s="1">
        <f>SUM(OSRRefD21_13x_0)</f>
        <v>0</v>
      </c>
      <c r="E119" s="1">
        <f>SUM(OSRRefD21_13x_1)</f>
        <v>0</v>
      </c>
      <c r="F119" s="1">
        <f>SUM(OSRRefD21_13x_2)</f>
        <v>48.21</v>
      </c>
      <c r="G119" s="1">
        <f>SUM(OSRRefD21_13x_3)</f>
        <v>0</v>
      </c>
      <c r="H119" s="1">
        <f>SUM(OSRRefE21_13x_0)</f>
        <v>150</v>
      </c>
      <c r="I119" s="1">
        <f>SUM(OSRRefE21_13x_1)</f>
        <v>50</v>
      </c>
      <c r="J119" s="1">
        <f>SUM(OSRRefE21_13x_2)</f>
        <v>150</v>
      </c>
      <c r="K119" s="1">
        <f>SUM(OSRRefE21_13x_3)</f>
        <v>50</v>
      </c>
      <c r="L119" s="1">
        <f>SUM(OSRRefE21_13x_4)</f>
        <v>150</v>
      </c>
      <c r="M119" s="1">
        <f>SUM(OSRRefE21_13x_5)</f>
        <v>50</v>
      </c>
      <c r="N119" s="1">
        <f>SUM(OSRRefE21_13x_6)</f>
        <v>150</v>
      </c>
      <c r="O119" s="1">
        <f>SUM(OSRRefE21_13x_7)</f>
        <v>50</v>
      </c>
      <c r="Q119" s="2">
        <f>SUM(OSRRefD20_13x)+IFERROR(SUM(OSRRefE20_13x),0)</f>
        <v>848.21</v>
      </c>
    </row>
    <row r="120" spans="1:17" s="34" customFormat="1" hidden="1" outlineLevel="1" x14ac:dyDescent="0.25">
      <c r="A120" s="35"/>
      <c r="B120" s="13" t="str">
        <f>CONCATENATE("          ","6373", " - ","MAINTENANCE CONTRACTS")</f>
        <v xml:space="preserve">          6373 - MAINTENANCE CONTRACTS</v>
      </c>
      <c r="C120" s="15"/>
      <c r="D120" s="2"/>
      <c r="E120" s="2"/>
      <c r="F120" s="2">
        <v>48.21</v>
      </c>
      <c r="G120" s="2"/>
      <c r="H120" s="2"/>
      <c r="I120" s="2"/>
      <c r="J120" s="2"/>
      <c r="K120" s="2"/>
      <c r="L120" s="2"/>
      <c r="M120" s="2"/>
      <c r="N120" s="2"/>
      <c r="O120" s="2"/>
      <c r="P120" s="9"/>
      <c r="Q120" s="2">
        <f>SUM(OSRRefD21_13_0x)+IFERROR(SUM(OSRRefE21_13_0x),0)</f>
        <v>48.21</v>
      </c>
    </row>
    <row r="121" spans="1:17" s="34" customFormat="1" hidden="1" outlineLevel="1" x14ac:dyDescent="0.25">
      <c r="A121" s="35"/>
      <c r="B121" s="13" t="str">
        <f>CONCATENATE("          ","6375", " - ","OUTSIDE REPAIRS &amp; MAINTENANCE")</f>
        <v xml:space="preserve">          6375 - OUTSIDE REPAIRS &amp; MAINTENANCE</v>
      </c>
      <c r="C121" s="15"/>
      <c r="D121" s="2"/>
      <c r="E121" s="2"/>
      <c r="F121" s="2"/>
      <c r="G121" s="2"/>
      <c r="H121" s="2">
        <v>150</v>
      </c>
      <c r="I121" s="2">
        <v>50</v>
      </c>
      <c r="J121" s="2">
        <v>150</v>
      </c>
      <c r="K121" s="2">
        <v>50</v>
      </c>
      <c r="L121" s="2">
        <v>150</v>
      </c>
      <c r="M121" s="2">
        <v>50</v>
      </c>
      <c r="N121" s="2">
        <v>150</v>
      </c>
      <c r="O121" s="2">
        <v>50</v>
      </c>
      <c r="P121" s="9"/>
      <c r="Q121" s="2">
        <f>SUM(OSRRefD21_13_1x)+IFERROR(SUM(OSRRefE21_13_1x),0)</f>
        <v>800</v>
      </c>
    </row>
    <row r="122" spans="1:17" s="34" customFormat="1" collapsed="1" x14ac:dyDescent="0.25">
      <c r="A122" s="35"/>
      <c r="B122" s="15" t="str">
        <f>CONCATENATE("     ","Royalty &amp; Commissions                             ")</f>
        <v xml:space="preserve">     Royalty &amp; Commissions                             </v>
      </c>
      <c r="C122" s="15"/>
      <c r="D122" s="1">
        <f>SUM(OSRRefD21_14x_0)</f>
        <v>5672.2</v>
      </c>
      <c r="E122" s="1">
        <f>SUM(OSRRefD21_14x_1)</f>
        <v>2250</v>
      </c>
      <c r="F122" s="1">
        <f>SUM(OSRRefD21_14x_2)</f>
        <v>0</v>
      </c>
      <c r="G122" s="1">
        <f>SUM(OSRRefD21_14x_3)</f>
        <v>10489.6</v>
      </c>
      <c r="H122" s="1">
        <f>SUM(OSRRefE21_14x_0)</f>
        <v>6271</v>
      </c>
      <c r="I122" s="1">
        <f>SUM(OSRRefE21_14x_1)</f>
        <v>6271</v>
      </c>
      <c r="J122" s="1">
        <f>SUM(OSRRefE21_14x_2)</f>
        <v>6271</v>
      </c>
      <c r="K122" s="1">
        <f>SUM(OSRRefE21_14x_3)</f>
        <v>6271</v>
      </c>
      <c r="L122" s="1">
        <f>SUM(OSRRefE21_14x_4)</f>
        <v>6271</v>
      </c>
      <c r="M122" s="1">
        <f>SUM(OSRRefE21_14x_5)</f>
        <v>6271</v>
      </c>
      <c r="N122" s="1">
        <f>SUM(OSRRefE21_14x_6)</f>
        <v>6271</v>
      </c>
      <c r="O122" s="1">
        <f>SUM(OSRRefE21_14x_7)</f>
        <v>6271</v>
      </c>
      <c r="Q122" s="2">
        <f>SUM(OSRRefD20_14x)+IFERROR(SUM(OSRRefE20_14x),0)</f>
        <v>68579.8</v>
      </c>
    </row>
    <row r="123" spans="1:17" s="34" customFormat="1" hidden="1" outlineLevel="1" x14ac:dyDescent="0.25">
      <c r="A123" s="35"/>
      <c r="B123" s="13" t="str">
        <f>CONCATENATE("          ","6252", " - ","ROYALTY DUE CSTV")</f>
        <v xml:space="preserve">          6252 - ROYALTY DUE CSTV</v>
      </c>
      <c r="C123" s="15"/>
      <c r="D123" s="2"/>
      <c r="E123" s="2"/>
      <c r="F123" s="2"/>
      <c r="G123" s="2"/>
      <c r="H123" s="2">
        <v>1085</v>
      </c>
      <c r="I123" s="2">
        <v>1085</v>
      </c>
      <c r="J123" s="2">
        <v>1085</v>
      </c>
      <c r="K123" s="2">
        <v>1085</v>
      </c>
      <c r="L123" s="2">
        <v>1085</v>
      </c>
      <c r="M123" s="2">
        <v>1085</v>
      </c>
      <c r="N123" s="2">
        <v>1085</v>
      </c>
      <c r="O123" s="2">
        <v>1085</v>
      </c>
      <c r="P123" s="9"/>
      <c r="Q123" s="2">
        <f>SUM(OSRRefD21_14_0x)+IFERROR(SUM(OSRRefE21_14_0x),0)</f>
        <v>8680</v>
      </c>
    </row>
    <row r="124" spans="1:17" s="34" customFormat="1" hidden="1" outlineLevel="1" x14ac:dyDescent="0.25">
      <c r="A124" s="35"/>
      <c r="B124" s="13" t="str">
        <f>CONCATENATE("          ","6253", " - ","ROYALTY DUE ATHLETICS-LRG")</f>
        <v xml:space="preserve">          6253 - ROYALTY DUE ATHLETICS-LRG</v>
      </c>
      <c r="C124" s="15"/>
      <c r="D124" s="2">
        <v>5672.2</v>
      </c>
      <c r="E124" s="2">
        <v>2250</v>
      </c>
      <c r="F124" s="2"/>
      <c r="G124" s="2">
        <v>10489.6</v>
      </c>
      <c r="H124" s="2">
        <v>4037</v>
      </c>
      <c r="I124" s="2">
        <v>4037</v>
      </c>
      <c r="J124" s="2">
        <v>4037</v>
      </c>
      <c r="K124" s="2">
        <v>4037</v>
      </c>
      <c r="L124" s="2">
        <v>4037</v>
      </c>
      <c r="M124" s="2">
        <v>4037</v>
      </c>
      <c r="N124" s="2">
        <v>4037</v>
      </c>
      <c r="O124" s="2">
        <v>4037</v>
      </c>
      <c r="P124" s="9"/>
      <c r="Q124" s="2">
        <f>SUM(OSRRefD21_14_1x)+IFERROR(SUM(OSRRefE21_14_1x),0)</f>
        <v>50707.8</v>
      </c>
    </row>
    <row r="125" spans="1:17" s="34" customFormat="1" hidden="1" outlineLevel="1" x14ac:dyDescent="0.25">
      <c r="A125" s="35"/>
      <c r="B125" s="13" t="str">
        <f>CONCATENATE("          ","6254", " - ","ROYALTY &amp; COMMISSIONS")</f>
        <v xml:space="preserve">          6254 - ROYALTY &amp; COMMISSIONS</v>
      </c>
      <c r="C125" s="15"/>
      <c r="D125" s="2"/>
      <c r="E125" s="2"/>
      <c r="F125" s="2"/>
      <c r="G125" s="2"/>
      <c r="H125" s="2">
        <v>1149</v>
      </c>
      <c r="I125" s="2">
        <v>1149</v>
      </c>
      <c r="J125" s="2">
        <v>1149</v>
      </c>
      <c r="K125" s="2">
        <v>1149</v>
      </c>
      <c r="L125" s="2">
        <v>1149</v>
      </c>
      <c r="M125" s="2">
        <v>1149</v>
      </c>
      <c r="N125" s="2">
        <v>1149</v>
      </c>
      <c r="O125" s="2">
        <v>1149</v>
      </c>
      <c r="P125" s="9"/>
      <c r="Q125" s="2">
        <f>SUM(OSRRefD21_14_2x)+IFERROR(SUM(OSRRefE21_14_2x),0)</f>
        <v>9192</v>
      </c>
    </row>
    <row r="126" spans="1:17" s="34" customFormat="1" collapsed="1" x14ac:dyDescent="0.25">
      <c r="A126" s="35"/>
      <c r="B126" s="15" t="str">
        <f>CONCATENATE("     ","Services                                          ")</f>
        <v xml:space="preserve">     Services                                          </v>
      </c>
      <c r="C126" s="15"/>
      <c r="D126" s="1">
        <f>SUM(OSRRefD21_15x_0)</f>
        <v>-333.44</v>
      </c>
      <c r="E126" s="1">
        <f>SUM(OSRRefD21_15x_1)</f>
        <v>81.84</v>
      </c>
      <c r="F126" s="1">
        <f>SUM(OSRRefD21_15x_2)</f>
        <v>142.57</v>
      </c>
      <c r="G126" s="1">
        <f>SUM(OSRRefD21_15x_3)</f>
        <v>96.860000000000014</v>
      </c>
      <c r="H126" s="1">
        <f>SUM(OSRRefE21_15x_0)</f>
        <v>155</v>
      </c>
      <c r="I126" s="1">
        <f>SUM(OSRRefE21_15x_1)</f>
        <v>210</v>
      </c>
      <c r="J126" s="1">
        <f>SUM(OSRRefE21_15x_2)</f>
        <v>480</v>
      </c>
      <c r="K126" s="1">
        <f>SUM(OSRRefE21_15x_3)</f>
        <v>155</v>
      </c>
      <c r="L126" s="1">
        <f>SUM(OSRRefE21_15x_4)</f>
        <v>210</v>
      </c>
      <c r="M126" s="1">
        <f>SUM(OSRRefE21_15x_5)</f>
        <v>255</v>
      </c>
      <c r="N126" s="1">
        <f>SUM(OSRRefE21_15x_6)</f>
        <v>155</v>
      </c>
      <c r="O126" s="1">
        <f>SUM(OSRRefE21_15x_7)</f>
        <v>210</v>
      </c>
      <c r="Q126" s="2">
        <f>SUM(OSRRefD20_15x)+IFERROR(SUM(OSRRefE20_15x),0)</f>
        <v>1817.83</v>
      </c>
    </row>
    <row r="127" spans="1:17" s="34" customFormat="1" hidden="1" outlineLevel="1" x14ac:dyDescent="0.25">
      <c r="A127" s="35"/>
      <c r="B127" s="13" t="str">
        <f>CONCATENATE("          ","6283", " - ","PLANT SERVICE")</f>
        <v xml:space="preserve">          6283 - PLANT SERVICE</v>
      </c>
      <c r="C127" s="15"/>
      <c r="D127" s="2"/>
      <c r="E127" s="2"/>
      <c r="F127" s="2"/>
      <c r="G127" s="2"/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9"/>
      <c r="Q127" s="2">
        <f>SUM(OSRRefD21_15_0x)+IFERROR(SUM(OSRRefE21_15_0x),0)</f>
        <v>0</v>
      </c>
    </row>
    <row r="128" spans="1:17" s="34" customFormat="1" hidden="1" outlineLevel="1" x14ac:dyDescent="0.25">
      <c r="A128" s="35"/>
      <c r="B128" s="13" t="str">
        <f>CONCATENATE("          ","6284", " - ","TRASH REMOVAL EXPENSE")</f>
        <v xml:space="preserve">          6284 - TRASH REMOVAL EXPENSE</v>
      </c>
      <c r="C128" s="15"/>
      <c r="D128" s="2">
        <v>142.57</v>
      </c>
      <c r="E128" s="2">
        <v>142.57</v>
      </c>
      <c r="F128" s="2">
        <v>142.57</v>
      </c>
      <c r="G128" s="2">
        <v>157.59</v>
      </c>
      <c r="H128" s="2">
        <v>55</v>
      </c>
      <c r="I128" s="2">
        <v>110</v>
      </c>
      <c r="J128" s="2">
        <v>55</v>
      </c>
      <c r="K128" s="2">
        <v>55</v>
      </c>
      <c r="L128" s="2">
        <v>110</v>
      </c>
      <c r="M128" s="2">
        <v>55</v>
      </c>
      <c r="N128" s="2">
        <v>55</v>
      </c>
      <c r="O128" s="2">
        <v>110</v>
      </c>
      <c r="P128" s="9"/>
      <c r="Q128" s="2">
        <f>SUM(OSRRefD21_15_1x)+IFERROR(SUM(OSRRefE21_15_1x),0)</f>
        <v>1190.3</v>
      </c>
    </row>
    <row r="129" spans="1:17" s="34" customFormat="1" hidden="1" outlineLevel="1" x14ac:dyDescent="0.25">
      <c r="A129" s="35"/>
      <c r="B129" s="13" t="str">
        <f>CONCATENATE("          ","6285", " - ","JANITORIAL SERVICES")</f>
        <v xml:space="preserve">          6285 - JANITORIAL SERVICES</v>
      </c>
      <c r="C129" s="15"/>
      <c r="D129" s="2">
        <v>-476.01</v>
      </c>
      <c r="E129" s="2">
        <v>-60.73</v>
      </c>
      <c r="F129" s="2"/>
      <c r="G129" s="2">
        <v>-60.73</v>
      </c>
      <c r="H129" s="2">
        <v>100</v>
      </c>
      <c r="I129" s="2">
        <v>100</v>
      </c>
      <c r="J129" s="2">
        <v>425</v>
      </c>
      <c r="K129" s="2">
        <v>100</v>
      </c>
      <c r="L129" s="2">
        <v>100</v>
      </c>
      <c r="M129" s="2">
        <v>200</v>
      </c>
      <c r="N129" s="2">
        <v>100</v>
      </c>
      <c r="O129" s="2">
        <v>100</v>
      </c>
      <c r="P129" s="9"/>
      <c r="Q129" s="2">
        <f>SUM(OSRRefD21_15_2x)+IFERROR(SUM(OSRRefE21_15_2x),0)</f>
        <v>627.53</v>
      </c>
    </row>
    <row r="130" spans="1:17" s="34" customFormat="1" collapsed="1" x14ac:dyDescent="0.25">
      <c r="A130" s="35"/>
      <c r="B130" s="15" t="str">
        <f>CONCATENATE("     ","Subscriptions &amp; Dues                              ")</f>
        <v xml:space="preserve">     Subscriptions &amp; Dues                              </v>
      </c>
      <c r="C130" s="15"/>
      <c r="D130" s="1">
        <f>SUM(OSRRefD21_16x_0)</f>
        <v>75</v>
      </c>
      <c r="E130" s="1">
        <f>SUM(OSRRefD21_16x_1)</f>
        <v>0</v>
      </c>
      <c r="F130" s="1">
        <f>SUM(OSRRefD21_16x_2)</f>
        <v>75.73</v>
      </c>
      <c r="G130" s="1">
        <f>SUM(OSRRefD21_16x_3)</f>
        <v>75</v>
      </c>
      <c r="H130" s="1">
        <f>SUM(OSRRefE21_16x_0)</f>
        <v>0</v>
      </c>
      <c r="I130" s="1">
        <f>SUM(OSRRefE21_16x_1)</f>
        <v>0</v>
      </c>
      <c r="J130" s="1">
        <f>SUM(OSRRefE21_16x_2)</f>
        <v>0</v>
      </c>
      <c r="K130" s="1">
        <f>SUM(OSRRefE21_16x_3)</f>
        <v>0</v>
      </c>
      <c r="L130" s="1">
        <f>SUM(OSRRefE21_16x_4)</f>
        <v>0</v>
      </c>
      <c r="M130" s="1">
        <f>SUM(OSRRefE21_16x_5)</f>
        <v>0</v>
      </c>
      <c r="N130" s="1">
        <f>SUM(OSRRefE21_16x_6)</f>
        <v>0</v>
      </c>
      <c r="O130" s="1">
        <f>SUM(OSRRefE21_16x_7)</f>
        <v>200</v>
      </c>
      <c r="Q130" s="2">
        <f>SUM(OSRRefD20_16x)+IFERROR(SUM(OSRRefE20_16x),0)</f>
        <v>425.73</v>
      </c>
    </row>
    <row r="131" spans="1:17" s="34" customFormat="1" hidden="1" outlineLevel="1" x14ac:dyDescent="0.25">
      <c r="A131" s="35"/>
      <c r="B131" s="13" t="str">
        <f>CONCATENATE("          ","6258", " - ","MEMBERSHIP DUES")</f>
        <v xml:space="preserve">          6258 - MEMBERSHIP DUES</v>
      </c>
      <c r="C131" s="15"/>
      <c r="D131" s="2"/>
      <c r="E131" s="2"/>
      <c r="F131" s="2"/>
      <c r="G131" s="2"/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200</v>
      </c>
      <c r="P131" s="9"/>
      <c r="Q131" s="2">
        <f>SUM(OSRRefD21_16_0x)+IFERROR(SUM(OSRRefE21_16_0x),0)</f>
        <v>200</v>
      </c>
    </row>
    <row r="132" spans="1:17" s="34" customFormat="1" hidden="1" outlineLevel="1" x14ac:dyDescent="0.25">
      <c r="A132" s="35"/>
      <c r="B132" s="13" t="str">
        <f>CONCATENATE("          ","6275", " - ","SUBSCRIPTIONS")</f>
        <v xml:space="preserve">          6275 - SUBSCRIPTIONS</v>
      </c>
      <c r="C132" s="15"/>
      <c r="D132" s="2">
        <v>75</v>
      </c>
      <c r="E132" s="2"/>
      <c r="F132" s="2">
        <v>75.73</v>
      </c>
      <c r="G132" s="2">
        <v>75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9"/>
      <c r="Q132" s="2">
        <f>SUM(OSRRefD21_16_1x)+IFERROR(SUM(OSRRefE21_16_1x),0)</f>
        <v>225.73000000000002</v>
      </c>
    </row>
    <row r="133" spans="1:17" s="34" customFormat="1" collapsed="1" x14ac:dyDescent="0.25">
      <c r="A133" s="35"/>
      <c r="B133" s="15" t="str">
        <f>CONCATENATE("     ","Supplies                                          ")</f>
        <v xml:space="preserve">     Supplies                                          </v>
      </c>
      <c r="C133" s="15"/>
      <c r="D133" s="1">
        <f>SUM(OSRRefD21_17x_0)</f>
        <v>1149.0700000000002</v>
      </c>
      <c r="E133" s="1">
        <f>SUM(OSRRefD21_17x_1)</f>
        <v>63.11</v>
      </c>
      <c r="F133" s="1">
        <f>SUM(OSRRefD21_17x_2)</f>
        <v>297.52999999999997</v>
      </c>
      <c r="G133" s="1">
        <f>SUM(OSRRefD21_17x_3)</f>
        <v>259.3</v>
      </c>
      <c r="H133" s="1">
        <f>SUM(OSRRefE21_17x_0)</f>
        <v>360</v>
      </c>
      <c r="I133" s="1">
        <f>SUM(OSRRefE21_17x_1)</f>
        <v>310</v>
      </c>
      <c r="J133" s="1">
        <f>SUM(OSRRefE21_17x_2)</f>
        <v>395</v>
      </c>
      <c r="K133" s="1">
        <f>SUM(OSRRefE21_17x_3)</f>
        <v>310</v>
      </c>
      <c r="L133" s="1">
        <f>SUM(OSRRefE21_17x_4)</f>
        <v>370</v>
      </c>
      <c r="M133" s="1">
        <f>SUM(OSRRefE21_17x_5)</f>
        <v>345</v>
      </c>
      <c r="N133" s="1">
        <f>SUM(OSRRefE21_17x_6)</f>
        <v>370</v>
      </c>
      <c r="O133" s="1">
        <f>SUM(OSRRefE21_17x_7)</f>
        <v>320</v>
      </c>
      <c r="Q133" s="2">
        <f>SUM(OSRRefD20_17x)+IFERROR(SUM(OSRRefE20_17x),0)</f>
        <v>4549.01</v>
      </c>
    </row>
    <row r="134" spans="1:17" s="34" customFormat="1" hidden="1" outlineLevel="1" x14ac:dyDescent="0.25">
      <c r="A134" s="35"/>
      <c r="B134" s="13" t="str">
        <f>CONCATENATE("          ","6234", " - ","EXPENDABLE SUPPLIES &amp; EQUIPMEN")</f>
        <v xml:space="preserve">          6234 - EXPENDABLE SUPPLIES &amp; EQUIPMEN</v>
      </c>
      <c r="C134" s="15"/>
      <c r="D134" s="2"/>
      <c r="E134" s="2"/>
      <c r="F134" s="2"/>
      <c r="G134" s="2"/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9"/>
      <c r="Q134" s="2">
        <f>SUM(OSRRefD21_17_0x)+IFERROR(SUM(OSRRefE21_17_0x),0)</f>
        <v>0</v>
      </c>
    </row>
    <row r="135" spans="1:17" s="34" customFormat="1" hidden="1" outlineLevel="1" x14ac:dyDescent="0.25">
      <c r="A135" s="35"/>
      <c r="B135" s="13" t="str">
        <f>CONCATENATE("          ","6235", " - ","COVID-19 EXPENSES")</f>
        <v xml:space="preserve">          6235 - COVID-19 EXPENSES</v>
      </c>
      <c r="C135" s="15"/>
      <c r="D135" s="2">
        <v>961.38</v>
      </c>
      <c r="E135" s="2"/>
      <c r="F135" s="2">
        <v>265.7</v>
      </c>
      <c r="G135" s="2"/>
      <c r="H135" s="2">
        <v>200</v>
      </c>
      <c r="I135" s="2">
        <v>200</v>
      </c>
      <c r="J135" s="2">
        <v>200</v>
      </c>
      <c r="K135" s="2">
        <v>200</v>
      </c>
      <c r="L135" s="2">
        <v>200</v>
      </c>
      <c r="M135" s="2">
        <v>200</v>
      </c>
      <c r="N135" s="2">
        <v>200</v>
      </c>
      <c r="O135" s="2">
        <v>200</v>
      </c>
      <c r="P135" s="9"/>
      <c r="Q135" s="2">
        <f>SUM(OSRRefD21_17_1x)+IFERROR(SUM(OSRRefE21_17_1x),0)</f>
        <v>2827.08</v>
      </c>
    </row>
    <row r="136" spans="1:17" s="34" customFormat="1" hidden="1" outlineLevel="1" x14ac:dyDescent="0.25">
      <c r="A136" s="35"/>
      <c r="B136" s="13" t="str">
        <f>CONCATENATE("          ","6237", " - ","JANITORIAL SUPPLIES")</f>
        <v xml:space="preserve">          6237 - JANITORIAL SUPPLIES</v>
      </c>
      <c r="C136" s="15"/>
      <c r="D136" s="2">
        <v>139.31</v>
      </c>
      <c r="E136" s="2"/>
      <c r="F136" s="2"/>
      <c r="G136" s="2">
        <v>52.43</v>
      </c>
      <c r="H136" s="2">
        <v>10</v>
      </c>
      <c r="I136" s="2">
        <v>10</v>
      </c>
      <c r="J136" s="2">
        <v>20</v>
      </c>
      <c r="K136" s="2">
        <v>10</v>
      </c>
      <c r="L136" s="2">
        <v>20</v>
      </c>
      <c r="M136" s="2">
        <v>20</v>
      </c>
      <c r="N136" s="2">
        <v>20</v>
      </c>
      <c r="O136" s="2">
        <v>20</v>
      </c>
      <c r="P136" s="9"/>
      <c r="Q136" s="2">
        <f>SUM(OSRRefD21_17_2x)+IFERROR(SUM(OSRRefE21_17_2x),0)</f>
        <v>321.74</v>
      </c>
    </row>
    <row r="137" spans="1:17" s="34" customFormat="1" hidden="1" outlineLevel="1" x14ac:dyDescent="0.25">
      <c r="A137" s="35"/>
      <c r="B137" s="13" t="str">
        <f>CONCATENATE("          ","6241", " - ","OFFICE EXPENSE")</f>
        <v xml:space="preserve">          6241 - OFFICE EXPENSE</v>
      </c>
      <c r="C137" s="15"/>
      <c r="D137" s="2">
        <v>48.38</v>
      </c>
      <c r="E137" s="2">
        <v>63.11</v>
      </c>
      <c r="F137" s="2">
        <v>31.83</v>
      </c>
      <c r="G137" s="2">
        <v>20.16</v>
      </c>
      <c r="H137" s="2">
        <v>75</v>
      </c>
      <c r="I137" s="2">
        <v>50</v>
      </c>
      <c r="J137" s="2">
        <v>75</v>
      </c>
      <c r="K137" s="2">
        <v>50</v>
      </c>
      <c r="L137" s="2">
        <v>75</v>
      </c>
      <c r="M137" s="2">
        <v>50</v>
      </c>
      <c r="N137" s="2">
        <v>75</v>
      </c>
      <c r="O137" s="2">
        <v>50</v>
      </c>
      <c r="P137" s="9"/>
      <c r="Q137" s="2">
        <f>SUM(OSRRefD21_17_3x)+IFERROR(SUM(OSRRefE21_17_3x),0)</f>
        <v>663.48</v>
      </c>
    </row>
    <row r="138" spans="1:17" s="34" customFormat="1" hidden="1" outlineLevel="1" x14ac:dyDescent="0.25">
      <c r="A138" s="35"/>
      <c r="B138" s="13" t="str">
        <f>CONCATENATE("          ","6243", " - ","PAPER SUPPLIES")</f>
        <v xml:space="preserve">          6243 - PAPER SUPPLIES</v>
      </c>
      <c r="C138" s="15"/>
      <c r="D138" s="2"/>
      <c r="E138" s="2"/>
      <c r="F138" s="2"/>
      <c r="G138" s="2"/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9"/>
      <c r="Q138" s="2">
        <f>SUM(OSRRefD21_17_4x)+IFERROR(SUM(OSRRefE21_17_4x),0)</f>
        <v>0</v>
      </c>
    </row>
    <row r="139" spans="1:17" s="34" customFormat="1" hidden="1" outlineLevel="1" x14ac:dyDescent="0.25">
      <c r="A139" s="35"/>
      <c r="B139" s="13" t="str">
        <f>CONCATENATE("          ","6244", " - ","SAFETY SUPPLY EXPENSE")</f>
        <v xml:space="preserve">          6244 - SAFETY SUPPLY EXPENSE</v>
      </c>
      <c r="C139" s="15"/>
      <c r="D139" s="2"/>
      <c r="E139" s="2"/>
      <c r="F139" s="2"/>
      <c r="G139" s="2"/>
      <c r="H139" s="2">
        <v>0</v>
      </c>
      <c r="I139" s="2">
        <v>0</v>
      </c>
      <c r="J139" s="2">
        <v>25</v>
      </c>
      <c r="K139" s="2">
        <v>0</v>
      </c>
      <c r="L139" s="2">
        <v>0</v>
      </c>
      <c r="M139" s="2">
        <v>25</v>
      </c>
      <c r="N139" s="2">
        <v>0</v>
      </c>
      <c r="O139" s="2">
        <v>0</v>
      </c>
      <c r="P139" s="9"/>
      <c r="Q139" s="2">
        <f>SUM(OSRRefD21_17_5x)+IFERROR(SUM(OSRRefE21_17_5x),0)</f>
        <v>50</v>
      </c>
    </row>
    <row r="140" spans="1:17" s="34" customFormat="1" hidden="1" outlineLevel="1" x14ac:dyDescent="0.25">
      <c r="A140" s="35"/>
      <c r="B140" s="13" t="str">
        <f>CONCATENATE("          ","6245", " - ","PRINTING")</f>
        <v xml:space="preserve">          6245 - PRINTING</v>
      </c>
      <c r="C140" s="15"/>
      <c r="D140" s="2"/>
      <c r="E140" s="2"/>
      <c r="F140" s="2"/>
      <c r="G140" s="2"/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9"/>
      <c r="Q140" s="2">
        <f>SUM(OSRRefD21_17_6x)+IFERROR(SUM(OSRRefE21_17_6x),0)</f>
        <v>0</v>
      </c>
    </row>
    <row r="141" spans="1:17" s="34" customFormat="1" hidden="1" outlineLevel="1" x14ac:dyDescent="0.25">
      <c r="A141" s="35"/>
      <c r="B141" s="13" t="str">
        <f>CONCATENATE("          ","6247", " - ","STORE SUPPLIES")</f>
        <v xml:space="preserve">          6247 - STORE SUPPLIES</v>
      </c>
      <c r="C141" s="15"/>
      <c r="D141" s="2"/>
      <c r="E141" s="2"/>
      <c r="F141" s="2"/>
      <c r="G141" s="2">
        <v>186.71</v>
      </c>
      <c r="H141" s="2">
        <v>75</v>
      </c>
      <c r="I141" s="2">
        <v>50</v>
      </c>
      <c r="J141" s="2">
        <v>75</v>
      </c>
      <c r="K141" s="2">
        <v>50</v>
      </c>
      <c r="L141" s="2">
        <v>75</v>
      </c>
      <c r="M141" s="2">
        <v>50</v>
      </c>
      <c r="N141" s="2">
        <v>75</v>
      </c>
      <c r="O141" s="2">
        <v>50</v>
      </c>
      <c r="P141" s="9"/>
      <c r="Q141" s="2">
        <f>SUM(OSRRefD21_17_7x)+IFERROR(SUM(OSRRefE21_17_7x),0)</f>
        <v>686.71</v>
      </c>
    </row>
    <row r="142" spans="1:17" s="34" customFormat="1" collapsed="1" x14ac:dyDescent="0.25">
      <c r="A142" s="35"/>
      <c r="B142" s="15" t="str">
        <f>CONCATENATE("     ","Telephone/Data Lines                              ")</f>
        <v xml:space="preserve">     Telephone/Data Lines                              </v>
      </c>
      <c r="C142" s="15"/>
      <c r="D142" s="1">
        <f>SUM(OSRRefD21_18x_0)</f>
        <v>792.54</v>
      </c>
      <c r="E142" s="1">
        <f>SUM(OSRRefD21_18x_1)</f>
        <v>763.04</v>
      </c>
      <c r="F142" s="1">
        <f>SUM(OSRRefD21_18x_2)</f>
        <v>1261.48</v>
      </c>
      <c r="G142" s="1">
        <f>SUM(OSRRefD21_18x_3)</f>
        <v>556.03</v>
      </c>
      <c r="H142" s="1">
        <f>SUM(OSRRefE21_18x_0)</f>
        <v>830</v>
      </c>
      <c r="I142" s="1">
        <f>SUM(OSRRefE21_18x_1)</f>
        <v>830</v>
      </c>
      <c r="J142" s="1">
        <f>SUM(OSRRefE21_18x_2)</f>
        <v>830</v>
      </c>
      <c r="K142" s="1">
        <f>SUM(OSRRefE21_18x_3)</f>
        <v>830</v>
      </c>
      <c r="L142" s="1">
        <f>SUM(OSRRefE21_18x_4)</f>
        <v>830</v>
      </c>
      <c r="M142" s="1">
        <f>SUM(OSRRefE21_18x_5)</f>
        <v>830</v>
      </c>
      <c r="N142" s="1">
        <f>SUM(OSRRefE21_18x_6)</f>
        <v>830</v>
      </c>
      <c r="O142" s="1">
        <f>SUM(OSRRefE21_18x_7)</f>
        <v>830</v>
      </c>
      <c r="Q142" s="2">
        <f>SUM(OSRRefD20_18x)+IFERROR(SUM(OSRRefE20_18x),0)</f>
        <v>10013.09</v>
      </c>
    </row>
    <row r="143" spans="1:17" s="34" customFormat="1" hidden="1" outlineLevel="1" x14ac:dyDescent="0.25">
      <c r="A143" s="35"/>
      <c r="B143" s="13" t="str">
        <f>CONCATENATE("          ","6303", " - ","DATA PHONE LINES")</f>
        <v xml:space="preserve">          6303 - DATA PHONE LINES</v>
      </c>
      <c r="C143" s="15"/>
      <c r="D143" s="2"/>
      <c r="E143" s="2"/>
      <c r="F143" s="2"/>
      <c r="G143" s="2"/>
      <c r="H143" s="2">
        <v>230</v>
      </c>
      <c r="I143" s="2">
        <v>230</v>
      </c>
      <c r="J143" s="2">
        <v>230</v>
      </c>
      <c r="K143" s="2">
        <v>230</v>
      </c>
      <c r="L143" s="2">
        <v>230</v>
      </c>
      <c r="M143" s="2">
        <v>230</v>
      </c>
      <c r="N143" s="2">
        <v>230</v>
      </c>
      <c r="O143" s="2">
        <v>230</v>
      </c>
      <c r="P143" s="9"/>
      <c r="Q143" s="2">
        <f>SUM(OSRRefD21_18_0x)+IFERROR(SUM(OSRRefE21_18_0x),0)</f>
        <v>1840</v>
      </c>
    </row>
    <row r="144" spans="1:17" s="34" customFormat="1" hidden="1" outlineLevel="1" x14ac:dyDescent="0.25">
      <c r="A144" s="35"/>
      <c r="B144" s="13" t="str">
        <f>CONCATENATE("          ","6309", " - ","TELEPHONE")</f>
        <v xml:space="preserve">          6309 - TELEPHONE</v>
      </c>
      <c r="C144" s="15"/>
      <c r="D144" s="2">
        <v>792.54</v>
      </c>
      <c r="E144" s="2">
        <v>763.04</v>
      </c>
      <c r="F144" s="2">
        <v>1261.48</v>
      </c>
      <c r="G144" s="2">
        <v>556.03</v>
      </c>
      <c r="H144" s="2">
        <v>600</v>
      </c>
      <c r="I144" s="2">
        <v>600</v>
      </c>
      <c r="J144" s="2">
        <v>600</v>
      </c>
      <c r="K144" s="2">
        <v>600</v>
      </c>
      <c r="L144" s="2">
        <v>600</v>
      </c>
      <c r="M144" s="2">
        <v>600</v>
      </c>
      <c r="N144" s="2">
        <v>600</v>
      </c>
      <c r="O144" s="2">
        <v>600</v>
      </c>
      <c r="P144" s="9"/>
      <c r="Q144" s="2">
        <f>SUM(OSRRefD21_18_1x)+IFERROR(SUM(OSRRefE21_18_1x),0)</f>
        <v>8173.09</v>
      </c>
    </row>
    <row r="145" spans="1:17" s="34" customFormat="1" collapsed="1" x14ac:dyDescent="0.25">
      <c r="A145" s="35"/>
      <c r="B145" s="15" t="str">
        <f>CONCATENATE("     ","Training                                          ")</f>
        <v xml:space="preserve">     Training                                          </v>
      </c>
      <c r="C145" s="15"/>
      <c r="D145" s="1">
        <f>SUM(OSRRefD21_19x_0)</f>
        <v>0</v>
      </c>
      <c r="E145" s="1">
        <f>SUM(OSRRefD21_19x_1)</f>
        <v>0</v>
      </c>
      <c r="F145" s="1">
        <f>SUM(OSRRefD21_19x_2)</f>
        <v>0</v>
      </c>
      <c r="G145" s="1">
        <f>SUM(OSRRefD21_19x_3)</f>
        <v>0</v>
      </c>
      <c r="H145" s="1">
        <f>SUM(OSRRefE21_19x_0)</f>
        <v>0</v>
      </c>
      <c r="I145" s="1">
        <f>SUM(OSRRefE21_19x_1)</f>
        <v>0</v>
      </c>
      <c r="J145" s="1">
        <f>SUM(OSRRefE21_19x_2)</f>
        <v>0</v>
      </c>
      <c r="K145" s="1">
        <f>SUM(OSRRefE21_19x_3)</f>
        <v>0</v>
      </c>
      <c r="L145" s="1">
        <f>SUM(OSRRefE21_19x_4)</f>
        <v>0</v>
      </c>
      <c r="M145" s="1">
        <f>SUM(OSRRefE21_19x_5)</f>
        <v>0</v>
      </c>
      <c r="N145" s="1">
        <f>SUM(OSRRefE21_19x_6)</f>
        <v>0</v>
      </c>
      <c r="O145" s="1">
        <f>SUM(OSRRefE21_19x_7)</f>
        <v>0</v>
      </c>
      <c r="Q145" s="2">
        <f>SUM(OSRRefD20_19x)+IFERROR(SUM(OSRRefE20_19x),0)</f>
        <v>0</v>
      </c>
    </row>
    <row r="146" spans="1:17" s="34" customFormat="1" hidden="1" outlineLevel="1" x14ac:dyDescent="0.25">
      <c r="A146" s="35"/>
      <c r="B146" s="13" t="str">
        <f>CONCATENATE("          ","6376", " - ","TRAINING")</f>
        <v xml:space="preserve">          6376 - TRAINING</v>
      </c>
      <c r="C146" s="15"/>
      <c r="D146" s="2"/>
      <c r="E146" s="2"/>
      <c r="F146" s="2"/>
      <c r="G146" s="2"/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9"/>
      <c r="Q146" s="2">
        <f>SUM(OSRRefD21_19_0x)+IFERROR(SUM(OSRRefE21_19_0x),0)</f>
        <v>0</v>
      </c>
    </row>
    <row r="147" spans="1:17" s="34" customFormat="1" collapsed="1" x14ac:dyDescent="0.25">
      <c r="A147" s="35"/>
      <c r="B147" s="15" t="str">
        <f>CONCATENATE("     ","Travel                                            ")</f>
        <v xml:space="preserve">     Travel                                            </v>
      </c>
      <c r="C147" s="15"/>
      <c r="D147" s="1">
        <f>SUM(OSRRefD21_20x_0)</f>
        <v>215.16</v>
      </c>
      <c r="E147" s="1">
        <f>SUM(OSRRefD21_20x_1)</f>
        <v>25.76</v>
      </c>
      <c r="F147" s="1">
        <f>SUM(OSRRefD21_20x_2)</f>
        <v>0</v>
      </c>
      <c r="G147" s="1">
        <f>SUM(OSRRefD21_20x_3)</f>
        <v>80.959999999999994</v>
      </c>
      <c r="H147" s="1">
        <f>SUM(OSRRefE21_20x_0)</f>
        <v>25</v>
      </c>
      <c r="I147" s="1">
        <f>SUM(OSRRefE21_20x_1)</f>
        <v>25</v>
      </c>
      <c r="J147" s="1">
        <f>SUM(OSRRefE21_20x_2)</f>
        <v>25</v>
      </c>
      <c r="K147" s="1">
        <f>SUM(OSRRefE21_20x_3)</f>
        <v>25</v>
      </c>
      <c r="L147" s="1">
        <f>SUM(OSRRefE21_20x_4)</f>
        <v>25</v>
      </c>
      <c r="M147" s="1">
        <f>SUM(OSRRefE21_20x_5)</f>
        <v>25</v>
      </c>
      <c r="N147" s="1">
        <f>SUM(OSRRefE21_20x_6)</f>
        <v>25</v>
      </c>
      <c r="O147" s="1">
        <f>SUM(OSRRefE21_20x_7)</f>
        <v>25</v>
      </c>
      <c r="Q147" s="2">
        <f>SUM(OSRRefD20_20x)+IFERROR(SUM(OSRRefE20_20x),0)</f>
        <v>521.88</v>
      </c>
    </row>
    <row r="148" spans="1:17" s="34" customFormat="1" hidden="1" outlineLevel="1" x14ac:dyDescent="0.25">
      <c r="A148" s="35"/>
      <c r="B148" s="13" t="str">
        <f>CONCATENATE("          ","6294", " - ","TRAVEL OPERATIONAL")</f>
        <v xml:space="preserve">          6294 - TRAVEL OPERATIONAL</v>
      </c>
      <c r="C148" s="15"/>
      <c r="D148" s="2">
        <v>215.16</v>
      </c>
      <c r="E148" s="2">
        <v>25.76</v>
      </c>
      <c r="F148" s="2"/>
      <c r="G148" s="2">
        <v>80.959999999999994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9"/>
      <c r="Q148" s="2">
        <f>SUM(OSRRefD21_20_0x)+IFERROR(SUM(OSRRefE21_20_0x),0)</f>
        <v>321.88</v>
      </c>
    </row>
    <row r="149" spans="1:17" s="34" customFormat="1" hidden="1" outlineLevel="1" x14ac:dyDescent="0.25">
      <c r="A149" s="35"/>
      <c r="B149" s="13" t="str">
        <f>CONCATENATE("          ","6298", " - ","VEHICLE MILEAGE")</f>
        <v xml:space="preserve">          6298 - VEHICLE MILEAGE</v>
      </c>
      <c r="C149" s="15"/>
      <c r="D149" s="2"/>
      <c r="E149" s="2"/>
      <c r="F149" s="2"/>
      <c r="G149" s="2"/>
      <c r="H149" s="2">
        <v>25</v>
      </c>
      <c r="I149" s="2">
        <v>25</v>
      </c>
      <c r="J149" s="2">
        <v>25</v>
      </c>
      <c r="K149" s="2">
        <v>25</v>
      </c>
      <c r="L149" s="2">
        <v>25</v>
      </c>
      <c r="M149" s="2">
        <v>25</v>
      </c>
      <c r="N149" s="2">
        <v>25</v>
      </c>
      <c r="O149" s="2">
        <v>25</v>
      </c>
      <c r="P149" s="9"/>
      <c r="Q149" s="2">
        <f>SUM(OSRRefD21_20_1x)+IFERROR(SUM(OSRRefE21_20_1x),0)</f>
        <v>200</v>
      </c>
    </row>
    <row r="150" spans="1:17" s="34" customFormat="1" collapsed="1" x14ac:dyDescent="0.25">
      <c r="A150" s="35"/>
      <c r="B150" s="15" t="str">
        <f>CONCATENATE("     ","Utilities                                         ")</f>
        <v xml:space="preserve">     Utilities                                         </v>
      </c>
      <c r="C150" s="15"/>
      <c r="D150" s="1">
        <f>SUM(OSRRefD21_21x_0)</f>
        <v>28.46</v>
      </c>
      <c r="E150" s="1">
        <f>SUM(OSRRefD21_21x_1)</f>
        <v>11.89</v>
      </c>
      <c r="F150" s="1">
        <f>SUM(OSRRefD21_21x_2)</f>
        <v>28.01</v>
      </c>
      <c r="G150" s="1">
        <f>SUM(OSRRefD21_21x_3)</f>
        <v>16.05</v>
      </c>
      <c r="H150" s="1">
        <f>SUM(OSRRefE21_21x_0)</f>
        <v>105</v>
      </c>
      <c r="I150" s="1">
        <f>SUM(OSRRefE21_21x_1)</f>
        <v>225</v>
      </c>
      <c r="J150" s="1">
        <f>SUM(OSRRefE21_21x_2)</f>
        <v>225</v>
      </c>
      <c r="K150" s="1">
        <f>SUM(OSRRefE21_21x_3)</f>
        <v>2800</v>
      </c>
      <c r="L150" s="1">
        <f>SUM(OSRRefE21_21x_4)</f>
        <v>150</v>
      </c>
      <c r="M150" s="1">
        <f>SUM(OSRRefE21_21x_5)</f>
        <v>105</v>
      </c>
      <c r="N150" s="1">
        <f>SUM(OSRRefE21_21x_6)</f>
        <v>105</v>
      </c>
      <c r="O150" s="1">
        <f>SUM(OSRRefE21_21x_7)</f>
        <v>105</v>
      </c>
      <c r="Q150" s="2">
        <f>SUM(OSRRefD20_21x)+IFERROR(SUM(OSRRefE20_21x),0)</f>
        <v>3904.41</v>
      </c>
    </row>
    <row r="151" spans="1:17" s="34" customFormat="1" hidden="1" outlineLevel="1" x14ac:dyDescent="0.25">
      <c r="A151" s="35"/>
      <c r="B151" s="13" t="str">
        <f>CONCATENATE("          ","6274", " - ","UTILITIES")</f>
        <v xml:space="preserve">          6274 - UTILITIES</v>
      </c>
      <c r="C151" s="15"/>
      <c r="D151" s="2">
        <v>28.46</v>
      </c>
      <c r="E151" s="2">
        <v>11.89</v>
      </c>
      <c r="F151" s="2">
        <v>28.01</v>
      </c>
      <c r="G151" s="2">
        <v>16.05</v>
      </c>
      <c r="H151" s="2">
        <v>105</v>
      </c>
      <c r="I151" s="2">
        <v>225</v>
      </c>
      <c r="J151" s="2">
        <v>225</v>
      </c>
      <c r="K151" s="2">
        <v>2800</v>
      </c>
      <c r="L151" s="2">
        <v>150</v>
      </c>
      <c r="M151" s="2">
        <v>105</v>
      </c>
      <c r="N151" s="2">
        <v>105</v>
      </c>
      <c r="O151" s="2">
        <v>105</v>
      </c>
      <c r="P151" s="9"/>
      <c r="Q151" s="2">
        <f>SUM(OSRRefD21_21_0x)+IFERROR(SUM(OSRRefE21_21_0x),0)</f>
        <v>3904.41</v>
      </c>
    </row>
    <row r="152" spans="1:17" s="28" customFormat="1" x14ac:dyDescent="0.25">
      <c r="A152" s="20"/>
      <c r="B152" s="20"/>
      <c r="C152" s="20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Q152" s="1"/>
    </row>
    <row r="153" spans="1:17" s="9" customFormat="1" x14ac:dyDescent="0.25">
      <c r="A153" s="22"/>
      <c r="B153" s="16" t="s">
        <v>0</v>
      </c>
      <c r="C153" s="23"/>
      <c r="D153" s="3">
        <f>--172008.31</f>
        <v>172008.31</v>
      </c>
      <c r="E153" s="3">
        <f t="shared" ref="E153:F153" si="11">0</f>
        <v>0</v>
      </c>
      <c r="F153" s="3">
        <f t="shared" si="11"/>
        <v>0</v>
      </c>
      <c r="G153" s="3">
        <f>--20979.2</f>
        <v>20979.200000000001</v>
      </c>
      <c r="H153" s="3">
        <v>8075</v>
      </c>
      <c r="I153" s="3">
        <v>181695</v>
      </c>
      <c r="J153" s="3">
        <v>8075</v>
      </c>
      <c r="K153" s="3">
        <v>8075</v>
      </c>
      <c r="L153" s="3">
        <v>181695</v>
      </c>
      <c r="M153" s="3">
        <v>8075</v>
      </c>
      <c r="N153" s="3">
        <v>8075</v>
      </c>
      <c r="O153" s="3">
        <v>221695</v>
      </c>
      <c r="Q153" s="2">
        <f>SUM(OSRRefD23_0x)+IFERROR(SUM(OSRRefE23_0x),0)</f>
        <v>818447.51</v>
      </c>
    </row>
    <row r="154" spans="1:17" x14ac:dyDescent="0.25">
      <c r="A154" s="5"/>
      <c r="B154" s="8"/>
      <c r="C154" s="8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Q154" s="3"/>
    </row>
    <row r="155" spans="1:17" s="14" customFormat="1" x14ac:dyDescent="0.25">
      <c r="A155" s="8"/>
      <c r="B155" s="17" t="s">
        <v>3</v>
      </c>
      <c r="C155" s="17"/>
      <c r="D155" s="6">
        <f t="shared" ref="D155:O155" si="12">IFERROR(+D71-D74+D153, 0)</f>
        <v>173466.72999999998</v>
      </c>
      <c r="E155" s="6">
        <f t="shared" si="12"/>
        <v>52538.749999999927</v>
      </c>
      <c r="F155" s="6">
        <f t="shared" si="12"/>
        <v>-23672.200000000041</v>
      </c>
      <c r="G155" s="6">
        <f t="shared" si="12"/>
        <v>332.670000000031</v>
      </c>
      <c r="H155" s="6">
        <f t="shared" si="12"/>
        <v>37775.160373076913</v>
      </c>
      <c r="I155" s="6">
        <f t="shared" si="12"/>
        <v>201525.44416923082</v>
      </c>
      <c r="J155" s="6">
        <f t="shared" si="12"/>
        <v>-25796.490910153865</v>
      </c>
      <c r="K155" s="6">
        <f t="shared" si="12"/>
        <v>12699.44374907692</v>
      </c>
      <c r="L155" s="6">
        <f t="shared" si="12"/>
        <v>188903.04202507692</v>
      </c>
      <c r="M155" s="6">
        <f t="shared" si="12"/>
        <v>-3915.5537041538628</v>
      </c>
      <c r="N155" s="6">
        <f t="shared" si="12"/>
        <v>48527.293361076983</v>
      </c>
      <c r="O155" s="6">
        <f t="shared" si="12"/>
        <v>265406.34260227694</v>
      </c>
      <c r="Q155" s="6">
        <f>IFERROR(+Q71-Q74+Q153, 0)</f>
        <v>927790.63166550803</v>
      </c>
    </row>
    <row r="156" spans="1:17" s="8" customFormat="1" x14ac:dyDescent="0.25">
      <c r="B156" s="16"/>
      <c r="C156" s="16"/>
      <c r="D156" s="4">
        <f t="shared" ref="D156:O156" si="13">IFERROR(D155/D10, 0)</f>
        <v>0.9924814976837848</v>
      </c>
      <c r="E156" s="4">
        <f t="shared" si="13"/>
        <v>0.16890320317404106</v>
      </c>
      <c r="F156" s="4">
        <f t="shared" si="13"/>
        <v>-0.20807403407069291</v>
      </c>
      <c r="G156" s="4">
        <f t="shared" si="13"/>
        <v>2.8825063482380894E-3</v>
      </c>
      <c r="H156" s="4">
        <f t="shared" si="13"/>
        <v>0.12731675185784574</v>
      </c>
      <c r="I156" s="4">
        <f t="shared" si="13"/>
        <v>0.72952763771210938</v>
      </c>
      <c r="J156" s="4">
        <f t="shared" si="13"/>
        <v>-0.12798843239060767</v>
      </c>
      <c r="K156" s="4">
        <f t="shared" si="13"/>
        <v>4.4943076389507633E-2</v>
      </c>
      <c r="L156" s="4">
        <f t="shared" si="13"/>
        <v>0.71073146606632431</v>
      </c>
      <c r="M156" s="4">
        <f t="shared" si="13"/>
        <v>-1.4991036146274452E-2</v>
      </c>
      <c r="N156" s="4">
        <f t="shared" si="13"/>
        <v>0.14391535466771427</v>
      </c>
      <c r="O156" s="4">
        <f t="shared" si="13"/>
        <v>0.90631242308916393</v>
      </c>
      <c r="P156" s="18"/>
      <c r="Q156" s="4">
        <f>IFERROR(Q155/Q10, 0)</f>
        <v>0.31674979868039432</v>
      </c>
    </row>
    <row r="157" spans="1:17" x14ac:dyDescent="0.25">
      <c r="A157" s="5"/>
      <c r="B157" s="8"/>
      <c r="C157" s="5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Q157" s="3"/>
    </row>
    <row r="158" spans="1:17" s="14" customFormat="1" x14ac:dyDescent="0.25">
      <c r="A158" s="25"/>
      <c r="B158" s="8" t="s">
        <v>8</v>
      </c>
      <c r="C158" s="8"/>
      <c r="D158" s="3">
        <v>88847.32</v>
      </c>
      <c r="E158" s="3">
        <v>-6819.83</v>
      </c>
      <c r="F158" s="3">
        <v>29052.76</v>
      </c>
      <c r="G158" s="3">
        <v>43807.9</v>
      </c>
      <c r="H158" s="3">
        <v>75718</v>
      </c>
      <c r="I158" s="3">
        <v>74021</v>
      </c>
      <c r="J158" s="3">
        <v>18310</v>
      </c>
      <c r="K158" s="3">
        <v>65507.000000000007</v>
      </c>
      <c r="L158" s="3">
        <v>72586</v>
      </c>
      <c r="M158" s="3">
        <v>83041</v>
      </c>
      <c r="N158" s="3">
        <v>98453</v>
      </c>
      <c r="O158" s="3">
        <v>-2683</v>
      </c>
      <c r="Q158" s="2">
        <f>SUM(OSRRefD28_0x)+IFERROR(SUM(OSRRefE28_0x),0)</f>
        <v>639841.15</v>
      </c>
    </row>
    <row r="159" spans="1:17" x14ac:dyDescent="0.25">
      <c r="A159" s="5"/>
      <c r="B159" s="8"/>
      <c r="C159" s="8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Q159" s="3"/>
    </row>
    <row r="160" spans="1:17" s="14" customFormat="1" ht="15.75" thickBot="1" x14ac:dyDescent="0.3">
      <c r="A160" s="8"/>
      <c r="B160" s="17" t="s">
        <v>4</v>
      </c>
      <c r="C160" s="17"/>
      <c r="D160" s="7">
        <f t="shared" ref="D160:O160" si="14">IFERROR(+D155-D158, 0)</f>
        <v>84619.409999999974</v>
      </c>
      <c r="E160" s="7">
        <f t="shared" si="14"/>
        <v>59358.579999999929</v>
      </c>
      <c r="F160" s="7">
        <f t="shared" si="14"/>
        <v>-52724.960000000036</v>
      </c>
      <c r="G160" s="7">
        <f t="shared" si="14"/>
        <v>-43475.229999999967</v>
      </c>
      <c r="H160" s="7">
        <f t="shared" si="14"/>
        <v>-37942.839626923087</v>
      </c>
      <c r="I160" s="7">
        <f t="shared" si="14"/>
        <v>127504.44416923082</v>
      </c>
      <c r="J160" s="7">
        <f t="shared" si="14"/>
        <v>-44106.490910153865</v>
      </c>
      <c r="K160" s="7">
        <f t="shared" si="14"/>
        <v>-52807.556250923088</v>
      </c>
      <c r="L160" s="7">
        <f t="shared" si="14"/>
        <v>116317.04202507692</v>
      </c>
      <c r="M160" s="7">
        <f t="shared" si="14"/>
        <v>-86956.553704153863</v>
      </c>
      <c r="N160" s="7">
        <f t="shared" si="14"/>
        <v>-49925.706638923017</v>
      </c>
      <c r="O160" s="7">
        <f t="shared" si="14"/>
        <v>268089.34260227694</v>
      </c>
      <c r="Q160" s="7">
        <f>IFERROR(+Q155-Q158, 0)</f>
        <v>287949.48166550801</v>
      </c>
    </row>
    <row r="161" spans="1:17" ht="15.75" thickTop="1" x14ac:dyDescent="0.25">
      <c r="A161" s="5"/>
      <c r="B161" s="5"/>
      <c r="C161" s="5"/>
      <c r="D161" s="4">
        <f t="shared" ref="D161:O161" si="15">IFERROR(D160/D10, 0)</f>
        <v>0.48414585765188645</v>
      </c>
      <c r="E161" s="4">
        <f t="shared" si="15"/>
        <v>0.19082780419904494</v>
      </c>
      <c r="F161" s="4">
        <f t="shared" si="15"/>
        <v>-0.46344214409374329</v>
      </c>
      <c r="G161" s="4">
        <f t="shared" si="15"/>
        <v>-0.37670251740793959</v>
      </c>
      <c r="H161" s="4">
        <f t="shared" si="15"/>
        <v>-0.12788189513567169</v>
      </c>
      <c r="I161" s="4">
        <f t="shared" si="15"/>
        <v>0.4615695865900819</v>
      </c>
      <c r="J161" s="4">
        <f t="shared" si="15"/>
        <v>-0.21883288891898009</v>
      </c>
      <c r="K161" s="4">
        <f t="shared" si="15"/>
        <v>-0.18688488105638229</v>
      </c>
      <c r="L161" s="4">
        <f t="shared" si="15"/>
        <v>0.43763287727259942</v>
      </c>
      <c r="M161" s="4">
        <f t="shared" si="15"/>
        <v>-0.3329206896974799</v>
      </c>
      <c r="N161" s="4">
        <f t="shared" si="15"/>
        <v>-0.14806257016056668</v>
      </c>
      <c r="O161" s="4">
        <f t="shared" si="15"/>
        <v>0.91547436024298745</v>
      </c>
      <c r="P161" s="18"/>
      <c r="Q161" s="4">
        <f>IFERROR(Q160/Q10, 0)</f>
        <v>9.8306597668423451E-2</v>
      </c>
    </row>
    <row r="162" spans="1:17" x14ac:dyDescent="0.25">
      <c r="A162" s="5"/>
      <c r="B162" s="5"/>
      <c r="C162" s="5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Q162" s="3"/>
    </row>
    <row r="163" spans="1:17" x14ac:dyDescent="0.25">
      <c r="A163" s="5"/>
      <c r="B163" s="5"/>
      <c r="C163" s="5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Q163" s="3"/>
    </row>
    <row r="164" spans="1:17" s="14" customFormat="1" ht="15.75" thickBot="1" x14ac:dyDescent="0.3">
      <c r="A164" s="8"/>
      <c r="B164" s="17" t="s">
        <v>5</v>
      </c>
      <c r="C164" s="17"/>
      <c r="D164" s="7">
        <f t="shared" ref="D164:O164" si="16">IFERROR(SUM(D160:D163), 0)</f>
        <v>84619.89414585763</v>
      </c>
      <c r="E164" s="7">
        <f t="shared" si="16"/>
        <v>59358.770827804125</v>
      </c>
      <c r="F164" s="7">
        <f t="shared" si="16"/>
        <v>-52725.423442144129</v>
      </c>
      <c r="G164" s="7">
        <f t="shared" si="16"/>
        <v>-43475.606702517376</v>
      </c>
      <c r="H164" s="7">
        <f t="shared" si="16"/>
        <v>-37942.967508818219</v>
      </c>
      <c r="I164" s="7">
        <f t="shared" si="16"/>
        <v>127504.90573881741</v>
      </c>
      <c r="J164" s="7">
        <f t="shared" si="16"/>
        <v>-44106.709743042782</v>
      </c>
      <c r="K164" s="7">
        <f t="shared" si="16"/>
        <v>-52807.743135804143</v>
      </c>
      <c r="L164" s="7">
        <f t="shared" si="16"/>
        <v>116317.4796579542</v>
      </c>
      <c r="M164" s="7">
        <f t="shared" si="16"/>
        <v>-86956.886624843566</v>
      </c>
      <c r="N164" s="7">
        <f t="shared" si="16"/>
        <v>-49925.854701493176</v>
      </c>
      <c r="O164" s="7">
        <f t="shared" si="16"/>
        <v>268090.25807663717</v>
      </c>
      <c r="Q164" s="7">
        <f>IFERROR(SUM(Q160:Q163), 0)</f>
        <v>287949.57997210568</v>
      </c>
    </row>
    <row r="165" spans="1:17" ht="15.75" thickTop="1" x14ac:dyDescent="0.25">
      <c r="A165" s="5"/>
      <c r="C165" s="5"/>
      <c r="D165" s="4">
        <f t="shared" ref="D165:O165" si="17">IFERROR(D164/D10, 0)</f>
        <v>0.48414862766897215</v>
      </c>
      <c r="E165" s="4">
        <f t="shared" si="17"/>
        <v>0.19082841767818906</v>
      </c>
      <c r="F165" s="4">
        <f t="shared" si="17"/>
        <v>-0.4634462176600565</v>
      </c>
      <c r="G165" s="4">
        <f t="shared" si="17"/>
        <v>-0.37670578144556793</v>
      </c>
      <c r="H165" s="4">
        <f t="shared" si="17"/>
        <v>-0.1278823261466151</v>
      </c>
      <c r="I165" s="4">
        <f t="shared" si="17"/>
        <v>0.46157125748465078</v>
      </c>
      <c r="J165" s="4">
        <f t="shared" si="17"/>
        <v>-0.21883397465108625</v>
      </c>
      <c r="K165" s="4">
        <f t="shared" si="17"/>
        <v>-0.1868855424382232</v>
      </c>
      <c r="L165" s="4">
        <f t="shared" si="17"/>
        <v>0.43763452382870105</v>
      </c>
      <c r="M165" s="4">
        <f t="shared" si="17"/>
        <v>-0.33292196431314608</v>
      </c>
      <c r="N165" s="4">
        <f t="shared" si="17"/>
        <v>-0.14806300926350899</v>
      </c>
      <c r="O165" s="4">
        <f t="shared" si="17"/>
        <v>0.91547748641464399</v>
      </c>
      <c r="P165" s="18"/>
      <c r="Q165" s="4">
        <f>IFERROR(Q164/Q10, 0)</f>
        <v>9.8306631230515973E-2</v>
      </c>
    </row>
    <row r="166" spans="1:17" x14ac:dyDescent="0.25">
      <c r="A166" s="5"/>
      <c r="B166" s="26">
        <v>44151.564618402779</v>
      </c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Q166" s="12"/>
    </row>
    <row r="167" spans="1:17" x14ac:dyDescent="0.25">
      <c r="A167" s="5"/>
      <c r="B167" s="30" t="s">
        <v>311</v>
      </c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Q167" s="12"/>
    </row>
    <row r="168" spans="1:17" x14ac:dyDescent="0.25">
      <c r="A168" s="5"/>
      <c r="B168" s="31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Q168" s="12"/>
    </row>
    <row r="169" spans="1:17" x14ac:dyDescent="0.25"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Q169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5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","315", " - ", "Beach Shop")</f>
        <v>Department 315 - Beach Shop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147901.04999999996</v>
      </c>
      <c r="E10" s="3">
        <f>SUM(OSRRefD11x_1)</f>
        <v>288261.01999999996</v>
      </c>
      <c r="F10" s="3">
        <f>SUM(OSRRefD11x_2)</f>
        <v>93801.37000000001</v>
      </c>
      <c r="G10" s="3">
        <f>SUM(OSRRefD11x_3)</f>
        <v>96631.999999999971</v>
      </c>
      <c r="H10" s="3">
        <f>SUM(OSRRefE11x_0)</f>
        <v>261114.99999999997</v>
      </c>
      <c r="I10" s="3">
        <f>SUM(OSRRefE11x_1)</f>
        <v>227282</v>
      </c>
      <c r="J10" s="3">
        <f>SUM(OSRRefE11x_2)</f>
        <v>130996</v>
      </c>
      <c r="K10" s="3">
        <f>SUM(OSRRefE11x_3)</f>
        <v>241633</v>
      </c>
      <c r="L10" s="3">
        <f>SUM(OSRRefE11x_4)</f>
        <v>226398</v>
      </c>
      <c r="M10" s="3">
        <f>SUM(OSRRefE11x_5)</f>
        <v>211836</v>
      </c>
      <c r="N10" s="3">
        <f>SUM(OSRRefE11x_6)</f>
        <v>279561</v>
      </c>
      <c r="O10" s="3">
        <f>SUM(OSRRefE11x_7)</f>
        <v>239026</v>
      </c>
      <c r="P10" s="24"/>
      <c r="Q10" s="3">
        <f>SUM(OSRRefG11x)</f>
        <v>2444442.44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-9603.06</f>
        <v>-9603.06</v>
      </c>
      <c r="E11" s="2">
        <f>-12599.7</f>
        <v>-12599.7</v>
      </c>
      <c r="F11" s="2">
        <f>-7132.78</f>
        <v>-7132.78</v>
      </c>
      <c r="G11" s="2">
        <f>-8145.92</f>
        <v>-8145.92</v>
      </c>
      <c r="H11" s="2">
        <v>261114.99999999997</v>
      </c>
      <c r="I11" s="2">
        <v>227282</v>
      </c>
      <c r="J11" s="2">
        <v>130996</v>
      </c>
      <c r="K11" s="2">
        <v>241633</v>
      </c>
      <c r="L11" s="2">
        <v>226398</v>
      </c>
      <c r="M11" s="2">
        <v>211836</v>
      </c>
      <c r="N11" s="2">
        <v>279561</v>
      </c>
      <c r="O11" s="2">
        <v>239026</v>
      </c>
      <c r="Q11" s="2">
        <f>SUM(OSRRefD11_0x)+IFERROR(SUM(OSRRefE11_0x),0)</f>
        <v>1780365.54</v>
      </c>
    </row>
    <row r="12" spans="1:18" s="9" customFormat="1" hidden="1" outlineLevel="1" x14ac:dyDescent="0.25">
      <c r="A12" s="22"/>
      <c r="B12" s="13" t="str">
        <f>CONCATENATE("          ","4026", " - ","TAXABLE SALES-WRITING INSTRUME")</f>
        <v xml:space="preserve">          4026 - TAXABLE SALES-WRITING INSTRUME</v>
      </c>
      <c r="C12" s="23"/>
      <c r="D12" s="2">
        <f>--221.99</f>
        <v>221.99</v>
      </c>
      <c r="E12" s="2">
        <f t="shared" ref="E12:G12" si="0">0</f>
        <v>0</v>
      </c>
      <c r="F12" s="2">
        <f t="shared" si="0"/>
        <v>0</v>
      </c>
      <c r="G12" s="2">
        <f t="shared" si="0"/>
        <v>0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221.99</v>
      </c>
    </row>
    <row r="13" spans="1:18" s="9" customFormat="1" hidden="1" outlineLevel="1" x14ac:dyDescent="0.25">
      <c r="A13" s="22"/>
      <c r="B13" s="13" t="str">
        <f>CONCATENATE("          ","4027", " - ","TAXABLE SALES-SCHOOL SUPPLIES")</f>
        <v xml:space="preserve">          4027 - TAXABLE SALES-SCHOOL SUPPLIES</v>
      </c>
      <c r="C13" s="23"/>
      <c r="D13" s="2">
        <f>--1653.17</f>
        <v>1653.17</v>
      </c>
      <c r="E13" s="2">
        <f>--16850.03</f>
        <v>16850.03</v>
      </c>
      <c r="F13" s="2">
        <f>--6169.97</f>
        <v>6169.97</v>
      </c>
      <c r="G13" s="2">
        <f>--2322.55</f>
        <v>2322.5500000000002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26995.719999999998</v>
      </c>
    </row>
    <row r="14" spans="1:18" s="9" customFormat="1" hidden="1" outlineLevel="1" x14ac:dyDescent="0.25">
      <c r="A14" s="22"/>
      <c r="B14" s="13" t="str">
        <f>CONCATENATE("          ","4028", " - ","TAXABLE SALES-ART/TECH")</f>
        <v xml:space="preserve">          4028 - TAXABLE SALES-ART/TECH</v>
      </c>
      <c r="C14" s="23"/>
      <c r="D14" s="2">
        <f>--19.85</f>
        <v>19.850000000000001</v>
      </c>
      <c r="E14" s="2">
        <f t="shared" ref="E14:F14" si="1">0</f>
        <v>0</v>
      </c>
      <c r="F14" s="2">
        <f t="shared" si="1"/>
        <v>0</v>
      </c>
      <c r="G14" s="2">
        <f>--1769.95</f>
        <v>1769.95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1789.8</v>
      </c>
    </row>
    <row r="15" spans="1:18" s="9" customFormat="1" hidden="1" outlineLevel="1" x14ac:dyDescent="0.25">
      <c r="A15" s="22"/>
      <c r="B15" s="13" t="str">
        <f>CONCATENATE("          ","4031", " - ","TAXABLE SALES-FOOD")</f>
        <v xml:space="preserve">          4031 - TAXABLE SALES-FOOD</v>
      </c>
      <c r="C15" s="23"/>
      <c r="D15" s="2">
        <f>--19.75</f>
        <v>19.75</v>
      </c>
      <c r="E15" s="2">
        <f>--407.47</f>
        <v>407.47</v>
      </c>
      <c r="F15" s="2">
        <f>--441.57</f>
        <v>441.57</v>
      </c>
      <c r="G15" s="2">
        <f>--424.62</f>
        <v>424.62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1293.4099999999999</v>
      </c>
    </row>
    <row r="16" spans="1:18" s="9" customFormat="1" hidden="1" outlineLevel="1" x14ac:dyDescent="0.25">
      <c r="A16" s="22"/>
      <c r="B16" s="13" t="str">
        <f>CONCATENATE("          ","4034", " - ","TAXABLE SALES-SODA")</f>
        <v xml:space="preserve">          4034 - TAXABLE SALES-SODA</v>
      </c>
      <c r="C16" s="23"/>
      <c r="D16" s="2">
        <f>--6.78</f>
        <v>6.78</v>
      </c>
      <c r="E16" s="2">
        <f t="shared" ref="E16:G16" si="2">0</f>
        <v>0</v>
      </c>
      <c r="F16" s="2">
        <f t="shared" si="2"/>
        <v>0</v>
      </c>
      <c r="G16" s="2">
        <f t="shared" si="2"/>
        <v>0</v>
      </c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6.78</v>
      </c>
    </row>
    <row r="17" spans="1:17" s="9" customFormat="1" hidden="1" outlineLevel="1" x14ac:dyDescent="0.25">
      <c r="A17" s="22"/>
      <c r="B17" s="13" t="str">
        <f>CONCATENATE("          ","4040", " - ","TAXABLE SALES-LOGO CLOTHING")</f>
        <v xml:space="preserve">          4040 - TAXABLE SALES-LOGO CLOTHING</v>
      </c>
      <c r="C17" s="23"/>
      <c r="D17" s="2">
        <f>--50380.6</f>
        <v>50380.6</v>
      </c>
      <c r="E17" s="2">
        <f>--158111.68</f>
        <v>158111.67999999999</v>
      </c>
      <c r="F17" s="2">
        <f>--62893.01</f>
        <v>62893.01</v>
      </c>
      <c r="G17" s="2">
        <f>--36719.43</f>
        <v>36719.43</v>
      </c>
      <c r="H17" s="2"/>
      <c r="I17" s="2"/>
      <c r="J17" s="2"/>
      <c r="K17" s="2"/>
      <c r="L17" s="2"/>
      <c r="M17" s="2"/>
      <c r="N17" s="2"/>
      <c r="O17" s="2"/>
      <c r="Q17" s="2">
        <f>SUM(OSRRefD11_6x)+IFERROR(SUM(OSRRefE11_6x),0)</f>
        <v>308104.71999999997</v>
      </c>
    </row>
    <row r="18" spans="1:17" s="9" customFormat="1" hidden="1" outlineLevel="1" x14ac:dyDescent="0.25">
      <c r="A18" s="22"/>
      <c r="B18" s="13" t="str">
        <f>CONCATENATE("          ","4041", " - ","TAXABLE SALES-LOGO GIFTS")</f>
        <v xml:space="preserve">          4041 - TAXABLE SALES-LOGO GIFTS</v>
      </c>
      <c r="C18" s="23"/>
      <c r="D18" s="2">
        <f>--15917.84</f>
        <v>15917.84</v>
      </c>
      <c r="E18" s="2">
        <f>--36926.32</f>
        <v>36926.32</v>
      </c>
      <c r="F18" s="2">
        <f>--16442.34</f>
        <v>16442.34</v>
      </c>
      <c r="G18" s="2">
        <f>--11407.8</f>
        <v>11407.8</v>
      </c>
      <c r="H18" s="2"/>
      <c r="I18" s="2"/>
      <c r="J18" s="2"/>
      <c r="K18" s="2"/>
      <c r="L18" s="2"/>
      <c r="M18" s="2"/>
      <c r="N18" s="2"/>
      <c r="O18" s="2"/>
      <c r="Q18" s="2">
        <f>SUM(OSRRefD11_7x)+IFERROR(SUM(OSRRefE11_7x),0)</f>
        <v>80694.3</v>
      </c>
    </row>
    <row r="19" spans="1:17" s="9" customFormat="1" hidden="1" outlineLevel="1" x14ac:dyDescent="0.25">
      <c r="A19" s="22"/>
      <c r="B19" s="13" t="str">
        <f>CONCATENATE("          ","4042", " - ","TAXABLE SALES-EVERYDAY GIFTS")</f>
        <v xml:space="preserve">          4042 - TAXABLE SALES-EVERYDAY GIFTS</v>
      </c>
      <c r="C19" s="23"/>
      <c r="D19" s="2">
        <f>--4154.05</f>
        <v>4154.05</v>
      </c>
      <c r="E19" s="2">
        <f>--23965.29</f>
        <v>23965.29</v>
      </c>
      <c r="F19" s="2">
        <f>--6088.88</f>
        <v>6088.88</v>
      </c>
      <c r="G19" s="2">
        <f>--4494.86</f>
        <v>4494.8599999999997</v>
      </c>
      <c r="H19" s="2"/>
      <c r="I19" s="2"/>
      <c r="J19" s="2"/>
      <c r="K19" s="2"/>
      <c r="L19" s="2"/>
      <c r="M19" s="2"/>
      <c r="N19" s="2"/>
      <c r="O19" s="2"/>
      <c r="Q19" s="2">
        <f>SUM(OSRRefD11_8x)+IFERROR(SUM(OSRRefE11_8x),0)</f>
        <v>38703.08</v>
      </c>
    </row>
    <row r="20" spans="1:17" s="9" customFormat="1" hidden="1" outlineLevel="1" x14ac:dyDescent="0.25">
      <c r="A20" s="22"/>
      <c r="B20" s="13" t="str">
        <f>CONCATENATE("          ","4043", " - ","TAXABLE SALES-CARDS")</f>
        <v xml:space="preserve">          4043 - TAXABLE SALES-CARDS</v>
      </c>
      <c r="C20" s="23"/>
      <c r="D20" s="2">
        <f>--187.37</f>
        <v>187.37</v>
      </c>
      <c r="E20" s="2">
        <f>--6413.63</f>
        <v>6413.63</v>
      </c>
      <c r="F20" s="2">
        <f>--2554.77</f>
        <v>2554.77</v>
      </c>
      <c r="G20" s="2">
        <f>--30265.07</f>
        <v>30265.07</v>
      </c>
      <c r="H20" s="2"/>
      <c r="I20" s="2"/>
      <c r="J20" s="2"/>
      <c r="K20" s="2"/>
      <c r="L20" s="2"/>
      <c r="M20" s="2"/>
      <c r="N20" s="2"/>
      <c r="O20" s="2"/>
      <c r="Q20" s="2">
        <f>SUM(OSRRefD11_9x)+IFERROR(SUM(OSRRefE11_9x),0)</f>
        <v>39420.839999999997</v>
      </c>
    </row>
    <row r="21" spans="1:17" s="9" customFormat="1" hidden="1" outlineLevel="1" x14ac:dyDescent="0.25">
      <c r="A21" s="22"/>
      <c r="B21" s="13" t="str">
        <f>CONCATENATE("          ","4044", " - ","TAXABLE SALES-ACCESSORIES")</f>
        <v xml:space="preserve">          4044 - TAXABLE SALES-ACCESSORIES</v>
      </c>
      <c r="C21" s="23"/>
      <c r="D21" s="2">
        <f>--1503.2</f>
        <v>1503.2</v>
      </c>
      <c r="E21" s="2">
        <f>--6373.92</f>
        <v>6373.92</v>
      </c>
      <c r="F21" s="2">
        <f>--2671.93</f>
        <v>2671.93</v>
      </c>
      <c r="G21" s="2">
        <f>--943.09</f>
        <v>943.09</v>
      </c>
      <c r="H21" s="2"/>
      <c r="I21" s="2"/>
      <c r="J21" s="2"/>
      <c r="K21" s="2"/>
      <c r="L21" s="2"/>
      <c r="M21" s="2"/>
      <c r="N21" s="2"/>
      <c r="O21" s="2"/>
      <c r="Q21" s="2">
        <f>SUM(OSRRefD11_10x)+IFERROR(SUM(OSRRefE11_10x),0)</f>
        <v>11492.14</v>
      </c>
    </row>
    <row r="22" spans="1:17" s="9" customFormat="1" hidden="1" outlineLevel="1" x14ac:dyDescent="0.25">
      <c r="A22" s="22"/>
      <c r="B22" s="13" t="str">
        <f>CONCATENATE("          ","4045", " - ","TAXABLE SALES-SPECIAL ORDERS")</f>
        <v xml:space="preserve">          4045 - TAXABLE SALES-SPECIAL ORDERS</v>
      </c>
      <c r="C22" s="23"/>
      <c r="D22" s="2">
        <f>--43426.73</f>
        <v>43426.73</v>
      </c>
      <c r="E22" s="2">
        <f>--46004.35</f>
        <v>46004.35</v>
      </c>
      <c r="F22" s="2">
        <f>--2540.46</f>
        <v>2540.46</v>
      </c>
      <c r="G22" s="2">
        <f>--4713.55</f>
        <v>4713.55</v>
      </c>
      <c r="H22" s="2"/>
      <c r="I22" s="2"/>
      <c r="J22" s="2"/>
      <c r="K22" s="2"/>
      <c r="L22" s="2"/>
      <c r="M22" s="2"/>
      <c r="N22" s="2"/>
      <c r="O22" s="2"/>
      <c r="Q22" s="2">
        <f>SUM(OSRRefD11_11x)+IFERROR(SUM(OSRRefE11_11x),0)</f>
        <v>96685.090000000011</v>
      </c>
    </row>
    <row r="23" spans="1:17" s="9" customFormat="1" hidden="1" outlineLevel="1" x14ac:dyDescent="0.25">
      <c r="A23" s="22"/>
      <c r="B23" s="13" t="str">
        <f>CONCATENATE("          ","4126", " - ","NON-TAXABLE SALES-WRITING INST")</f>
        <v xml:space="preserve">          4126 - NON-TAXABLE SALES-WRITING INST</v>
      </c>
      <c r="C23" s="23"/>
      <c r="D23" s="2">
        <f>--52.68</f>
        <v>52.68</v>
      </c>
      <c r="E23" s="2">
        <f t="shared" ref="E23:G23" si="3">0</f>
        <v>0</v>
      </c>
      <c r="F23" s="2">
        <f t="shared" si="3"/>
        <v>0</v>
      </c>
      <c r="G23" s="2">
        <f t="shared" si="3"/>
        <v>0</v>
      </c>
      <c r="H23" s="2"/>
      <c r="I23" s="2"/>
      <c r="J23" s="2"/>
      <c r="K23" s="2"/>
      <c r="L23" s="2"/>
      <c r="M23" s="2"/>
      <c r="N23" s="2"/>
      <c r="O23" s="2"/>
      <c r="Q23" s="2">
        <f>SUM(OSRRefD11_12x)+IFERROR(SUM(OSRRefE11_12x),0)</f>
        <v>52.68</v>
      </c>
    </row>
    <row r="24" spans="1:17" s="9" customFormat="1" hidden="1" outlineLevel="1" x14ac:dyDescent="0.25">
      <c r="A24" s="22"/>
      <c r="B24" s="13" t="str">
        <f>CONCATENATE("          ","4127", " - ","NON-TAXABLE SALES-SCHOOL SUPPL")</f>
        <v xml:space="preserve">          4127 - NON-TAXABLE SALES-SCHOOL SUPPL</v>
      </c>
      <c r="C24" s="23"/>
      <c r="D24" s="2">
        <f>--72.25</f>
        <v>72.25</v>
      </c>
      <c r="E24" s="2">
        <f>--1788.16</f>
        <v>1788.16</v>
      </c>
      <c r="F24" s="2">
        <f>--810.33</f>
        <v>810.33</v>
      </c>
      <c r="G24" s="2">
        <f>--160.95</f>
        <v>160.94999999999999</v>
      </c>
      <c r="H24" s="2"/>
      <c r="I24" s="2"/>
      <c r="J24" s="2"/>
      <c r="K24" s="2"/>
      <c r="L24" s="2"/>
      <c r="M24" s="2"/>
      <c r="N24" s="2"/>
      <c r="O24" s="2"/>
      <c r="Q24" s="2">
        <f>SUM(OSRRefD11_13x)+IFERROR(SUM(OSRRefE11_13x),0)</f>
        <v>2831.69</v>
      </c>
    </row>
    <row r="25" spans="1:17" s="9" customFormat="1" hidden="1" outlineLevel="1" x14ac:dyDescent="0.25">
      <c r="A25" s="22"/>
      <c r="B25" s="13" t="str">
        <f>CONCATENATE("          ","4131", " - ","NON-TAXABLE SALES-FOOD")</f>
        <v xml:space="preserve">          4131 - NON-TAXABLE SALES-FOOD</v>
      </c>
      <c r="C25" s="23"/>
      <c r="D25" s="2">
        <f>--257.93</f>
        <v>257.93</v>
      </c>
      <c r="E25" s="2">
        <f>--979.65</f>
        <v>979.65</v>
      </c>
      <c r="F25" s="2">
        <f>--911.18</f>
        <v>911.18</v>
      </c>
      <c r="G25" s="2">
        <f>--1499.52</f>
        <v>1499.52</v>
      </c>
      <c r="H25" s="2"/>
      <c r="I25" s="2"/>
      <c r="J25" s="2"/>
      <c r="K25" s="2"/>
      <c r="L25" s="2"/>
      <c r="M25" s="2"/>
      <c r="N25" s="2"/>
      <c r="O25" s="2"/>
      <c r="Q25" s="2">
        <f>SUM(OSRRefD11_14x)+IFERROR(SUM(OSRRefE11_14x),0)</f>
        <v>3648.2799999999997</v>
      </c>
    </row>
    <row r="26" spans="1:17" s="9" customFormat="1" hidden="1" outlineLevel="1" x14ac:dyDescent="0.25">
      <c r="A26" s="22"/>
      <c r="B26" s="13" t="str">
        <f>CONCATENATE("          ","4132", " - ","NON-TAXABLE SALES-JUICE")</f>
        <v xml:space="preserve">          4132 - NON-TAXABLE SALES-JUICE</v>
      </c>
      <c r="C26" s="23"/>
      <c r="D26" s="2">
        <f>--22.49</f>
        <v>22.49</v>
      </c>
      <c r="E26" s="2">
        <f t="shared" ref="E26:G26" si="4">0</f>
        <v>0</v>
      </c>
      <c r="F26" s="2">
        <f t="shared" si="4"/>
        <v>0</v>
      </c>
      <c r="G26" s="2">
        <f t="shared" si="4"/>
        <v>0</v>
      </c>
      <c r="H26" s="2"/>
      <c r="I26" s="2"/>
      <c r="J26" s="2"/>
      <c r="K26" s="2"/>
      <c r="L26" s="2"/>
      <c r="M26" s="2"/>
      <c r="N26" s="2"/>
      <c r="O26" s="2"/>
      <c r="Q26" s="2">
        <f>SUM(OSRRefD11_15x)+IFERROR(SUM(OSRRefE11_15x),0)</f>
        <v>22.49</v>
      </c>
    </row>
    <row r="27" spans="1:17" s="9" customFormat="1" hidden="1" outlineLevel="1" x14ac:dyDescent="0.25">
      <c r="A27" s="22"/>
      <c r="B27" s="13" t="str">
        <f>CONCATENATE("          ","4133", " - ","NON-TAXABLE SALES-CANDY")</f>
        <v xml:space="preserve">          4133 - NON-TAXABLE SALES-CANDY</v>
      </c>
      <c r="C27" s="23"/>
      <c r="D27" s="2">
        <f>--68.28</f>
        <v>68.28</v>
      </c>
      <c r="E27" s="2">
        <f>--12.43</f>
        <v>12.43</v>
      </c>
      <c r="F27" s="2">
        <f t="shared" ref="F27:G29" si="5">0</f>
        <v>0</v>
      </c>
      <c r="G27" s="2">
        <f t="shared" si="5"/>
        <v>0</v>
      </c>
      <c r="H27" s="2"/>
      <c r="I27" s="2"/>
      <c r="J27" s="2"/>
      <c r="K27" s="2"/>
      <c r="L27" s="2"/>
      <c r="M27" s="2"/>
      <c r="N27" s="2"/>
      <c r="O27" s="2"/>
      <c r="Q27" s="2">
        <f>SUM(OSRRefD11_16x)+IFERROR(SUM(OSRRefE11_16x),0)</f>
        <v>80.710000000000008</v>
      </c>
    </row>
    <row r="28" spans="1:17" s="9" customFormat="1" hidden="1" outlineLevel="1" x14ac:dyDescent="0.25">
      <c r="A28" s="22"/>
      <c r="B28" s="13" t="str">
        <f>CONCATENATE("          ","4134", " - ","NON-TAXABLE SALES-SODA")</f>
        <v xml:space="preserve">          4134 - NON-TAXABLE SALES-SODA</v>
      </c>
      <c r="C28" s="23"/>
      <c r="D28" s="2">
        <f>--45.53</f>
        <v>45.53</v>
      </c>
      <c r="E28" s="2">
        <f t="shared" ref="E28:E29" si="6">0</f>
        <v>0</v>
      </c>
      <c r="F28" s="2">
        <f t="shared" si="5"/>
        <v>0</v>
      </c>
      <c r="G28" s="2">
        <f t="shared" si="5"/>
        <v>0</v>
      </c>
      <c r="H28" s="2"/>
      <c r="I28" s="2"/>
      <c r="J28" s="2"/>
      <c r="K28" s="2"/>
      <c r="L28" s="2"/>
      <c r="M28" s="2"/>
      <c r="N28" s="2"/>
      <c r="O28" s="2"/>
      <c r="Q28" s="2">
        <f>SUM(OSRRefD11_17x)+IFERROR(SUM(OSRRefE11_17x),0)</f>
        <v>45.53</v>
      </c>
    </row>
    <row r="29" spans="1:17" s="9" customFormat="1" hidden="1" outlineLevel="1" x14ac:dyDescent="0.25">
      <c r="A29" s="22"/>
      <c r="B29" s="13" t="str">
        <f>CONCATENATE("          ","4137", " - ","NON-TAXABLE SALES-WATER")</f>
        <v xml:space="preserve">          4137 - NON-TAXABLE SALES-WATER</v>
      </c>
      <c r="C29" s="23"/>
      <c r="D29" s="2">
        <f>--59.25</f>
        <v>59.25</v>
      </c>
      <c r="E29" s="2">
        <f t="shared" si="6"/>
        <v>0</v>
      </c>
      <c r="F29" s="2">
        <f t="shared" si="5"/>
        <v>0</v>
      </c>
      <c r="G29" s="2">
        <f t="shared" si="5"/>
        <v>0</v>
      </c>
      <c r="H29" s="2"/>
      <c r="I29" s="2"/>
      <c r="J29" s="2"/>
      <c r="K29" s="2"/>
      <c r="L29" s="2"/>
      <c r="M29" s="2"/>
      <c r="N29" s="2"/>
      <c r="O29" s="2"/>
      <c r="Q29" s="2">
        <f>SUM(OSRRefD11_18x)+IFERROR(SUM(OSRRefE11_18x),0)</f>
        <v>59.25</v>
      </c>
    </row>
    <row r="30" spans="1:17" s="9" customFormat="1" hidden="1" outlineLevel="1" x14ac:dyDescent="0.25">
      <c r="A30" s="22"/>
      <c r="B30" s="13" t="str">
        <f>CONCATENATE("          ","4140", " - ","NON-TAXABLE SALES-LOGO CLOTHIN")</f>
        <v xml:space="preserve">          4140 - NON-TAXABLE SALES-LOGO CLOTHIN</v>
      </c>
      <c r="C30" s="23"/>
      <c r="D30" s="2">
        <f>--6777.78</f>
        <v>6777.78</v>
      </c>
      <c r="E30" s="2">
        <f>--7251.52</f>
        <v>7251.52</v>
      </c>
      <c r="F30" s="2">
        <f>--3332.21</f>
        <v>3332.21</v>
      </c>
      <c r="G30" s="2">
        <f>--13113.14</f>
        <v>13113.14</v>
      </c>
      <c r="H30" s="2"/>
      <c r="I30" s="2"/>
      <c r="J30" s="2"/>
      <c r="K30" s="2"/>
      <c r="L30" s="2"/>
      <c r="M30" s="2"/>
      <c r="N30" s="2"/>
      <c r="O30" s="2"/>
      <c r="Q30" s="2">
        <f>SUM(OSRRefD11_19x)+IFERROR(SUM(OSRRefE11_19x),0)</f>
        <v>30474.649999999998</v>
      </c>
    </row>
    <row r="31" spans="1:17" s="9" customFormat="1" hidden="1" outlineLevel="1" x14ac:dyDescent="0.25">
      <c r="A31" s="22"/>
      <c r="B31" s="13" t="str">
        <f>CONCATENATE("          ","4141", " - ","NON-TAXABLE SALES-LOGO GIFTS")</f>
        <v xml:space="preserve">          4141 - NON-TAXABLE SALES-LOGO GIFTS</v>
      </c>
      <c r="C31" s="23"/>
      <c r="D31" s="2">
        <f>--1189.44</f>
        <v>1189.44</v>
      </c>
      <c r="E31" s="2">
        <f>--742.31</f>
        <v>742.31</v>
      </c>
      <c r="F31" s="2">
        <f>--555.74</f>
        <v>555.74</v>
      </c>
      <c r="G31" s="2">
        <f>--383.71</f>
        <v>383.71</v>
      </c>
      <c r="H31" s="2"/>
      <c r="I31" s="2"/>
      <c r="J31" s="2"/>
      <c r="K31" s="2"/>
      <c r="L31" s="2"/>
      <c r="M31" s="2"/>
      <c r="N31" s="2"/>
      <c r="O31" s="2"/>
      <c r="Q31" s="2">
        <f>SUM(OSRRefD11_20x)+IFERROR(SUM(OSRRefE11_20x),0)</f>
        <v>2871.2</v>
      </c>
    </row>
    <row r="32" spans="1:17" s="9" customFormat="1" hidden="1" outlineLevel="1" x14ac:dyDescent="0.25">
      <c r="A32" s="22"/>
      <c r="B32" s="13" t="str">
        <f>CONCATENATE("          ","4142", " - ","NON-TAXABLE SALES-EVERYDAY GIF")</f>
        <v xml:space="preserve">          4142 - NON-TAXABLE SALES-EVERYDAY GIF</v>
      </c>
      <c r="C32" s="23"/>
      <c r="D32" s="2">
        <f>--640.17</f>
        <v>640.16999999999996</v>
      </c>
      <c r="E32" s="2">
        <f>--333.42</f>
        <v>333.42</v>
      </c>
      <c r="F32" s="2">
        <f>--30.16</f>
        <v>30.16</v>
      </c>
      <c r="G32" s="2">
        <f>--65.68</f>
        <v>65.680000000000007</v>
      </c>
      <c r="H32" s="2"/>
      <c r="I32" s="2"/>
      <c r="J32" s="2"/>
      <c r="K32" s="2"/>
      <c r="L32" s="2"/>
      <c r="M32" s="2"/>
      <c r="N32" s="2"/>
      <c r="O32" s="2"/>
      <c r="Q32" s="2">
        <f>SUM(OSRRefD11_21x)+IFERROR(SUM(OSRRefE11_21x),0)</f>
        <v>1069.4299999999998</v>
      </c>
    </row>
    <row r="33" spans="1:17" s="9" customFormat="1" hidden="1" outlineLevel="1" x14ac:dyDescent="0.25">
      <c r="A33" s="22"/>
      <c r="B33" s="13" t="str">
        <f>CONCATENATE("          ","4143", " - ","NON-TAXABLE SALES-CARDS")</f>
        <v xml:space="preserve">          4143 - NON-TAXABLE SALES-CARDS</v>
      </c>
      <c r="C33" s="23"/>
      <c r="D33" s="2">
        <f>0</f>
        <v>0</v>
      </c>
      <c r="E33" s="2">
        <f>--19.98</f>
        <v>19.98</v>
      </c>
      <c r="F33" s="2">
        <f>0</f>
        <v>0</v>
      </c>
      <c r="G33" s="2">
        <f>--9.99</f>
        <v>9.99</v>
      </c>
      <c r="H33" s="2"/>
      <c r="I33" s="2"/>
      <c r="J33" s="2"/>
      <c r="K33" s="2"/>
      <c r="L33" s="2"/>
      <c r="M33" s="2"/>
      <c r="N33" s="2"/>
      <c r="O33" s="2"/>
      <c r="Q33" s="2">
        <f>SUM(OSRRefD11_22x)+IFERROR(SUM(OSRRefE11_22x),0)</f>
        <v>29.97</v>
      </c>
    </row>
    <row r="34" spans="1:17" s="9" customFormat="1" hidden="1" outlineLevel="1" x14ac:dyDescent="0.25">
      <c r="A34" s="22"/>
      <c r="B34" s="13" t="str">
        <f>CONCATENATE("          ","4144", " - ","NON-TAXABLE SALES-ACCESSORIES")</f>
        <v xml:space="preserve">          4144 - NON-TAXABLE SALES-ACCESSORIES</v>
      </c>
      <c r="C34" s="23"/>
      <c r="D34" s="2">
        <f>--47.85</f>
        <v>47.85</v>
      </c>
      <c r="E34" s="2">
        <f>--107.95</f>
        <v>107.95</v>
      </c>
      <c r="F34" s="2">
        <f>--59.95</f>
        <v>59.95</v>
      </c>
      <c r="G34" s="2">
        <f>--154</f>
        <v>154</v>
      </c>
      <c r="H34" s="2"/>
      <c r="I34" s="2"/>
      <c r="J34" s="2"/>
      <c r="K34" s="2"/>
      <c r="L34" s="2"/>
      <c r="M34" s="2"/>
      <c r="N34" s="2"/>
      <c r="O34" s="2"/>
      <c r="Q34" s="2">
        <f>SUM(OSRRefD11_23x)+IFERROR(SUM(OSRRefE11_23x),0)</f>
        <v>369.75</v>
      </c>
    </row>
    <row r="35" spans="1:17" s="9" customFormat="1" hidden="1" outlineLevel="1" x14ac:dyDescent="0.25">
      <c r="A35" s="22"/>
      <c r="B35" s="13" t="str">
        <f>CONCATENATE("          ","4145", " - ","NON-TAXABLE SALES-SPECIAL ORDE")</f>
        <v xml:space="preserve">          4145 - NON-TAXABLE SALES-SPECIAL ORDE</v>
      </c>
      <c r="C35" s="23"/>
      <c r="D35" s="2">
        <f>--35489</f>
        <v>35489</v>
      </c>
      <c r="E35" s="2">
        <f>--350</f>
        <v>350</v>
      </c>
      <c r="F35" s="2">
        <f t="shared" ref="F35:G36" si="7">0</f>
        <v>0</v>
      </c>
      <c r="G35" s="2">
        <f t="shared" si="7"/>
        <v>0</v>
      </c>
      <c r="H35" s="2"/>
      <c r="I35" s="2"/>
      <c r="J35" s="2"/>
      <c r="K35" s="2"/>
      <c r="L35" s="2"/>
      <c r="M35" s="2"/>
      <c r="N35" s="2"/>
      <c r="O35" s="2"/>
      <c r="Q35" s="2">
        <f>SUM(OSRRefD11_24x)+IFERROR(SUM(OSRRefE11_24x),0)</f>
        <v>35839</v>
      </c>
    </row>
    <row r="36" spans="1:17" s="9" customFormat="1" hidden="1" outlineLevel="1" x14ac:dyDescent="0.25">
      <c r="A36" s="22"/>
      <c r="B36" s="13" t="str">
        <f>CONCATENATE("          ","4226", " - ","SALES RETURN TAXABLE-WRITING I")</f>
        <v xml:space="preserve">          4226 - SALES RETURN TAXABLE-WRITING I</v>
      </c>
      <c r="C36" s="23"/>
      <c r="D36" s="2">
        <f>-6.38</f>
        <v>-6.38</v>
      </c>
      <c r="E36" s="2">
        <f>0</f>
        <v>0</v>
      </c>
      <c r="F36" s="2">
        <f t="shared" si="7"/>
        <v>0</v>
      </c>
      <c r="G36" s="2">
        <f t="shared" si="7"/>
        <v>0</v>
      </c>
      <c r="H36" s="2"/>
      <c r="I36" s="2"/>
      <c r="J36" s="2"/>
      <c r="K36" s="2"/>
      <c r="L36" s="2"/>
      <c r="M36" s="2"/>
      <c r="N36" s="2"/>
      <c r="O36" s="2"/>
      <c r="Q36" s="2">
        <f>SUM(OSRRefD11_25x)+IFERROR(SUM(OSRRefE11_25x),0)</f>
        <v>-6.38</v>
      </c>
    </row>
    <row r="37" spans="1:17" s="9" customFormat="1" hidden="1" outlineLevel="1" x14ac:dyDescent="0.25">
      <c r="A37" s="22"/>
      <c r="B37" s="13" t="str">
        <f>CONCATENATE("          ","4227", " - ","SALES RETURN TAXABLE-SCHOOL SU")</f>
        <v xml:space="preserve">          4227 - SALES RETURN TAXABLE-SCHOOL SU</v>
      </c>
      <c r="C37" s="23"/>
      <c r="D37" s="2">
        <f>-26.77</f>
        <v>-26.77</v>
      </c>
      <c r="E37" s="2">
        <f>-219.22</f>
        <v>-219.22</v>
      </c>
      <c r="F37" s="2">
        <f>-132.71</f>
        <v>-132.71</v>
      </c>
      <c r="G37" s="2">
        <f>-9.99</f>
        <v>-9.99</v>
      </c>
      <c r="H37" s="2"/>
      <c r="I37" s="2"/>
      <c r="J37" s="2"/>
      <c r="K37" s="2"/>
      <c r="L37" s="2"/>
      <c r="M37" s="2"/>
      <c r="N37" s="2"/>
      <c r="O37" s="2"/>
      <c r="Q37" s="2">
        <f>SUM(OSRRefD11_26x)+IFERROR(SUM(OSRRefE11_26x),0)</f>
        <v>-388.69000000000005</v>
      </c>
    </row>
    <row r="38" spans="1:17" s="9" customFormat="1" hidden="1" outlineLevel="1" x14ac:dyDescent="0.25">
      <c r="A38" s="22"/>
      <c r="B38" s="13" t="str">
        <f>CONCATENATE("          ","4240", " - ","SALES RETURN TAXABLE-LOGO CLOT")</f>
        <v xml:space="preserve">          4240 - SALES RETURN TAXABLE-LOGO CLOT</v>
      </c>
      <c r="C38" s="23"/>
      <c r="D38" s="2">
        <f>-2618.45</f>
        <v>-2618.4499999999998</v>
      </c>
      <c r="E38" s="2">
        <f>-4088.27</f>
        <v>-4088.27</v>
      </c>
      <c r="F38" s="2">
        <f>-2999.36</f>
        <v>-2999.36</v>
      </c>
      <c r="G38" s="2">
        <f>-1722.21</f>
        <v>-1722.21</v>
      </c>
      <c r="H38" s="2"/>
      <c r="I38" s="2"/>
      <c r="J38" s="2"/>
      <c r="K38" s="2"/>
      <c r="L38" s="2"/>
      <c r="M38" s="2"/>
      <c r="N38" s="2"/>
      <c r="O38" s="2"/>
      <c r="Q38" s="2">
        <f>SUM(OSRRefD11_27x)+IFERROR(SUM(OSRRefE11_27x),0)</f>
        <v>-11428.29</v>
      </c>
    </row>
    <row r="39" spans="1:17" s="9" customFormat="1" hidden="1" outlineLevel="1" x14ac:dyDescent="0.25">
      <c r="A39" s="22"/>
      <c r="B39" s="13" t="str">
        <f>CONCATENATE("          ","4241", " - ","SALES RETURN TAXABLE-LOGO GIFT")</f>
        <v xml:space="preserve">          4241 - SALES RETURN TAXABLE-LOGO GIFT</v>
      </c>
      <c r="C39" s="23"/>
      <c r="D39" s="2">
        <f>-308.13</f>
        <v>-308.13</v>
      </c>
      <c r="E39" s="2">
        <f>-435.91</f>
        <v>-435.91</v>
      </c>
      <c r="F39" s="2">
        <f>-722.72</f>
        <v>-722.72</v>
      </c>
      <c r="G39" s="2">
        <f>-289.6</f>
        <v>-289.60000000000002</v>
      </c>
      <c r="H39" s="2"/>
      <c r="I39" s="2"/>
      <c r="J39" s="2"/>
      <c r="K39" s="2"/>
      <c r="L39" s="2"/>
      <c r="M39" s="2"/>
      <c r="N39" s="2"/>
      <c r="O39" s="2"/>
      <c r="Q39" s="2">
        <f>SUM(OSRRefD11_28x)+IFERROR(SUM(OSRRefE11_28x),0)</f>
        <v>-1756.3600000000001</v>
      </c>
    </row>
    <row r="40" spans="1:17" s="9" customFormat="1" hidden="1" outlineLevel="1" x14ac:dyDescent="0.25">
      <c r="A40" s="22"/>
      <c r="B40" s="13" t="str">
        <f>CONCATENATE("          ","4242", " - ","SALES RETURN TAXABLE-EVERYDAY")</f>
        <v xml:space="preserve">          4242 - SALES RETURN TAXABLE-EVERYDAY</v>
      </c>
      <c r="C40" s="23"/>
      <c r="D40" s="2">
        <f>-105.1</f>
        <v>-105.1</v>
      </c>
      <c r="E40" s="2">
        <f>-447.81</f>
        <v>-447.81</v>
      </c>
      <c r="F40" s="2">
        <f>-397.83</f>
        <v>-397.83</v>
      </c>
      <c r="G40" s="2">
        <f>-258.97</f>
        <v>-258.97000000000003</v>
      </c>
      <c r="H40" s="2"/>
      <c r="I40" s="2"/>
      <c r="J40" s="2"/>
      <c r="K40" s="2"/>
      <c r="L40" s="2"/>
      <c r="M40" s="2"/>
      <c r="N40" s="2"/>
      <c r="O40" s="2"/>
      <c r="Q40" s="2">
        <f>SUM(OSRRefD11_29x)+IFERROR(SUM(OSRRefE11_29x),0)</f>
        <v>-1209.71</v>
      </c>
    </row>
    <row r="41" spans="1:17" s="9" customFormat="1" hidden="1" outlineLevel="1" x14ac:dyDescent="0.25">
      <c r="A41" s="22"/>
      <c r="B41" s="13" t="str">
        <f>CONCATENATE("          ","4243", " - ","SALES RETURN TAXABLE-CARDS")</f>
        <v xml:space="preserve">          4243 - SALES RETURN TAXABLE-CARDS</v>
      </c>
      <c r="C41" s="23"/>
      <c r="D41" s="2">
        <f t="shared" ref="D41:D42" si="8">0</f>
        <v>0</v>
      </c>
      <c r="E41" s="2">
        <f>-93.43</f>
        <v>-93.43</v>
      </c>
      <c r="F41" s="2">
        <f>-59.94</f>
        <v>-59.94</v>
      </c>
      <c r="G41" s="2">
        <f>-829.55</f>
        <v>-829.55</v>
      </c>
      <c r="H41" s="2"/>
      <c r="I41" s="2"/>
      <c r="J41" s="2"/>
      <c r="K41" s="2"/>
      <c r="L41" s="2"/>
      <c r="M41" s="2"/>
      <c r="N41" s="2"/>
      <c r="O41" s="2"/>
      <c r="Q41" s="2">
        <f>SUM(OSRRefD11_30x)+IFERROR(SUM(OSRRefE11_30x),0)</f>
        <v>-982.92</v>
      </c>
    </row>
    <row r="42" spans="1:17" s="9" customFormat="1" hidden="1" outlineLevel="1" x14ac:dyDescent="0.25">
      <c r="A42" s="22"/>
      <c r="B42" s="13" t="str">
        <f>CONCATENATE("          ","4244", " - ","SALES RETURN TAXABLE-ACCESSORI")</f>
        <v xml:space="preserve">          4244 - SALES RETURN TAXABLE-ACCESSORI</v>
      </c>
      <c r="C42" s="23"/>
      <c r="D42" s="2">
        <f t="shared" si="8"/>
        <v>0</v>
      </c>
      <c r="E42" s="2">
        <f>-350.99</f>
        <v>-350.99</v>
      </c>
      <c r="F42" s="2">
        <f>-60</f>
        <v>-60</v>
      </c>
      <c r="G42" s="2">
        <f>0</f>
        <v>0</v>
      </c>
      <c r="H42" s="2"/>
      <c r="I42" s="2"/>
      <c r="J42" s="2"/>
      <c r="K42" s="2"/>
      <c r="L42" s="2"/>
      <c r="M42" s="2"/>
      <c r="N42" s="2"/>
      <c r="O42" s="2"/>
      <c r="Q42" s="2">
        <f>SUM(OSRRefD11_31x)+IFERROR(SUM(OSRRefE11_31x),0)</f>
        <v>-410.99</v>
      </c>
    </row>
    <row r="43" spans="1:17" s="9" customFormat="1" hidden="1" outlineLevel="1" x14ac:dyDescent="0.25">
      <c r="A43" s="22"/>
      <c r="B43" s="13" t="str">
        <f>CONCATENATE("          ","4245", " - ","SALES RETURN TAXABLE-SPECIAL O")</f>
        <v xml:space="preserve">          4245 - SALES RETURN TAXABLE-SPECIAL O</v>
      </c>
      <c r="C43" s="23"/>
      <c r="D43" s="2">
        <f>-1114</f>
        <v>-1114</v>
      </c>
      <c r="E43" s="2">
        <f>-57.96</f>
        <v>-57.96</v>
      </c>
      <c r="F43" s="2">
        <f>-3.99</f>
        <v>-3.99</v>
      </c>
      <c r="G43" s="2">
        <f>-363.98</f>
        <v>-363.98</v>
      </c>
      <c r="H43" s="2"/>
      <c r="I43" s="2"/>
      <c r="J43" s="2"/>
      <c r="K43" s="2"/>
      <c r="L43" s="2"/>
      <c r="M43" s="2"/>
      <c r="N43" s="2"/>
      <c r="O43" s="2"/>
      <c r="Q43" s="2">
        <f>SUM(OSRRefD11_32x)+IFERROR(SUM(OSRRefE11_32x),0)</f>
        <v>-1539.93</v>
      </c>
    </row>
    <row r="44" spans="1:17" s="9" customFormat="1" hidden="1" outlineLevel="1" x14ac:dyDescent="0.25">
      <c r="A44" s="22"/>
      <c r="B44" s="13" t="str">
        <f>CONCATENATE("          ","4340", " - ","SALES RETURN NON TAXABLE-LOGO")</f>
        <v xml:space="preserve">          4340 - SALES RETURN NON TAXABLE-LOGO</v>
      </c>
      <c r="C44" s="23"/>
      <c r="D44" s="2">
        <f>-434.24</f>
        <v>-434.24</v>
      </c>
      <c r="E44" s="2">
        <f>-69.9</f>
        <v>-69.900000000000006</v>
      </c>
      <c r="F44" s="2">
        <f>-36.9</f>
        <v>-36.9</v>
      </c>
      <c r="G44" s="2">
        <f>-195.69</f>
        <v>-195.69</v>
      </c>
      <c r="H44" s="2"/>
      <c r="I44" s="2"/>
      <c r="J44" s="2"/>
      <c r="K44" s="2"/>
      <c r="L44" s="2"/>
      <c r="M44" s="2"/>
      <c r="N44" s="2"/>
      <c r="O44" s="2"/>
      <c r="Q44" s="2">
        <f>SUM(OSRRefD11_33x)+IFERROR(SUM(OSRRefE11_33x),0)</f>
        <v>-736.73</v>
      </c>
    </row>
    <row r="45" spans="1:17" s="9" customFormat="1" hidden="1" outlineLevel="1" x14ac:dyDescent="0.25">
      <c r="A45" s="22"/>
      <c r="B45" s="13" t="str">
        <f>CONCATENATE("          ","4341", " - ","SALES RETURN NON TAXABLE-LOGO")</f>
        <v xml:space="preserve">          4341 - SALES RETURN NON TAXABLE-LOGO</v>
      </c>
      <c r="C45" s="23"/>
      <c r="D45" s="2">
        <f>-16.95</f>
        <v>-16.95</v>
      </c>
      <c r="E45" s="2">
        <f>0</f>
        <v>0</v>
      </c>
      <c r="F45" s="2">
        <f>-129.95</f>
        <v>-129.94999999999999</v>
      </c>
      <c r="G45" s="2">
        <f t="shared" ref="G45:G46" si="9">0</f>
        <v>0</v>
      </c>
      <c r="H45" s="2"/>
      <c r="I45" s="2"/>
      <c r="J45" s="2"/>
      <c r="K45" s="2"/>
      <c r="L45" s="2"/>
      <c r="M45" s="2"/>
      <c r="N45" s="2"/>
      <c r="O45" s="2"/>
      <c r="Q45" s="2">
        <f>SUM(OSRRefD11_34x)+IFERROR(SUM(OSRRefE11_34x),0)</f>
        <v>-146.89999999999998</v>
      </c>
    </row>
    <row r="46" spans="1:17" s="9" customFormat="1" hidden="1" outlineLevel="1" x14ac:dyDescent="0.25">
      <c r="A46" s="22"/>
      <c r="B46" s="13" t="str">
        <f>CONCATENATE("          ","4342", " - ","SALES RETURN NON TAXABLE-EVERY")</f>
        <v xml:space="preserve">          4342 - SALES RETURN NON TAXABLE-EVERY</v>
      </c>
      <c r="C46" s="23"/>
      <c r="D46" s="2">
        <f>-79.85</f>
        <v>-79.849999999999994</v>
      </c>
      <c r="E46" s="2">
        <f>-13.9</f>
        <v>-13.9</v>
      </c>
      <c r="F46" s="2">
        <f>-24.95</f>
        <v>-24.95</v>
      </c>
      <c r="G46" s="2">
        <f t="shared" si="9"/>
        <v>0</v>
      </c>
      <c r="H46" s="2"/>
      <c r="I46" s="2"/>
      <c r="J46" s="2"/>
      <c r="K46" s="2"/>
      <c r="L46" s="2"/>
      <c r="M46" s="2"/>
      <c r="N46" s="2"/>
      <c r="O46" s="2"/>
      <c r="Q46" s="2">
        <f>SUM(OSRRefD11_35x)+IFERROR(SUM(OSRRefE11_35x),0)</f>
        <v>-118.7</v>
      </c>
    </row>
    <row r="47" spans="1:17" x14ac:dyDescent="0.25">
      <c r="A47" s="5"/>
      <c r="B47" s="8"/>
      <c r="C47" s="5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Q47" s="3"/>
    </row>
    <row r="48" spans="1:17" s="9" customFormat="1" collapsed="1" x14ac:dyDescent="0.25">
      <c r="A48" s="22"/>
      <c r="B48" s="16" t="s">
        <v>290</v>
      </c>
      <c r="C48" s="23"/>
      <c r="D48" s="3">
        <f>SUM(OSRRefD14x_0)</f>
        <v>100169.94</v>
      </c>
      <c r="E48" s="3">
        <f>SUM(OSRRefD14x_1)</f>
        <v>171786</v>
      </c>
      <c r="F48" s="3">
        <f>SUM(OSRRefD14x_2)</f>
        <v>59318.60000000002</v>
      </c>
      <c r="G48" s="3">
        <f>SUM(OSRRefD14x_3)</f>
        <v>52899.000000000007</v>
      </c>
      <c r="H48" s="3">
        <f>SUM(OSRRefE14x_0)</f>
        <v>144298</v>
      </c>
      <c r="I48" s="3">
        <f>SUM(OSRRefE14x_1)</f>
        <v>125501</v>
      </c>
      <c r="J48" s="3">
        <f>SUM(OSRRefE14x_2)</f>
        <v>78625</v>
      </c>
      <c r="K48" s="3">
        <f>SUM(OSRRefE14x_3)</f>
        <v>141164</v>
      </c>
      <c r="L48" s="3">
        <f>SUM(OSRRefE14x_4)</f>
        <v>129179</v>
      </c>
      <c r="M48" s="3">
        <f>SUM(OSRRefE14x_5)</f>
        <v>125312</v>
      </c>
      <c r="N48" s="3">
        <f>SUM(OSRRefE14x_6)</f>
        <v>162646</v>
      </c>
      <c r="O48" s="3">
        <f>SUM(OSRRefE14x_7)</f>
        <v>133119</v>
      </c>
      <c r="Q48" s="3">
        <f>SUM(OSRRefG14x)</f>
        <v>1424017.5399999998</v>
      </c>
    </row>
    <row r="49" spans="1:17" s="9" customFormat="1" hidden="1" outlineLevel="1" x14ac:dyDescent="0.25">
      <c r="A49" s="22"/>
      <c r="B49" s="13" t="str">
        <f>CONCATENATE("          ","5000", " - ","PURCHASES @ COST")</f>
        <v xml:space="preserve">          5000 - PURCHASES @ COST</v>
      </c>
      <c r="C49" s="23"/>
      <c r="D49" s="2"/>
      <c r="E49" s="2"/>
      <c r="F49" s="2"/>
      <c r="G49" s="2"/>
      <c r="H49" s="2">
        <v>144298</v>
      </c>
      <c r="I49" s="2">
        <v>125501</v>
      </c>
      <c r="J49" s="2">
        <v>78625</v>
      </c>
      <c r="K49" s="2">
        <v>141164</v>
      </c>
      <c r="L49" s="2">
        <v>129179</v>
      </c>
      <c r="M49" s="2">
        <v>125312</v>
      </c>
      <c r="N49" s="2">
        <v>162646</v>
      </c>
      <c r="O49" s="2">
        <v>133119</v>
      </c>
      <c r="Q49" s="2">
        <f>SUM(OSRRefD14_0x)+IFERROR(SUM(OSRRefE14_0x),0)</f>
        <v>1039844</v>
      </c>
    </row>
    <row r="50" spans="1:17" s="9" customFormat="1" hidden="1" outlineLevel="1" x14ac:dyDescent="0.25">
      <c r="A50" s="22"/>
      <c r="B50" s="13" t="str">
        <f>CONCATENATE("          ","5025", " - ","PURCHASES @ COST-TEST FORMS")</f>
        <v xml:space="preserve">          5025 - PURCHASES @ COST-TEST FORMS</v>
      </c>
      <c r="C50" s="23"/>
      <c r="D50" s="2"/>
      <c r="E50" s="2"/>
      <c r="F50" s="2"/>
      <c r="G50" s="2">
        <v>599.29</v>
      </c>
      <c r="H50" s="2"/>
      <c r="I50" s="2"/>
      <c r="J50" s="2"/>
      <c r="K50" s="2"/>
      <c r="L50" s="2"/>
      <c r="M50" s="2"/>
      <c r="N50" s="2"/>
      <c r="O50" s="2"/>
      <c r="Q50" s="2">
        <f>SUM(OSRRefD14_1x)+IFERROR(SUM(OSRRefE14_1x),0)</f>
        <v>599.29</v>
      </c>
    </row>
    <row r="51" spans="1:17" s="9" customFormat="1" hidden="1" outlineLevel="1" x14ac:dyDescent="0.25">
      <c r="A51" s="22"/>
      <c r="B51" s="13" t="str">
        <f>CONCATENATE("          ","5026", " - ","PURCHASES @ COST-WRITING INSTR")</f>
        <v xml:space="preserve">          5026 - PURCHASES @ COST-WRITING INSTR</v>
      </c>
      <c r="C51" s="23"/>
      <c r="D51" s="2"/>
      <c r="E51" s="2"/>
      <c r="F51" s="2"/>
      <c r="G51" s="2">
        <v>10</v>
      </c>
      <c r="H51" s="2"/>
      <c r="I51" s="2"/>
      <c r="J51" s="2"/>
      <c r="K51" s="2"/>
      <c r="L51" s="2"/>
      <c r="M51" s="2"/>
      <c r="N51" s="2"/>
      <c r="O51" s="2"/>
      <c r="Q51" s="2">
        <f>SUM(OSRRefD14_2x)+IFERROR(SUM(OSRRefE14_2x),0)</f>
        <v>10</v>
      </c>
    </row>
    <row r="52" spans="1:17" s="9" customFormat="1" hidden="1" outlineLevel="1" x14ac:dyDescent="0.25">
      <c r="A52" s="22"/>
      <c r="B52" s="13" t="str">
        <f>CONCATENATE("          ","5027", " - ","PURCHASES @ COST-SCHOOL SUPPLI")</f>
        <v xml:space="preserve">          5027 - PURCHASES @ COST-SCHOOL SUPPLI</v>
      </c>
      <c r="C52" s="23"/>
      <c r="D52" s="2">
        <v>8503.4</v>
      </c>
      <c r="E52" s="2"/>
      <c r="F52" s="2"/>
      <c r="G52" s="2">
        <v>9672.48</v>
      </c>
      <c r="H52" s="2"/>
      <c r="I52" s="2"/>
      <c r="J52" s="2"/>
      <c r="K52" s="2"/>
      <c r="L52" s="2"/>
      <c r="M52" s="2"/>
      <c r="N52" s="2"/>
      <c r="O52" s="2"/>
      <c r="Q52" s="2">
        <f>SUM(OSRRefD14_3x)+IFERROR(SUM(OSRRefE14_3x),0)</f>
        <v>18175.879999999997</v>
      </c>
    </row>
    <row r="53" spans="1:17" s="9" customFormat="1" hidden="1" outlineLevel="1" x14ac:dyDescent="0.25">
      <c r="A53" s="22"/>
      <c r="B53" s="13" t="str">
        <f>CONCATENATE("          ","5028", " - ","PURCHASES @ COST-ART/TECH")</f>
        <v xml:space="preserve">          5028 - PURCHASES @ COST-ART/TECH</v>
      </c>
      <c r="C53" s="23"/>
      <c r="D53" s="2"/>
      <c r="E53" s="2"/>
      <c r="F53" s="2">
        <v>-83.4</v>
      </c>
      <c r="G53" s="2"/>
      <c r="H53" s="2"/>
      <c r="I53" s="2"/>
      <c r="J53" s="2"/>
      <c r="K53" s="2"/>
      <c r="L53" s="2"/>
      <c r="M53" s="2"/>
      <c r="N53" s="2"/>
      <c r="O53" s="2"/>
      <c r="Q53" s="2">
        <f>SUM(OSRRefD14_4x)+IFERROR(SUM(OSRRefE14_4x),0)</f>
        <v>-83.4</v>
      </c>
    </row>
    <row r="54" spans="1:17" s="9" customFormat="1" hidden="1" outlineLevel="1" x14ac:dyDescent="0.25">
      <c r="A54" s="22"/>
      <c r="B54" s="13" t="str">
        <f>CONCATENATE("          ","5031", " - ","PURCHASES @ COST-FOOD")</f>
        <v xml:space="preserve">          5031 - PURCHASES @ COST-FOOD</v>
      </c>
      <c r="C54" s="23"/>
      <c r="D54" s="2"/>
      <c r="E54" s="2"/>
      <c r="F54" s="2">
        <v>1183.51</v>
      </c>
      <c r="G54" s="2">
        <v>4421.92</v>
      </c>
      <c r="H54" s="2"/>
      <c r="I54" s="2"/>
      <c r="J54" s="2"/>
      <c r="K54" s="2"/>
      <c r="L54" s="2"/>
      <c r="M54" s="2"/>
      <c r="N54" s="2"/>
      <c r="O54" s="2"/>
      <c r="Q54" s="2">
        <f>SUM(OSRRefD14_5x)+IFERROR(SUM(OSRRefE14_5x),0)</f>
        <v>5605.43</v>
      </c>
    </row>
    <row r="55" spans="1:17" s="9" customFormat="1" hidden="1" outlineLevel="1" x14ac:dyDescent="0.25">
      <c r="A55" s="22"/>
      <c r="B55" s="13" t="str">
        <f>CONCATENATE("          ","5040", " - ","PURCHASES @ COST-LOGO CLOTHING")</f>
        <v xml:space="preserve">          5040 - PURCHASES @ COST-LOGO CLOTHING</v>
      </c>
      <c r="C55" s="23"/>
      <c r="D55" s="2">
        <v>1723.07</v>
      </c>
      <c r="E55" s="2">
        <v>7628.83</v>
      </c>
      <c r="F55" s="2">
        <v>4398.1499999999996</v>
      </c>
      <c r="G55" s="2">
        <v>25420.9</v>
      </c>
      <c r="H55" s="2"/>
      <c r="I55" s="2"/>
      <c r="J55" s="2"/>
      <c r="K55" s="2"/>
      <c r="L55" s="2"/>
      <c r="M55" s="2"/>
      <c r="N55" s="2"/>
      <c r="O55" s="2"/>
      <c r="Q55" s="2">
        <f>SUM(OSRRefD14_6x)+IFERROR(SUM(OSRRefE14_6x),0)</f>
        <v>39170.949999999997</v>
      </c>
    </row>
    <row r="56" spans="1:17" s="9" customFormat="1" hidden="1" outlineLevel="1" x14ac:dyDescent="0.25">
      <c r="A56" s="22"/>
      <c r="B56" s="13" t="str">
        <f>CONCATENATE("          ","5041", " - ","PURCHASES @ COST-LOGO GIFTS")</f>
        <v xml:space="preserve">          5041 - PURCHASES @ COST-LOGO GIFTS</v>
      </c>
      <c r="C56" s="23"/>
      <c r="D56" s="2">
        <v>-713.75</v>
      </c>
      <c r="E56" s="2">
        <v>1843.29</v>
      </c>
      <c r="F56" s="2">
        <v>868</v>
      </c>
      <c r="G56" s="2">
        <v>15082.2</v>
      </c>
      <c r="H56" s="2"/>
      <c r="I56" s="2"/>
      <c r="J56" s="2"/>
      <c r="K56" s="2"/>
      <c r="L56" s="2"/>
      <c r="M56" s="2"/>
      <c r="N56" s="2"/>
      <c r="O56" s="2"/>
      <c r="Q56" s="2">
        <f>SUM(OSRRefD14_7x)+IFERROR(SUM(OSRRefE14_7x),0)</f>
        <v>17079.740000000002</v>
      </c>
    </row>
    <row r="57" spans="1:17" s="9" customFormat="1" hidden="1" outlineLevel="1" x14ac:dyDescent="0.25">
      <c r="A57" s="22"/>
      <c r="B57" s="13" t="str">
        <f>CONCATENATE("          ","5042", " - ","PURCHASES @ COST-EVERYDAY GIFT")</f>
        <v xml:space="preserve">          5042 - PURCHASES @ COST-EVERYDAY GIFT</v>
      </c>
      <c r="C57" s="23"/>
      <c r="D57" s="2">
        <v>236.16</v>
      </c>
      <c r="E57" s="2">
        <v>732.99</v>
      </c>
      <c r="F57" s="2">
        <v>522</v>
      </c>
      <c r="G57" s="2">
        <v>1475.49</v>
      </c>
      <c r="H57" s="2"/>
      <c r="I57" s="2"/>
      <c r="J57" s="2"/>
      <c r="K57" s="2"/>
      <c r="L57" s="2"/>
      <c r="M57" s="2"/>
      <c r="N57" s="2"/>
      <c r="O57" s="2"/>
      <c r="Q57" s="2">
        <f>SUM(OSRRefD14_8x)+IFERROR(SUM(OSRRefE14_8x),0)</f>
        <v>2966.6400000000003</v>
      </c>
    </row>
    <row r="58" spans="1:17" s="9" customFormat="1" hidden="1" outlineLevel="1" x14ac:dyDescent="0.25">
      <c r="A58" s="22"/>
      <c r="B58" s="13" t="str">
        <f>CONCATENATE("          ","5043", " - ","PURCHASES @ COST-CARDS")</f>
        <v xml:space="preserve">          5043 - PURCHASES @ COST-CARDS</v>
      </c>
      <c r="C58" s="23"/>
      <c r="D58" s="2">
        <v>308.7</v>
      </c>
      <c r="E58" s="2">
        <v>1406.55</v>
      </c>
      <c r="F58" s="2">
        <v>1401</v>
      </c>
      <c r="G58" s="2">
        <v>2526.75</v>
      </c>
      <c r="H58" s="2"/>
      <c r="I58" s="2"/>
      <c r="J58" s="2"/>
      <c r="K58" s="2"/>
      <c r="L58" s="2"/>
      <c r="M58" s="2"/>
      <c r="N58" s="2"/>
      <c r="O58" s="2"/>
      <c r="Q58" s="2">
        <f>SUM(OSRRefD14_9x)+IFERROR(SUM(OSRRefE14_9x),0)</f>
        <v>5643</v>
      </c>
    </row>
    <row r="59" spans="1:17" s="9" customFormat="1" hidden="1" outlineLevel="1" x14ac:dyDescent="0.25">
      <c r="A59" s="22"/>
      <c r="B59" s="13" t="str">
        <f>CONCATENATE("          ","5045", " - ","PURCHASES @ COST-SPECIAL ORDER")</f>
        <v xml:space="preserve">          5045 - PURCHASES @ COST-SPECIAL ORDER</v>
      </c>
      <c r="C59" s="23"/>
      <c r="D59" s="2">
        <v>2756.21</v>
      </c>
      <c r="E59" s="2">
        <v>5633.96</v>
      </c>
      <c r="F59" s="2">
        <v>52784.12</v>
      </c>
      <c r="G59" s="2">
        <v>10080.23</v>
      </c>
      <c r="H59" s="2"/>
      <c r="I59" s="2"/>
      <c r="J59" s="2"/>
      <c r="K59" s="2"/>
      <c r="L59" s="2"/>
      <c r="M59" s="2"/>
      <c r="N59" s="2"/>
      <c r="O59" s="2"/>
      <c r="Q59" s="2">
        <f>SUM(OSRRefD14_10x)+IFERROR(SUM(OSRRefE14_10x),0)</f>
        <v>71254.52</v>
      </c>
    </row>
    <row r="60" spans="1:17" s="9" customFormat="1" hidden="1" outlineLevel="1" x14ac:dyDescent="0.25">
      <c r="A60" s="22"/>
      <c r="B60" s="13" t="str">
        <f>CONCATENATE("          ","5200", " - ","PURCHASES OFFSET")</f>
        <v xml:space="preserve">          5200 - PURCHASES OFFSET</v>
      </c>
      <c r="C60" s="23"/>
      <c r="D60" s="2">
        <v>-13113.6</v>
      </c>
      <c r="E60" s="2">
        <v>-18536.04</v>
      </c>
      <c r="F60" s="2">
        <v>-61907.239999999991</v>
      </c>
      <c r="G60" s="2">
        <v>-71608.86</v>
      </c>
      <c r="H60" s="2"/>
      <c r="I60" s="2"/>
      <c r="J60" s="2"/>
      <c r="K60" s="2"/>
      <c r="L60" s="2"/>
      <c r="M60" s="2"/>
      <c r="N60" s="2"/>
      <c r="O60" s="2"/>
      <c r="Q60" s="2">
        <f>SUM(OSRRefD14_11x)+IFERROR(SUM(OSRRefE14_11x),0)</f>
        <v>-165165.74</v>
      </c>
    </row>
    <row r="61" spans="1:17" s="9" customFormat="1" hidden="1" outlineLevel="1" x14ac:dyDescent="0.25">
      <c r="A61" s="22"/>
      <c r="B61" s="13" t="str">
        <f>CONCATENATE("          ","5300", " - ","COG$ OFFSET")</f>
        <v xml:space="preserve">          5300 - COG$ OFFSET</v>
      </c>
      <c r="C61" s="23"/>
      <c r="D61" s="2">
        <v>99170</v>
      </c>
      <c r="E61" s="2">
        <v>171786</v>
      </c>
      <c r="F61" s="2">
        <v>59402</v>
      </c>
      <c r="G61" s="2">
        <v>52899</v>
      </c>
      <c r="H61" s="2"/>
      <c r="I61" s="2"/>
      <c r="J61" s="2"/>
      <c r="K61" s="2"/>
      <c r="L61" s="2"/>
      <c r="M61" s="2"/>
      <c r="N61" s="2"/>
      <c r="O61" s="2"/>
      <c r="Q61" s="2">
        <f>SUM(OSRRefD14_12x)+IFERROR(SUM(OSRRefE14_12x),0)</f>
        <v>383257</v>
      </c>
    </row>
    <row r="62" spans="1:17" s="9" customFormat="1" hidden="1" outlineLevel="1" x14ac:dyDescent="0.25">
      <c r="A62" s="22"/>
      <c r="B62" s="13" t="str">
        <f>CONCATENATE("          ","5525", " - ","FREIGHT-IN-TEST FORMS")</f>
        <v xml:space="preserve">          5525 - FREIGHT-IN-TEST FORMS</v>
      </c>
      <c r="C62" s="23"/>
      <c r="D62" s="2"/>
      <c r="E62" s="2"/>
      <c r="F62" s="2"/>
      <c r="G62" s="2">
        <v>48.14</v>
      </c>
      <c r="H62" s="2"/>
      <c r="I62" s="2"/>
      <c r="J62" s="2"/>
      <c r="K62" s="2"/>
      <c r="L62" s="2"/>
      <c r="M62" s="2"/>
      <c r="N62" s="2"/>
      <c r="O62" s="2"/>
      <c r="Q62" s="2">
        <f>SUM(OSRRefD14_13x)+IFERROR(SUM(OSRRefE14_13x),0)</f>
        <v>48.14</v>
      </c>
    </row>
    <row r="63" spans="1:17" s="9" customFormat="1" hidden="1" outlineLevel="1" x14ac:dyDescent="0.25">
      <c r="A63" s="22"/>
      <c r="B63" s="13" t="str">
        <f>CONCATENATE("          ","5527", " - ","FREIGHT-IN-SCHOOL SUPPLIES")</f>
        <v xml:space="preserve">          5527 - FREIGHT-IN-SCHOOL SUPPLIES</v>
      </c>
      <c r="C63" s="23"/>
      <c r="D63" s="2"/>
      <c r="E63" s="2"/>
      <c r="F63" s="2"/>
      <c r="G63" s="2">
        <v>56</v>
      </c>
      <c r="H63" s="2"/>
      <c r="I63" s="2"/>
      <c r="J63" s="2"/>
      <c r="K63" s="2"/>
      <c r="L63" s="2"/>
      <c r="M63" s="2"/>
      <c r="N63" s="2"/>
      <c r="O63" s="2"/>
      <c r="Q63" s="2">
        <f>SUM(OSRRefD14_14x)+IFERROR(SUM(OSRRefE14_14x),0)</f>
        <v>56</v>
      </c>
    </row>
    <row r="64" spans="1:17" s="9" customFormat="1" hidden="1" outlineLevel="1" x14ac:dyDescent="0.25">
      <c r="A64" s="22"/>
      <c r="B64" s="13" t="str">
        <f>CONCATENATE("          ","5528", " - ","FREIGHT-IN-ART/TECH")</f>
        <v xml:space="preserve">          5528 - FREIGHT-IN-ART/TECH</v>
      </c>
      <c r="C64" s="23"/>
      <c r="D64" s="2"/>
      <c r="E64" s="2"/>
      <c r="F64" s="2"/>
      <c r="G64" s="2">
        <v>3.94</v>
      </c>
      <c r="H64" s="2"/>
      <c r="I64" s="2"/>
      <c r="J64" s="2"/>
      <c r="K64" s="2"/>
      <c r="L64" s="2"/>
      <c r="M64" s="2"/>
      <c r="N64" s="2"/>
      <c r="O64" s="2"/>
      <c r="Q64" s="2">
        <f>SUM(OSRRefD14_15x)+IFERROR(SUM(OSRRefE14_15x),0)</f>
        <v>3.94</v>
      </c>
    </row>
    <row r="65" spans="1:17" s="9" customFormat="1" hidden="1" outlineLevel="1" x14ac:dyDescent="0.25">
      <c r="A65" s="22"/>
      <c r="B65" s="13" t="str">
        <f>CONCATENATE("          ","5540", " - ","FREIGHT-IN-LOGO CLOTHING")</f>
        <v xml:space="preserve">          5540 - FREIGHT-IN-LOGO CLOTHING</v>
      </c>
      <c r="C65" s="23"/>
      <c r="D65" s="2">
        <v>909.83</v>
      </c>
      <c r="E65" s="2">
        <v>1021.7</v>
      </c>
      <c r="F65" s="2">
        <v>234.23</v>
      </c>
      <c r="G65" s="2">
        <v>1036.57</v>
      </c>
      <c r="H65" s="2"/>
      <c r="I65" s="2"/>
      <c r="J65" s="2"/>
      <c r="K65" s="2"/>
      <c r="L65" s="2"/>
      <c r="M65" s="2"/>
      <c r="N65" s="2"/>
      <c r="O65" s="2"/>
      <c r="Q65" s="2">
        <f>SUM(OSRRefD14_16x)+IFERROR(SUM(OSRRefE14_16x),0)</f>
        <v>3202.33</v>
      </c>
    </row>
    <row r="66" spans="1:17" s="9" customFormat="1" hidden="1" outlineLevel="1" x14ac:dyDescent="0.25">
      <c r="A66" s="22"/>
      <c r="B66" s="13" t="str">
        <f>CONCATENATE("          ","5541", " - ","FREIGHT-IN-LOGO GIFTS")</f>
        <v xml:space="preserve">          5541 - FREIGHT-IN-LOGO GIFTS</v>
      </c>
      <c r="C66" s="23"/>
      <c r="D66" s="2">
        <v>83.58</v>
      </c>
      <c r="E66" s="2">
        <v>123.12</v>
      </c>
      <c r="F66" s="2">
        <v>154.41</v>
      </c>
      <c r="G66" s="2">
        <v>773.7</v>
      </c>
      <c r="H66" s="2"/>
      <c r="I66" s="2"/>
      <c r="J66" s="2"/>
      <c r="K66" s="2"/>
      <c r="L66" s="2"/>
      <c r="M66" s="2"/>
      <c r="N66" s="2"/>
      <c r="O66" s="2"/>
      <c r="Q66" s="2">
        <f>SUM(OSRRefD14_17x)+IFERROR(SUM(OSRRefE14_17x),0)</f>
        <v>1134.81</v>
      </c>
    </row>
    <row r="67" spans="1:17" s="9" customFormat="1" hidden="1" outlineLevel="1" x14ac:dyDescent="0.25">
      <c r="A67" s="22"/>
      <c r="B67" s="13" t="str">
        <f>CONCATENATE("          ","5542", " - ","FREIGHT-IN-EVERYDAY GIFTS")</f>
        <v xml:space="preserve">          5542 - FREIGHT-IN-EVERYDAY GIFTS</v>
      </c>
      <c r="C67" s="23"/>
      <c r="D67" s="2">
        <v>5.94</v>
      </c>
      <c r="E67" s="2"/>
      <c r="F67" s="2">
        <v>65.44</v>
      </c>
      <c r="G67" s="2">
        <v>104.17</v>
      </c>
      <c r="H67" s="2"/>
      <c r="I67" s="2"/>
      <c r="J67" s="2"/>
      <c r="K67" s="2"/>
      <c r="L67" s="2"/>
      <c r="M67" s="2"/>
      <c r="N67" s="2"/>
      <c r="O67" s="2"/>
      <c r="Q67" s="2">
        <f>SUM(OSRRefD14_18x)+IFERROR(SUM(OSRRefE14_18x),0)</f>
        <v>175.55</v>
      </c>
    </row>
    <row r="68" spans="1:17" s="9" customFormat="1" hidden="1" outlineLevel="1" x14ac:dyDescent="0.25">
      <c r="A68" s="22"/>
      <c r="B68" s="13" t="str">
        <f>CONCATENATE("          ","5543", " - ","FREIGHT-IN-CARDS")</f>
        <v xml:space="preserve">          5543 - FREIGHT-IN-CARDS</v>
      </c>
      <c r="C68" s="23"/>
      <c r="D68" s="2"/>
      <c r="E68" s="2"/>
      <c r="F68" s="2">
        <v>81.77</v>
      </c>
      <c r="G68" s="2">
        <v>107.42</v>
      </c>
      <c r="H68" s="2"/>
      <c r="I68" s="2"/>
      <c r="J68" s="2"/>
      <c r="K68" s="2"/>
      <c r="L68" s="2"/>
      <c r="M68" s="2"/>
      <c r="N68" s="2"/>
      <c r="O68" s="2"/>
      <c r="Q68" s="2">
        <f>SUM(OSRRefD14_19x)+IFERROR(SUM(OSRRefE14_19x),0)</f>
        <v>189.19</v>
      </c>
    </row>
    <row r="69" spans="1:17" s="9" customFormat="1" hidden="1" outlineLevel="1" x14ac:dyDescent="0.25">
      <c r="A69" s="22"/>
      <c r="B69" s="13" t="str">
        <f>CONCATENATE("          ","5545", " - ","FREIGHT-IN-SPECIAL ORDERS")</f>
        <v xml:space="preserve">          5545 - FREIGHT-IN-SPECIAL ORDERS</v>
      </c>
      <c r="C69" s="23"/>
      <c r="D69" s="2">
        <v>300.39999999999998</v>
      </c>
      <c r="E69" s="2">
        <v>145.6</v>
      </c>
      <c r="F69" s="2">
        <v>214.61</v>
      </c>
      <c r="G69" s="2">
        <v>189.66</v>
      </c>
      <c r="H69" s="2"/>
      <c r="I69" s="2"/>
      <c r="J69" s="2"/>
      <c r="K69" s="2"/>
      <c r="L69" s="2"/>
      <c r="M69" s="2"/>
      <c r="N69" s="2"/>
      <c r="O69" s="2"/>
      <c r="Q69" s="2">
        <f>SUM(OSRRefD14_20x)+IFERROR(SUM(OSRRefE14_20x),0)</f>
        <v>850.27</v>
      </c>
    </row>
    <row r="70" spans="1:17" x14ac:dyDescent="0.25">
      <c r="A70" s="5"/>
      <c r="B70" s="8"/>
      <c r="C70" s="8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4" customFormat="1" x14ac:dyDescent="0.25">
      <c r="A71" s="8"/>
      <c r="B71" s="17" t="s">
        <v>6</v>
      </c>
      <c r="C71" s="17"/>
      <c r="D71" s="6">
        <f t="shared" ref="D71:O71" si="10">IFERROR(+D10-D48, 0)</f>
        <v>47731.109999999957</v>
      </c>
      <c r="E71" s="6">
        <f t="shared" si="10"/>
        <v>116475.01999999996</v>
      </c>
      <c r="F71" s="6">
        <f t="shared" si="10"/>
        <v>34482.76999999999</v>
      </c>
      <c r="G71" s="6">
        <f t="shared" si="10"/>
        <v>43732.999999999964</v>
      </c>
      <c r="H71" s="6">
        <f t="shared" si="10"/>
        <v>116816.99999999997</v>
      </c>
      <c r="I71" s="6">
        <f t="shared" si="10"/>
        <v>101781</v>
      </c>
      <c r="J71" s="6">
        <f t="shared" si="10"/>
        <v>52371</v>
      </c>
      <c r="K71" s="6">
        <f t="shared" si="10"/>
        <v>100469</v>
      </c>
      <c r="L71" s="6">
        <f t="shared" si="10"/>
        <v>97219</v>
      </c>
      <c r="M71" s="6">
        <f t="shared" si="10"/>
        <v>86524</v>
      </c>
      <c r="N71" s="6">
        <f t="shared" si="10"/>
        <v>116915</v>
      </c>
      <c r="O71" s="6">
        <f t="shared" si="10"/>
        <v>105907</v>
      </c>
      <c r="Q71" s="6">
        <f>IFERROR(+Q10-Q48, 0)</f>
        <v>1020424.9000000001</v>
      </c>
    </row>
    <row r="72" spans="1:17" s="8" customFormat="1" x14ac:dyDescent="0.25">
      <c r="B72" s="16"/>
      <c r="C72" s="16"/>
      <c r="D72" s="4">
        <f t="shared" ref="D72:O72" si="11">IFERROR(D71/D10, 0)</f>
        <v>0.32272326667052037</v>
      </c>
      <c r="E72" s="4">
        <f t="shared" si="11"/>
        <v>0.40406094448704849</v>
      </c>
      <c r="F72" s="4">
        <f t="shared" si="11"/>
        <v>0.36761478003999287</v>
      </c>
      <c r="G72" s="4">
        <f t="shared" si="11"/>
        <v>0.45257264674227976</v>
      </c>
      <c r="H72" s="4">
        <f t="shared" si="11"/>
        <v>0.447377592248626</v>
      </c>
      <c r="I72" s="4">
        <f t="shared" si="11"/>
        <v>0.44781812902033596</v>
      </c>
      <c r="J72" s="4">
        <f t="shared" si="11"/>
        <v>0.39979083330788728</v>
      </c>
      <c r="K72" s="4">
        <f t="shared" si="11"/>
        <v>0.4157917171909466</v>
      </c>
      <c r="L72" s="4">
        <f t="shared" si="11"/>
        <v>0.42941633760015546</v>
      </c>
      <c r="M72" s="4">
        <f t="shared" si="11"/>
        <v>0.40844804471383522</v>
      </c>
      <c r="N72" s="4">
        <f t="shared" si="11"/>
        <v>0.41820926381004503</v>
      </c>
      <c r="O72" s="4">
        <f t="shared" si="11"/>
        <v>0.44307732213232032</v>
      </c>
      <c r="P72" s="18"/>
      <c r="Q72" s="4">
        <f>IFERROR(Q71/Q10, 0)</f>
        <v>0.41744689230645177</v>
      </c>
    </row>
    <row r="73" spans="1:17" x14ac:dyDescent="0.25">
      <c r="A73" s="5"/>
      <c r="B73" s="8"/>
      <c r="C73" s="5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Q73" s="1"/>
    </row>
    <row r="74" spans="1:17" s="14" customFormat="1" x14ac:dyDescent="0.25">
      <c r="A74" s="8"/>
      <c r="B74" s="16" t="s">
        <v>291</v>
      </c>
      <c r="C74" s="8"/>
      <c r="D74" s="10">
        <f>SUM(OSRRefD20x_0)</f>
        <v>39711.06</v>
      </c>
      <c r="E74" s="10">
        <f>SUM(OSRRefD20x_1)</f>
        <v>60098.720000000001</v>
      </c>
      <c r="F74" s="10">
        <f>SUM(OSRRefD20x_2)</f>
        <v>47093.98000000001</v>
      </c>
      <c r="G74" s="10">
        <f>SUM(OSRRefD20x_3)</f>
        <v>53063.600000000006</v>
      </c>
      <c r="H74" s="10">
        <f>SUM(OSRRefE20x_0)</f>
        <v>91092.990573076895</v>
      </c>
      <c r="I74" s="10">
        <f>SUM(OSRRefE20x_1)</f>
        <v>91612.091176923044</v>
      </c>
      <c r="J74" s="10">
        <f>SUM(OSRRefE20x_2)</f>
        <v>110562.13646534616</v>
      </c>
      <c r="K74" s="10">
        <f>SUM(OSRRefE20x_3)</f>
        <v>101687.3326950769</v>
      </c>
      <c r="L74" s="10">
        <f>SUM(OSRRefE20x_4)</f>
        <v>97147.234419076907</v>
      </c>
      <c r="M74" s="10">
        <f>SUM(OSRRefE20x_5)</f>
        <v>110005.89925934617</v>
      </c>
      <c r="N74" s="10">
        <f>SUM(OSRRefE20x_6)</f>
        <v>94561.483083076891</v>
      </c>
      <c r="O74" s="10">
        <f>SUM(OSRRefE20x_7)</f>
        <v>75782.196097876906</v>
      </c>
      <c r="Q74" s="10">
        <f>SUM(OSRRefG20x)</f>
        <v>972418.72376979969</v>
      </c>
    </row>
    <row r="75" spans="1:17" s="34" customFormat="1" collapsed="1" x14ac:dyDescent="0.25">
      <c r="A75" s="35"/>
      <c r="B75" s="15" t="str">
        <f>CONCATENATE("     ","*Benefits                                         ")</f>
        <v xml:space="preserve">     *Benefits                                         </v>
      </c>
      <c r="C75" s="15"/>
      <c r="D75" s="1">
        <f>SUM(OSRRefD21_0x_0)</f>
        <v>8882.7100000000009</v>
      </c>
      <c r="E75" s="1">
        <f>SUM(OSRRefD21_0x_1)</f>
        <v>10388.86</v>
      </c>
      <c r="F75" s="1">
        <f>SUM(OSRRefD21_0x_2)</f>
        <v>13960.140000000001</v>
      </c>
      <c r="G75" s="1">
        <f>SUM(OSRRefD21_0x_3)</f>
        <v>9376.01</v>
      </c>
      <c r="H75" s="1">
        <f>SUM(OSRRefE21_0x_0)</f>
        <v>16667.1059576923</v>
      </c>
      <c r="I75" s="1">
        <f>SUM(OSRRefE21_0x_1)</f>
        <v>18223.629638461542</v>
      </c>
      <c r="J75" s="1">
        <f>SUM(OSRRefE21_0x_2)</f>
        <v>19162.828196115373</v>
      </c>
      <c r="K75" s="1">
        <f>SUM(OSRRefE21_0x_3)</f>
        <v>17111.338079692301</v>
      </c>
      <c r="L75" s="1">
        <f>SUM(OSRRefE21_0x_4)</f>
        <v>16974.3998036923</v>
      </c>
      <c r="M75" s="1">
        <f>SUM(OSRRefE21_0x_5)</f>
        <v>19146.050990115371</v>
      </c>
      <c r="N75" s="1">
        <f>SUM(OSRRefE21_0x_6)</f>
        <v>16896.408467692301</v>
      </c>
      <c r="O75" s="1">
        <f>SUM(OSRRefE21_0x_7)</f>
        <v>17814.701482492303</v>
      </c>
      <c r="Q75" s="2">
        <f>SUM(OSRRefD20_0x)+IFERROR(SUM(OSRRefE20_0x),0)</f>
        <v>184604.18261595379</v>
      </c>
    </row>
    <row r="76" spans="1:17" s="34" customFormat="1" hidden="1" outlineLevel="1" x14ac:dyDescent="0.25">
      <c r="A76" s="35"/>
      <c r="B76" s="13" t="str">
        <f>CONCATENATE("          ","6111", " - ","F.I.C.A.")</f>
        <v xml:space="preserve">          6111 - F.I.C.A.</v>
      </c>
      <c r="C76" s="15"/>
      <c r="D76" s="2">
        <v>1400.06</v>
      </c>
      <c r="E76" s="2">
        <v>2014.11</v>
      </c>
      <c r="F76" s="2">
        <v>5204.29</v>
      </c>
      <c r="G76" s="2">
        <v>2370.91</v>
      </c>
      <c r="H76" s="2">
        <v>2437.5982384615399</v>
      </c>
      <c r="I76" s="2">
        <v>2616.8550461538503</v>
      </c>
      <c r="J76" s="2">
        <v>3112.2587555769201</v>
      </c>
      <c r="K76" s="2">
        <v>2489.8070044615401</v>
      </c>
      <c r="L76" s="2">
        <v>2489.8070044615401</v>
      </c>
      <c r="M76" s="2">
        <v>3112.2587555769201</v>
      </c>
      <c r="N76" s="2">
        <v>2489.8070044615401</v>
      </c>
      <c r="O76" s="2">
        <v>4020.69475726154</v>
      </c>
      <c r="P76" s="9"/>
      <c r="Q76" s="2">
        <f>SUM(OSRRefD21_0_0x)+IFERROR(SUM(OSRRefE21_0_0x),0)</f>
        <v>33758.456566415392</v>
      </c>
    </row>
    <row r="77" spans="1:17" s="34" customFormat="1" hidden="1" outlineLevel="1" x14ac:dyDescent="0.25">
      <c r="A77" s="35"/>
      <c r="B77" s="13" t="str">
        <f>CONCATENATE("          ","6112", " - ","COMPENSATION INSURANCE")</f>
        <v xml:space="preserve">          6112 - COMPENSATION INSURANCE</v>
      </c>
      <c r="C77" s="15"/>
      <c r="D77" s="2">
        <v>362.05</v>
      </c>
      <c r="E77" s="2">
        <v>600.29</v>
      </c>
      <c r="F77" s="2">
        <v>2465.87</v>
      </c>
      <c r="G77" s="2">
        <v>500.44</v>
      </c>
      <c r="H77" s="2">
        <v>1275.3167115384599</v>
      </c>
      <c r="I77" s="2">
        <v>1260.4576538461499</v>
      </c>
      <c r="J77" s="2">
        <v>1604.1500419230799</v>
      </c>
      <c r="K77" s="2">
        <v>1464.20097153846</v>
      </c>
      <c r="L77" s="2">
        <v>1382.7425115384599</v>
      </c>
      <c r="M77" s="2">
        <v>1594.1700319230799</v>
      </c>
      <c r="N77" s="2">
        <v>1336.3489515384599</v>
      </c>
      <c r="O77" s="2">
        <v>971.94372153846211</v>
      </c>
      <c r="P77" s="9"/>
      <c r="Q77" s="2">
        <f>SUM(OSRRefD21_0_1x)+IFERROR(SUM(OSRRefE21_0_1x),0)</f>
        <v>14817.980595384612</v>
      </c>
    </row>
    <row r="78" spans="1:17" s="34" customFormat="1" hidden="1" outlineLevel="1" x14ac:dyDescent="0.25">
      <c r="A78" s="35"/>
      <c r="B78" s="13" t="str">
        <f>CONCATENATE("          ","6113", " - ","GROUP INSURANCE")</f>
        <v xml:space="preserve">          6113 - GROUP INSURANCE</v>
      </c>
      <c r="C78" s="15"/>
      <c r="D78" s="2">
        <v>2826.13</v>
      </c>
      <c r="E78" s="2">
        <v>3662.35</v>
      </c>
      <c r="F78" s="2">
        <v>2826.13</v>
      </c>
      <c r="G78" s="2">
        <v>2826.13</v>
      </c>
      <c r="H78" s="2">
        <v>6948.8461538461497</v>
      </c>
      <c r="I78" s="2">
        <v>7938.8461538461497</v>
      </c>
      <c r="J78" s="2">
        <v>7102.3076923076906</v>
      </c>
      <c r="K78" s="2">
        <v>6948.8461538461497</v>
      </c>
      <c r="L78" s="2">
        <v>6948.8461538461497</v>
      </c>
      <c r="M78" s="2">
        <v>7102.3076923076906</v>
      </c>
      <c r="N78" s="2">
        <v>6948.8461538461497</v>
      </c>
      <c r="O78" s="2">
        <v>6948.8461538461497</v>
      </c>
      <c r="P78" s="9"/>
      <c r="Q78" s="2">
        <f>SUM(OSRRefD21_0_2x)+IFERROR(SUM(OSRRefE21_0_2x),0)</f>
        <v>69028.432307692274</v>
      </c>
    </row>
    <row r="79" spans="1:17" s="34" customFormat="1" hidden="1" outlineLevel="1" x14ac:dyDescent="0.25">
      <c r="A79" s="35"/>
      <c r="B79" s="13" t="str">
        <f>CONCATENATE("          ","6114", " - ","STATE UNEMPLOYMENT INSURANCE")</f>
        <v xml:space="preserve">          6114 - STATE UNEMPLOYMENT INSURANCE</v>
      </c>
      <c r="C79" s="15"/>
      <c r="D79" s="2">
        <v>43.75</v>
      </c>
      <c r="E79" s="2">
        <v>71.73</v>
      </c>
      <c r="F79" s="2">
        <v>192.55</v>
      </c>
      <c r="G79" s="2">
        <v>70.33</v>
      </c>
      <c r="H79" s="2">
        <v>179.2337</v>
      </c>
      <c r="I79" s="2">
        <v>177.1454</v>
      </c>
      <c r="J79" s="2">
        <v>225.448114</v>
      </c>
      <c r="K79" s="2">
        <v>205.779596</v>
      </c>
      <c r="L79" s="2">
        <v>194.33138</v>
      </c>
      <c r="M79" s="2">
        <v>224.04551799999999</v>
      </c>
      <c r="N79" s="2">
        <v>187.811204</v>
      </c>
      <c r="O79" s="2">
        <v>136.59749600000001</v>
      </c>
      <c r="P79" s="9"/>
      <c r="Q79" s="2">
        <f>SUM(OSRRefD21_0_3x)+IFERROR(SUM(OSRRefE21_0_3x),0)</f>
        <v>1908.7524080000003</v>
      </c>
    </row>
    <row r="80" spans="1:17" s="34" customFormat="1" hidden="1" outlineLevel="1" x14ac:dyDescent="0.25">
      <c r="A80" s="35"/>
      <c r="B80" s="13" t="str">
        <f>CONCATENATE("          ","6115", " - ","P.E.R.S.")</f>
        <v xml:space="preserve">          6115 - P.E.R.S.</v>
      </c>
      <c r="C80" s="15"/>
      <c r="D80" s="2">
        <v>1969.19</v>
      </c>
      <c r="E80" s="2">
        <v>1527.17</v>
      </c>
      <c r="F80" s="2">
        <v>1302.07</v>
      </c>
      <c r="G80" s="2">
        <v>1018.93</v>
      </c>
      <c r="H80" s="2">
        <v>1499.1123076923102</v>
      </c>
      <c r="I80" s="2">
        <v>1700.5507692307699</v>
      </c>
      <c r="J80" s="2">
        <v>1900.7223846153802</v>
      </c>
      <c r="K80" s="2">
        <v>1520.5779076923102</v>
      </c>
      <c r="L80" s="2">
        <v>1520.5779076923102</v>
      </c>
      <c r="M80" s="2">
        <v>1900.7223846153802</v>
      </c>
      <c r="N80" s="2">
        <v>1520.5779076923102</v>
      </c>
      <c r="O80" s="2">
        <v>1520.5779076923102</v>
      </c>
      <c r="P80" s="9"/>
      <c r="Q80" s="2">
        <f>SUM(OSRRefD21_0_4x)+IFERROR(SUM(OSRRefE21_0_4x),0)</f>
        <v>18900.779476923082</v>
      </c>
    </row>
    <row r="81" spans="1:17" s="34" customFormat="1" hidden="1" outlineLevel="1" x14ac:dyDescent="0.25">
      <c r="A81" s="35"/>
      <c r="B81" s="13" t="str">
        <f>CONCATENATE("          ","6116", " - ","EDUCATIONAL BENEFITS")</f>
        <v xml:space="preserve">          6116 - EDUCATIONAL BENEFITS</v>
      </c>
      <c r="C81" s="15"/>
      <c r="D81" s="2"/>
      <c r="E81" s="2"/>
      <c r="F81" s="2"/>
      <c r="G81" s="2"/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9"/>
      <c r="Q81" s="2">
        <f>SUM(OSRRefD21_0_5x)+IFERROR(SUM(OSRRefE21_0_5x),0)</f>
        <v>0</v>
      </c>
    </row>
    <row r="82" spans="1:17" s="34" customFormat="1" hidden="1" outlineLevel="1" x14ac:dyDescent="0.25">
      <c r="A82" s="35"/>
      <c r="B82" s="13" t="str">
        <f>CONCATENATE("          ","6118", " - ","VACATION")</f>
        <v xml:space="preserve">          6118 - VACATION</v>
      </c>
      <c r="C82" s="15"/>
      <c r="D82" s="2">
        <v>1222.52</v>
      </c>
      <c r="E82" s="2">
        <v>1351.22</v>
      </c>
      <c r="F82" s="2">
        <v>886.6</v>
      </c>
      <c r="G82" s="2">
        <v>1209.6500000000001</v>
      </c>
      <c r="H82" s="2">
        <v>1313.5769230769201</v>
      </c>
      <c r="I82" s="2">
        <v>1430.6923076923101</v>
      </c>
      <c r="J82" s="2">
        <v>1674.1461538461499</v>
      </c>
      <c r="K82" s="2">
        <v>1339.3169230769201</v>
      </c>
      <c r="L82" s="2">
        <v>1339.3169230769201</v>
      </c>
      <c r="M82" s="2">
        <v>1674.1461538461499</v>
      </c>
      <c r="N82" s="2">
        <v>1339.3169230769201</v>
      </c>
      <c r="O82" s="2">
        <v>1339.3169230769201</v>
      </c>
      <c r="P82" s="9"/>
      <c r="Q82" s="2">
        <f>SUM(OSRRefD21_0_6x)+IFERROR(SUM(OSRRefE21_0_6x),0)</f>
        <v>16119.81923076921</v>
      </c>
    </row>
    <row r="83" spans="1:17" s="34" customFormat="1" hidden="1" outlineLevel="1" x14ac:dyDescent="0.25">
      <c r="A83" s="35"/>
      <c r="B83" s="13" t="str">
        <f>CONCATENATE("          ","6119", " - ","SICK LEAVE")</f>
        <v xml:space="preserve">          6119 - SICK LEAVE</v>
      </c>
      <c r="C83" s="15"/>
      <c r="D83" s="2">
        <v>777.18</v>
      </c>
      <c r="E83" s="2">
        <v>873.12</v>
      </c>
      <c r="F83" s="2">
        <v>777.18</v>
      </c>
      <c r="G83" s="2">
        <v>1021.86</v>
      </c>
      <c r="H83" s="2">
        <v>1963.4219230769202</v>
      </c>
      <c r="I83" s="2">
        <v>2049.0823076923102</v>
      </c>
      <c r="J83" s="2">
        <v>2493.79505384615</v>
      </c>
      <c r="K83" s="2">
        <v>2092.80952307692</v>
      </c>
      <c r="L83" s="2">
        <v>2048.7779230769202</v>
      </c>
      <c r="M83" s="2">
        <v>2488.40045384615</v>
      </c>
      <c r="N83" s="2">
        <v>2023.7003230769201</v>
      </c>
      <c r="O83" s="2">
        <v>1826.7245230769199</v>
      </c>
      <c r="P83" s="9"/>
      <c r="Q83" s="2">
        <f>SUM(OSRRefD21_0_7x)+IFERROR(SUM(OSRRefE21_0_7x),0)</f>
        <v>20436.05203076921</v>
      </c>
    </row>
    <row r="84" spans="1:17" s="34" customFormat="1" hidden="1" outlineLevel="1" x14ac:dyDescent="0.25">
      <c r="A84" s="35"/>
      <c r="B84" s="13" t="str">
        <f>CONCATENATE("          ","6156", " - ","EMPLOYEE MEALS")</f>
        <v xml:space="preserve">          6156 - EMPLOYEE MEALS</v>
      </c>
      <c r="C84" s="15"/>
      <c r="D84" s="2">
        <v>281.83</v>
      </c>
      <c r="E84" s="2">
        <v>288.87</v>
      </c>
      <c r="F84" s="2">
        <v>305.45</v>
      </c>
      <c r="G84" s="2">
        <v>357.76</v>
      </c>
      <c r="H84" s="2">
        <v>1050</v>
      </c>
      <c r="I84" s="2">
        <v>1050</v>
      </c>
      <c r="J84" s="2">
        <v>1050</v>
      </c>
      <c r="K84" s="2">
        <v>1050</v>
      </c>
      <c r="L84" s="2">
        <v>1050</v>
      </c>
      <c r="M84" s="2">
        <v>1050</v>
      </c>
      <c r="N84" s="2">
        <v>1050</v>
      </c>
      <c r="O84" s="2">
        <v>1050</v>
      </c>
      <c r="P84" s="9"/>
      <c r="Q84" s="2">
        <f>SUM(OSRRefD21_0_8x)+IFERROR(SUM(OSRRefE21_0_8x),0)</f>
        <v>9633.91</v>
      </c>
    </row>
    <row r="85" spans="1:17" s="34" customFormat="1" collapsed="1" x14ac:dyDescent="0.25">
      <c r="A85" s="35"/>
      <c r="B85" s="15" t="str">
        <f>CONCATENATE("     ","*Payroll                                          ")</f>
        <v xml:space="preserve">     *Payroll                                          </v>
      </c>
      <c r="C85" s="15"/>
      <c r="D85" s="1">
        <f>SUM(OSRRefD21_1x_0)</f>
        <v>21274.85</v>
      </c>
      <c r="E85" s="1">
        <f>SUM(OSRRefD21_1x_1)</f>
        <v>36584.700000000004</v>
      </c>
      <c r="F85" s="1">
        <f>SUM(OSRRefD21_1x_2)</f>
        <v>30854.230000000003</v>
      </c>
      <c r="G85" s="1">
        <f>SUM(OSRRefD21_1x_3)</f>
        <v>31450.28</v>
      </c>
      <c r="H85" s="1">
        <f>SUM(OSRRefE21_1x_0)</f>
        <v>66029.884615384595</v>
      </c>
      <c r="I85" s="1">
        <f>SUM(OSRRefE21_1x_1)</f>
        <v>64992.461538461503</v>
      </c>
      <c r="J85" s="1">
        <f>SUM(OSRRefE21_1x_2)</f>
        <v>83003.308269230794</v>
      </c>
      <c r="K85" s="1">
        <f>SUM(OSRRefE21_1x_3)</f>
        <v>76179.994615384596</v>
      </c>
      <c r="L85" s="1">
        <f>SUM(OSRRefE21_1x_4)</f>
        <v>71776.834615384607</v>
      </c>
      <c r="M85" s="1">
        <f>SUM(OSRRefE21_1x_5)</f>
        <v>82463.848269230803</v>
      </c>
      <c r="N85" s="1">
        <f>SUM(OSRRefE21_1x_6)</f>
        <v>69269.074615384598</v>
      </c>
      <c r="O85" s="1">
        <f>SUM(OSRRefE21_1x_7)</f>
        <v>49571.494615384596</v>
      </c>
      <c r="Q85" s="2">
        <f>SUM(OSRRefD20_1x)+IFERROR(SUM(OSRRefE20_1x),0)</f>
        <v>683450.961153846</v>
      </c>
    </row>
    <row r="86" spans="1:17" s="34" customFormat="1" hidden="1" outlineLevel="1" x14ac:dyDescent="0.25">
      <c r="A86" s="35"/>
      <c r="B86" s="13" t="str">
        <f>CONCATENATE("          ","6001", " - ","ADMINISTRATIVE SALARIES")</f>
        <v xml:space="preserve">          6001 - ADMINISTRATIVE SALARIES</v>
      </c>
      <c r="C86" s="15"/>
      <c r="D86" s="2"/>
      <c r="E86" s="2"/>
      <c r="F86" s="2"/>
      <c r="G86" s="2"/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9"/>
      <c r="Q86" s="2">
        <f>SUM(OSRRefD21_1_0x)+IFERROR(SUM(OSRRefE21_1_0x),0)</f>
        <v>0</v>
      </c>
    </row>
    <row r="87" spans="1:17" s="34" customFormat="1" hidden="1" outlineLevel="1" x14ac:dyDescent="0.25">
      <c r="A87" s="35"/>
      <c r="B87" s="13" t="str">
        <f>CONCATENATE("          ","6002", " - ","STAFF SALARIES")</f>
        <v xml:space="preserve">          6002 - STAFF SALARIES</v>
      </c>
      <c r="C87" s="15"/>
      <c r="D87" s="2">
        <v>16234.78</v>
      </c>
      <c r="E87" s="2">
        <v>13398.32</v>
      </c>
      <c r="F87" s="2">
        <v>10829.86</v>
      </c>
      <c r="G87" s="2">
        <v>10383.09</v>
      </c>
      <c r="H87" s="2">
        <v>15688.384615384599</v>
      </c>
      <c r="I87" s="2">
        <v>17796.461538461499</v>
      </c>
      <c r="J87" s="2">
        <v>19891.280769230798</v>
      </c>
      <c r="K87" s="2">
        <v>15913.0246153846</v>
      </c>
      <c r="L87" s="2">
        <v>15913.0246153846</v>
      </c>
      <c r="M87" s="2">
        <v>19891.280769230798</v>
      </c>
      <c r="N87" s="2">
        <v>15913.0246153846</v>
      </c>
      <c r="O87" s="2">
        <v>15913.0246153846</v>
      </c>
      <c r="P87" s="9"/>
      <c r="Q87" s="2">
        <f>SUM(OSRRefD21_1_1x)+IFERROR(SUM(OSRRefE21_1_1x),0)</f>
        <v>187765.55615384609</v>
      </c>
    </row>
    <row r="88" spans="1:17" s="34" customFormat="1" hidden="1" outlineLevel="1" x14ac:dyDescent="0.25">
      <c r="A88" s="35"/>
      <c r="B88" s="13" t="str">
        <f>CONCATENATE("          ","6003", " - ","STAFF HOURLY-9 MONTH")</f>
        <v xml:space="preserve">          6003 - STAFF HOURLY-9 MONTH</v>
      </c>
      <c r="C88" s="15"/>
      <c r="D88" s="2"/>
      <c r="E88" s="2"/>
      <c r="F88" s="2"/>
      <c r="G88" s="2"/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9"/>
      <c r="Q88" s="2">
        <f>SUM(OSRRefD21_1_2x)+IFERROR(SUM(OSRRefE21_1_2x),0)</f>
        <v>0</v>
      </c>
    </row>
    <row r="89" spans="1:17" s="34" customFormat="1" hidden="1" outlineLevel="1" x14ac:dyDescent="0.25">
      <c r="A89" s="35"/>
      <c r="B89" s="13" t="str">
        <f>CONCATENATE("          ","6004", " - ","STAFF HOURLY")</f>
        <v xml:space="preserve">          6004 - STAFF HOURLY</v>
      </c>
      <c r="C89" s="15"/>
      <c r="D89" s="2">
        <v>3989.25</v>
      </c>
      <c r="E89" s="2">
        <v>10122.790000000001</v>
      </c>
      <c r="F89" s="2">
        <v>9691.51</v>
      </c>
      <c r="G89" s="2">
        <v>7145.46</v>
      </c>
      <c r="H89" s="2">
        <v>13257</v>
      </c>
      <c r="I89" s="2">
        <v>13257</v>
      </c>
      <c r="J89" s="2">
        <v>17068.387499999997</v>
      </c>
      <c r="K89" s="2">
        <v>13654.71</v>
      </c>
      <c r="L89" s="2">
        <v>13654.71</v>
      </c>
      <c r="M89" s="2">
        <v>17068.387499999997</v>
      </c>
      <c r="N89" s="2">
        <v>13654.71</v>
      </c>
      <c r="O89" s="2">
        <v>13654.71</v>
      </c>
      <c r="P89" s="9"/>
      <c r="Q89" s="2">
        <f>SUM(OSRRefD21_1_3x)+IFERROR(SUM(OSRRefE21_1_3x),0)</f>
        <v>146218.625</v>
      </c>
    </row>
    <row r="90" spans="1:17" s="34" customFormat="1" hidden="1" outlineLevel="1" x14ac:dyDescent="0.25">
      <c r="A90" s="35"/>
      <c r="B90" s="13" t="str">
        <f>CONCATENATE("          ","6005", " - ","TEMPORARY WAGES-HOURLY")</f>
        <v xml:space="preserve">          6005 - TEMPORARY WAGES-HOURLY</v>
      </c>
      <c r="C90" s="15"/>
      <c r="D90" s="2">
        <v>726.82</v>
      </c>
      <c r="E90" s="2">
        <v>3399.25</v>
      </c>
      <c r="F90" s="2">
        <v>5283.11</v>
      </c>
      <c r="G90" s="2">
        <v>6544.32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9"/>
      <c r="Q90" s="2">
        <f>SUM(OSRRefD21_1_4x)+IFERROR(SUM(OSRRefE21_1_4x),0)</f>
        <v>15953.5</v>
      </c>
    </row>
    <row r="91" spans="1:17" s="34" customFormat="1" hidden="1" outlineLevel="1" x14ac:dyDescent="0.25">
      <c r="A91" s="35"/>
      <c r="B91" s="13" t="str">
        <f>CONCATENATE("          ","6006", " - ","TEMPORARY PART TIME")</f>
        <v xml:space="preserve">          6006 - TEMPORARY PART TIME</v>
      </c>
      <c r="C91" s="15"/>
      <c r="D91" s="2"/>
      <c r="E91" s="2"/>
      <c r="F91" s="2"/>
      <c r="G91" s="2"/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9"/>
      <c r="Q91" s="2">
        <f>SUM(OSRRefD21_1_5x)+IFERROR(SUM(OSRRefE21_1_5x),0)</f>
        <v>0</v>
      </c>
    </row>
    <row r="92" spans="1:17" s="34" customFormat="1" hidden="1" outlineLevel="1" x14ac:dyDescent="0.25">
      <c r="A92" s="35"/>
      <c r="B92" s="13" t="str">
        <f>CONCATENATE("          ","6007", " - ","STUDENT HOURLY")</f>
        <v xml:space="preserve">          6007 - STUDENT HOURLY</v>
      </c>
      <c r="C92" s="15"/>
      <c r="D92" s="2">
        <v>324</v>
      </c>
      <c r="E92" s="2">
        <v>9325.2999999999993</v>
      </c>
      <c r="F92" s="2">
        <v>4365.2299999999996</v>
      </c>
      <c r="G92" s="2">
        <v>6431.14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20003.759999999998</v>
      </c>
      <c r="P92" s="9"/>
      <c r="Q92" s="2">
        <f>SUM(OSRRefD21_1_6x)+IFERROR(SUM(OSRRefE21_1_6x),0)</f>
        <v>40449.429999999993</v>
      </c>
    </row>
    <row r="93" spans="1:17" s="34" customFormat="1" hidden="1" outlineLevel="1" x14ac:dyDescent="0.25">
      <c r="A93" s="35"/>
      <c r="B93" s="13" t="str">
        <f>CONCATENATE("          ","6008", " - ","STUDENT HOURLY-FICA EXEMPT")</f>
        <v xml:space="preserve">          6008 - STUDENT HOURLY-FICA EXEMPT</v>
      </c>
      <c r="C93" s="15"/>
      <c r="D93" s="2"/>
      <c r="E93" s="2">
        <v>339.04</v>
      </c>
      <c r="F93" s="2">
        <v>684.52</v>
      </c>
      <c r="G93" s="2">
        <v>946.27</v>
      </c>
      <c r="H93" s="2">
        <v>37084.5</v>
      </c>
      <c r="I93" s="2">
        <v>33939</v>
      </c>
      <c r="J93" s="2">
        <v>46043.64</v>
      </c>
      <c r="K93" s="2">
        <v>46612.259999999995</v>
      </c>
      <c r="L93" s="2">
        <v>42209.100000000006</v>
      </c>
      <c r="M93" s="2">
        <v>45504.18</v>
      </c>
      <c r="N93" s="2">
        <v>39701.340000000004</v>
      </c>
      <c r="O93" s="2">
        <v>0</v>
      </c>
      <c r="P93" s="9"/>
      <c r="Q93" s="2">
        <f>SUM(OSRRefD21_1_7x)+IFERROR(SUM(OSRRefE21_1_7x),0)</f>
        <v>293063.85000000003</v>
      </c>
    </row>
    <row r="94" spans="1:17" s="34" customFormat="1" hidden="1" outlineLevel="1" x14ac:dyDescent="0.25">
      <c r="A94" s="35"/>
      <c r="B94" s="13" t="str">
        <f>CONCATENATE("          ","6009", " - ","TEMPORARY-SEASONAL")</f>
        <v xml:space="preserve">          6009 - TEMPORARY-SEASONAL</v>
      </c>
      <c r="C94" s="15"/>
      <c r="D94" s="2"/>
      <c r="E94" s="2"/>
      <c r="F94" s="2"/>
      <c r="G94" s="2"/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9"/>
      <c r="Q94" s="2">
        <f>SUM(OSRRefD21_1_8x)+IFERROR(SUM(OSRRefE21_1_8x),0)</f>
        <v>0</v>
      </c>
    </row>
    <row r="95" spans="1:17" s="34" customFormat="1" hidden="1" outlineLevel="1" x14ac:dyDescent="0.25">
      <c r="A95" s="35"/>
      <c r="B95" s="13" t="str">
        <f>CONCATENATE("          ","6010", " - ","GRATUITY")</f>
        <v xml:space="preserve">          6010 - GRATUITY</v>
      </c>
      <c r="C95" s="15"/>
      <c r="D95" s="2"/>
      <c r="E95" s="2"/>
      <c r="F95" s="2"/>
      <c r="G95" s="2"/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9"/>
      <c r="Q95" s="2">
        <f>SUM(OSRRefD21_1_9x)+IFERROR(SUM(OSRRefE21_1_9x),0)</f>
        <v>0</v>
      </c>
    </row>
    <row r="96" spans="1:17" s="34" customFormat="1" collapsed="1" x14ac:dyDescent="0.25">
      <c r="A96" s="35"/>
      <c r="B96" s="15" t="str">
        <f>CONCATENATE("     ","Advertising/Promo                                 ")</f>
        <v xml:space="preserve">     Advertising/Promo                                 </v>
      </c>
      <c r="C96" s="15"/>
      <c r="D96" s="1">
        <f>SUM(OSRRefD21_2x_0)</f>
        <v>1340.93</v>
      </c>
      <c r="E96" s="1">
        <f>SUM(OSRRefD21_2x_1)</f>
        <v>9301.39</v>
      </c>
      <c r="F96" s="1">
        <f>SUM(OSRRefD21_2x_2)</f>
        <v>391.39</v>
      </c>
      <c r="G96" s="1">
        <f>SUM(OSRRefD21_2x_3)</f>
        <v>255.44</v>
      </c>
      <c r="H96" s="1">
        <f>SUM(OSRRefE21_2x_0)</f>
        <v>250</v>
      </c>
      <c r="I96" s="1">
        <f>SUM(OSRRefE21_2x_1)</f>
        <v>250</v>
      </c>
      <c r="J96" s="1">
        <f>SUM(OSRRefE21_2x_2)</f>
        <v>250</v>
      </c>
      <c r="K96" s="1">
        <f>SUM(OSRRefE21_2x_3)</f>
        <v>250</v>
      </c>
      <c r="L96" s="1">
        <f>SUM(OSRRefE21_2x_4)</f>
        <v>250</v>
      </c>
      <c r="M96" s="1">
        <f>SUM(OSRRefE21_2x_5)</f>
        <v>250</v>
      </c>
      <c r="N96" s="1">
        <f>SUM(OSRRefE21_2x_6)</f>
        <v>250</v>
      </c>
      <c r="O96" s="1">
        <f>SUM(OSRRefE21_2x_7)</f>
        <v>250</v>
      </c>
      <c r="Q96" s="2">
        <f>SUM(OSRRefD20_2x)+IFERROR(SUM(OSRRefE20_2x),0)</f>
        <v>13289.15</v>
      </c>
    </row>
    <row r="97" spans="1:17" s="34" customFormat="1" hidden="1" outlineLevel="1" x14ac:dyDescent="0.25">
      <c r="A97" s="35"/>
      <c r="B97" s="13" t="str">
        <f>CONCATENATE("          ","6362", " - ","ADVERTISING EXPENSE")</f>
        <v xml:space="preserve">          6362 - ADVERTISING EXPENSE</v>
      </c>
      <c r="C97" s="15"/>
      <c r="D97" s="2">
        <v>1340.93</v>
      </c>
      <c r="E97" s="2">
        <v>9301.39</v>
      </c>
      <c r="F97" s="2">
        <v>391.39</v>
      </c>
      <c r="G97" s="2">
        <v>255.44</v>
      </c>
      <c r="H97" s="2">
        <v>250</v>
      </c>
      <c r="I97" s="2">
        <v>250</v>
      </c>
      <c r="J97" s="2">
        <v>250</v>
      </c>
      <c r="K97" s="2">
        <v>250</v>
      </c>
      <c r="L97" s="2">
        <v>250</v>
      </c>
      <c r="M97" s="2">
        <v>250</v>
      </c>
      <c r="N97" s="2">
        <v>250</v>
      </c>
      <c r="O97" s="2">
        <v>250</v>
      </c>
      <c r="P97" s="9"/>
      <c r="Q97" s="2">
        <f>SUM(OSRRefD21_2_0x)+IFERROR(SUM(OSRRefE21_2_0x),0)</f>
        <v>13289.15</v>
      </c>
    </row>
    <row r="98" spans="1:17" s="34" customFormat="1" collapsed="1" x14ac:dyDescent="0.25">
      <c r="A98" s="35"/>
      <c r="B98" s="15" t="str">
        <f>CONCATENATE("     ","Bad Debts/Over/Short                              ")</f>
        <v xml:space="preserve">     Bad Debts/Over/Short                              </v>
      </c>
      <c r="C98" s="15"/>
      <c r="D98" s="1">
        <f>SUM(OSRRefD21_3x_0)</f>
        <v>0</v>
      </c>
      <c r="E98" s="1">
        <f>SUM(OSRRefD21_3x_1)</f>
        <v>0</v>
      </c>
      <c r="F98" s="1">
        <f>SUM(OSRRefD21_3x_2)</f>
        <v>0</v>
      </c>
      <c r="G98" s="1">
        <f>SUM(OSRRefD21_3x_3)</f>
        <v>0</v>
      </c>
      <c r="H98" s="1">
        <f>SUM(OSRRefE21_3x_0)</f>
        <v>0</v>
      </c>
      <c r="I98" s="1">
        <f>SUM(OSRRefE21_3x_1)</f>
        <v>0</v>
      </c>
      <c r="J98" s="1">
        <f>SUM(OSRRefE21_3x_2)</f>
        <v>0</v>
      </c>
      <c r="K98" s="1">
        <f>SUM(OSRRefE21_3x_3)</f>
        <v>0</v>
      </c>
      <c r="L98" s="1">
        <f>SUM(OSRRefE21_3x_4)</f>
        <v>0</v>
      </c>
      <c r="M98" s="1">
        <f>SUM(OSRRefE21_3x_5)</f>
        <v>0</v>
      </c>
      <c r="N98" s="1">
        <f>SUM(OSRRefE21_3x_6)</f>
        <v>0</v>
      </c>
      <c r="O98" s="1">
        <f>SUM(OSRRefE21_3x_7)</f>
        <v>0</v>
      </c>
      <c r="Q98" s="2">
        <f>SUM(OSRRefD20_3x)+IFERROR(SUM(OSRRefE20_3x),0)</f>
        <v>0</v>
      </c>
    </row>
    <row r="99" spans="1:17" s="34" customFormat="1" hidden="1" outlineLevel="1" x14ac:dyDescent="0.25">
      <c r="A99" s="35"/>
      <c r="B99" s="13" t="str">
        <f>CONCATENATE("          ","6272", " - ","CASH (OVER/SHORT)")</f>
        <v xml:space="preserve">          6272 - CASH (OVER/SHORT)</v>
      </c>
      <c r="C99" s="15"/>
      <c r="D99" s="2"/>
      <c r="E99" s="2"/>
      <c r="F99" s="2"/>
      <c r="G99" s="2"/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9"/>
      <c r="Q99" s="2">
        <f>SUM(OSRRefD21_3_0x)+IFERROR(SUM(OSRRefE21_3_0x),0)</f>
        <v>0</v>
      </c>
    </row>
    <row r="100" spans="1:17" s="34" customFormat="1" collapsed="1" x14ac:dyDescent="0.25">
      <c r="A100" s="35"/>
      <c r="B100" s="15" t="str">
        <f>CONCATENATE("     ","Bank/card Fees                                    ")</f>
        <v xml:space="preserve">     Bank/card Fees                                    </v>
      </c>
      <c r="C100" s="15"/>
      <c r="D100" s="1">
        <f>SUM(OSRRefD21_4x_0)</f>
        <v>0</v>
      </c>
      <c r="E100" s="1">
        <f>SUM(OSRRefD21_4x_1)</f>
        <v>0</v>
      </c>
      <c r="F100" s="1">
        <f>SUM(OSRRefD21_4x_2)</f>
        <v>0</v>
      </c>
      <c r="G100" s="1">
        <f>SUM(OSRRefD21_4x_3)</f>
        <v>0</v>
      </c>
      <c r="H100" s="1">
        <f>SUM(OSRRefE21_4x_0)</f>
        <v>0</v>
      </c>
      <c r="I100" s="1">
        <f>SUM(OSRRefE21_4x_1)</f>
        <v>0</v>
      </c>
      <c r="J100" s="1">
        <f>SUM(OSRRefE21_4x_2)</f>
        <v>0</v>
      </c>
      <c r="K100" s="1">
        <f>SUM(OSRRefE21_4x_3)</f>
        <v>0</v>
      </c>
      <c r="L100" s="1">
        <f>SUM(OSRRefE21_4x_4)</f>
        <v>0</v>
      </c>
      <c r="M100" s="1">
        <f>SUM(OSRRefE21_4x_5)</f>
        <v>0</v>
      </c>
      <c r="N100" s="1">
        <f>SUM(OSRRefE21_4x_6)</f>
        <v>0</v>
      </c>
      <c r="O100" s="1">
        <f>SUM(OSRRefE21_4x_7)</f>
        <v>0</v>
      </c>
      <c r="Q100" s="2">
        <f>SUM(OSRRefD20_4x)+IFERROR(SUM(OSRRefE20_4x),0)</f>
        <v>0</v>
      </c>
    </row>
    <row r="101" spans="1:17" s="34" customFormat="1" hidden="1" outlineLevel="1" x14ac:dyDescent="0.25">
      <c r="A101" s="35"/>
      <c r="B101" s="13" t="str">
        <f>CONCATENATE("          ","6381", " - ","BANK/CREDIT CARD FEES")</f>
        <v xml:space="preserve">          6381 - BANK/CREDIT CARD FEES</v>
      </c>
      <c r="C101" s="15"/>
      <c r="D101" s="2"/>
      <c r="E101" s="2"/>
      <c r="F101" s="2"/>
      <c r="G101" s="2"/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9"/>
      <c r="Q101" s="2">
        <f>SUM(OSRRefD21_4_0x)+IFERROR(SUM(OSRRefE21_4_0x),0)</f>
        <v>0</v>
      </c>
    </row>
    <row r="102" spans="1:17" s="34" customFormat="1" collapsed="1" x14ac:dyDescent="0.25">
      <c r="A102" s="35"/>
      <c r="B102" s="15" t="str">
        <f>CONCATENATE("     ","Discounts and Markdowns                           ")</f>
        <v xml:space="preserve">     Discounts and Markdowns                           </v>
      </c>
      <c r="C102" s="15"/>
      <c r="D102" s="1">
        <f>SUM(OSRRefD21_5x_0)</f>
        <v>0</v>
      </c>
      <c r="E102" s="1">
        <f>SUM(OSRRefD21_5x_1)</f>
        <v>0</v>
      </c>
      <c r="F102" s="1">
        <f>SUM(OSRRefD21_5x_2)</f>
        <v>0</v>
      </c>
      <c r="G102" s="1">
        <f>SUM(OSRRefD21_5x_3)</f>
        <v>0</v>
      </c>
      <c r="H102" s="1">
        <f>SUM(OSRRefE21_5x_0)</f>
        <v>0</v>
      </c>
      <c r="I102" s="1">
        <f>SUM(OSRRefE21_5x_1)</f>
        <v>0</v>
      </c>
      <c r="J102" s="1">
        <f>SUM(OSRRefE21_5x_2)</f>
        <v>0</v>
      </c>
      <c r="K102" s="1">
        <f>SUM(OSRRefE21_5x_3)</f>
        <v>0</v>
      </c>
      <c r="L102" s="1">
        <f>SUM(OSRRefE21_5x_4)</f>
        <v>0</v>
      </c>
      <c r="M102" s="1">
        <f>SUM(OSRRefE21_5x_5)</f>
        <v>0</v>
      </c>
      <c r="N102" s="1">
        <f>SUM(OSRRefE21_5x_6)</f>
        <v>0</v>
      </c>
      <c r="O102" s="1">
        <f>SUM(OSRRefE21_5x_7)</f>
        <v>0</v>
      </c>
      <c r="Q102" s="2">
        <f>SUM(OSRRefD20_5x)+IFERROR(SUM(OSRRefE20_5x),0)</f>
        <v>0</v>
      </c>
    </row>
    <row r="103" spans="1:17" s="34" customFormat="1" hidden="1" outlineLevel="1" x14ac:dyDescent="0.25">
      <c r="A103" s="35"/>
      <c r="B103" s="13" t="str">
        <f>CONCATENATE("          ","6382", " - ","DISCOUNTS/MARK DOWNS")</f>
        <v xml:space="preserve">          6382 - DISCOUNTS/MARK DOWNS</v>
      </c>
      <c r="C103" s="15"/>
      <c r="D103" s="2"/>
      <c r="E103" s="2"/>
      <c r="F103" s="2"/>
      <c r="G103" s="2"/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9"/>
      <c r="Q103" s="2">
        <f>SUM(OSRRefD21_5_0x)+IFERROR(SUM(OSRRefE21_5_0x),0)</f>
        <v>0</v>
      </c>
    </row>
    <row r="104" spans="1:17" s="34" customFormat="1" collapsed="1" x14ac:dyDescent="0.25">
      <c r="A104" s="35"/>
      <c r="B104" s="15" t="str">
        <f>CONCATENATE("     ","Employees' Appreciation                           ")</f>
        <v xml:space="preserve">     Employees' Appreciation                           </v>
      </c>
      <c r="C104" s="15"/>
      <c r="D104" s="1">
        <f>SUM(OSRRefD21_6x_0)</f>
        <v>0</v>
      </c>
      <c r="E104" s="1">
        <f>SUM(OSRRefD21_6x_1)</f>
        <v>0</v>
      </c>
      <c r="F104" s="1">
        <f>SUM(OSRRefD21_6x_2)</f>
        <v>0</v>
      </c>
      <c r="G104" s="1">
        <f>SUM(OSRRefD21_6x_3)</f>
        <v>0</v>
      </c>
      <c r="H104" s="1">
        <f>SUM(OSRRefE21_6x_0)</f>
        <v>0</v>
      </c>
      <c r="I104" s="1">
        <f>SUM(OSRRefE21_6x_1)</f>
        <v>0</v>
      </c>
      <c r="J104" s="1">
        <f>SUM(OSRRefE21_6x_2)</f>
        <v>0</v>
      </c>
      <c r="K104" s="1">
        <f>SUM(OSRRefE21_6x_3)</f>
        <v>0</v>
      </c>
      <c r="L104" s="1">
        <f>SUM(OSRRefE21_6x_4)</f>
        <v>0</v>
      </c>
      <c r="M104" s="1">
        <f>SUM(OSRRefE21_6x_5)</f>
        <v>0</v>
      </c>
      <c r="N104" s="1">
        <f>SUM(OSRRefE21_6x_6)</f>
        <v>0</v>
      </c>
      <c r="O104" s="1">
        <f>SUM(OSRRefE21_6x_7)</f>
        <v>0</v>
      </c>
      <c r="Q104" s="2">
        <f>SUM(OSRRefD20_6x)+IFERROR(SUM(OSRRefE20_6x),0)</f>
        <v>0</v>
      </c>
    </row>
    <row r="105" spans="1:17" s="34" customFormat="1" hidden="1" outlineLevel="1" x14ac:dyDescent="0.25">
      <c r="A105" s="35"/>
      <c r="B105" s="13" t="str">
        <f>CONCATENATE("          ","6277", " - ","EMPLOYEE APPRECIATION")</f>
        <v xml:space="preserve">          6277 - EMPLOYEE APPRECIATION</v>
      </c>
      <c r="C105" s="15"/>
      <c r="D105" s="2"/>
      <c r="E105" s="2"/>
      <c r="F105" s="2"/>
      <c r="G105" s="2"/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9"/>
      <c r="Q105" s="2">
        <f>SUM(OSRRefD21_6_0x)+IFERROR(SUM(OSRRefE21_6_0x),0)</f>
        <v>0</v>
      </c>
    </row>
    <row r="106" spans="1:17" s="34" customFormat="1" collapsed="1" x14ac:dyDescent="0.25">
      <c r="A106" s="35"/>
      <c r="B106" s="15" t="str">
        <f>CONCATENATE("     ","Freight out/Postage                               ")</f>
        <v xml:space="preserve">     Freight out/Postage                               </v>
      </c>
      <c r="C106" s="15"/>
      <c r="D106" s="1">
        <f>SUM(OSRRefD21_7x_0)</f>
        <v>16.39</v>
      </c>
      <c r="E106" s="1">
        <f>SUM(OSRRefD21_7x_1)</f>
        <v>34.06</v>
      </c>
      <c r="F106" s="1">
        <f>SUM(OSRRefD21_7x_2)</f>
        <v>30.66</v>
      </c>
      <c r="G106" s="1">
        <f>SUM(OSRRefD21_7x_3)</f>
        <v>10.85</v>
      </c>
      <c r="H106" s="1">
        <f>SUM(OSRRefE21_7x_0)</f>
        <v>25</v>
      </c>
      <c r="I106" s="1">
        <f>SUM(OSRRefE21_7x_1)</f>
        <v>25</v>
      </c>
      <c r="J106" s="1">
        <f>SUM(OSRRefE21_7x_2)</f>
        <v>25</v>
      </c>
      <c r="K106" s="1">
        <f>SUM(OSRRefE21_7x_3)</f>
        <v>25</v>
      </c>
      <c r="L106" s="1">
        <f>SUM(OSRRefE21_7x_4)</f>
        <v>25</v>
      </c>
      <c r="M106" s="1">
        <f>SUM(OSRRefE21_7x_5)</f>
        <v>25</v>
      </c>
      <c r="N106" s="1">
        <f>SUM(OSRRefE21_7x_6)</f>
        <v>25</v>
      </c>
      <c r="O106" s="1">
        <f>SUM(OSRRefE21_7x_7)</f>
        <v>25</v>
      </c>
      <c r="Q106" s="2">
        <f>SUM(OSRRefD20_7x)+IFERROR(SUM(OSRRefE20_7x),0)</f>
        <v>291.95999999999998</v>
      </c>
    </row>
    <row r="107" spans="1:17" s="34" customFormat="1" hidden="1" outlineLevel="1" x14ac:dyDescent="0.25">
      <c r="A107" s="35"/>
      <c r="B107" s="13" t="str">
        <f>CONCATENATE("          ","6305", " - ","FREIGHT OUT")</f>
        <v xml:space="preserve">          6305 - FREIGHT OUT</v>
      </c>
      <c r="C107" s="15"/>
      <c r="D107" s="2">
        <v>16.39</v>
      </c>
      <c r="E107" s="2">
        <v>34.06</v>
      </c>
      <c r="F107" s="2">
        <v>30.66</v>
      </c>
      <c r="G107" s="2">
        <v>10.85</v>
      </c>
      <c r="H107" s="2"/>
      <c r="I107" s="2"/>
      <c r="J107" s="2"/>
      <c r="K107" s="2"/>
      <c r="L107" s="2"/>
      <c r="M107" s="2"/>
      <c r="N107" s="2"/>
      <c r="O107" s="2"/>
      <c r="P107" s="9"/>
      <c r="Q107" s="2">
        <f>SUM(OSRRefD21_7_0x)+IFERROR(SUM(OSRRefE21_7_0x),0)</f>
        <v>91.96</v>
      </c>
    </row>
    <row r="108" spans="1:17" s="34" customFormat="1" hidden="1" outlineLevel="1" x14ac:dyDescent="0.25">
      <c r="A108" s="35"/>
      <c r="B108" s="13" t="str">
        <f>CONCATENATE("          ","6307", " - ","POSTAGE")</f>
        <v xml:space="preserve">          6307 - POSTAGE</v>
      </c>
      <c r="C108" s="15"/>
      <c r="D108" s="2"/>
      <c r="E108" s="2"/>
      <c r="F108" s="2"/>
      <c r="G108" s="2"/>
      <c r="H108" s="2">
        <v>25</v>
      </c>
      <c r="I108" s="2">
        <v>25</v>
      </c>
      <c r="J108" s="2">
        <v>25</v>
      </c>
      <c r="K108" s="2">
        <v>25</v>
      </c>
      <c r="L108" s="2">
        <v>25</v>
      </c>
      <c r="M108" s="2">
        <v>25</v>
      </c>
      <c r="N108" s="2">
        <v>25</v>
      </c>
      <c r="O108" s="2">
        <v>25</v>
      </c>
      <c r="P108" s="9"/>
      <c r="Q108" s="2">
        <f>SUM(OSRRefD21_7_1x)+IFERROR(SUM(OSRRefE21_7_1x),0)</f>
        <v>200</v>
      </c>
    </row>
    <row r="109" spans="1:17" s="34" customFormat="1" collapsed="1" x14ac:dyDescent="0.25">
      <c r="A109" s="35"/>
      <c r="B109" s="15" t="str">
        <f>CONCATENATE("     ","General                                           ")</f>
        <v xml:space="preserve">     General                                           </v>
      </c>
      <c r="C109" s="15"/>
      <c r="D109" s="1">
        <f>SUM(OSRRefD21_8x_0)</f>
        <v>0</v>
      </c>
      <c r="E109" s="1">
        <f>SUM(OSRRefD21_8x_1)</f>
        <v>0</v>
      </c>
      <c r="F109" s="1">
        <f>SUM(OSRRefD21_8x_2)</f>
        <v>0</v>
      </c>
      <c r="G109" s="1">
        <f>SUM(OSRRefD21_8x_3)</f>
        <v>0</v>
      </c>
      <c r="H109" s="1">
        <f>SUM(OSRRefE21_8x_0)</f>
        <v>0</v>
      </c>
      <c r="I109" s="1">
        <f>SUM(OSRRefE21_8x_1)</f>
        <v>0</v>
      </c>
      <c r="J109" s="1">
        <f>SUM(OSRRefE21_8x_2)</f>
        <v>0</v>
      </c>
      <c r="K109" s="1">
        <f>SUM(OSRRefE21_8x_3)</f>
        <v>0</v>
      </c>
      <c r="L109" s="1">
        <f>SUM(OSRRefE21_8x_4)</f>
        <v>0</v>
      </c>
      <c r="M109" s="1">
        <f>SUM(OSRRefE21_8x_5)</f>
        <v>0</v>
      </c>
      <c r="N109" s="1">
        <f>SUM(OSRRefE21_8x_6)</f>
        <v>0</v>
      </c>
      <c r="O109" s="1">
        <f>SUM(OSRRefE21_8x_7)</f>
        <v>0</v>
      </c>
      <c r="Q109" s="2">
        <f>SUM(OSRRefD20_8x)+IFERROR(SUM(OSRRefE20_8x),0)</f>
        <v>0</v>
      </c>
    </row>
    <row r="110" spans="1:17" s="34" customFormat="1" hidden="1" outlineLevel="1" x14ac:dyDescent="0.25">
      <c r="A110" s="35"/>
      <c r="B110" s="13" t="str">
        <f>CONCATENATE("          ","6279", " - ","GENERAL EXPENSE")</f>
        <v xml:space="preserve">          6279 - GENERAL EXPENSE</v>
      </c>
      <c r="C110" s="15"/>
      <c r="D110" s="2"/>
      <c r="E110" s="2"/>
      <c r="F110" s="2"/>
      <c r="G110" s="2"/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9"/>
      <c r="Q110" s="2">
        <f>SUM(OSRRefD21_8_0x)+IFERROR(SUM(OSRRefE21_8_0x),0)</f>
        <v>0</v>
      </c>
    </row>
    <row r="111" spans="1:17" s="34" customFormat="1" collapsed="1" x14ac:dyDescent="0.25">
      <c r="A111" s="35"/>
      <c r="B111" s="15" t="str">
        <f>CONCATENATE("     ","Inventory Adjustment                              ")</f>
        <v xml:space="preserve">     Inventory Adjustment                              </v>
      </c>
      <c r="C111" s="15"/>
      <c r="D111" s="1">
        <f>SUM(OSRRefD21_9x_0)</f>
        <v>1000</v>
      </c>
      <c r="E111" s="1">
        <f>SUM(OSRRefD21_9x_1)</f>
        <v>1000</v>
      </c>
      <c r="F111" s="1">
        <f>SUM(OSRRefD21_9x_2)</f>
        <v>1000</v>
      </c>
      <c r="G111" s="1">
        <f>SUM(OSRRefD21_9x_3)</f>
        <v>1000</v>
      </c>
      <c r="H111" s="1">
        <f>SUM(OSRRefE21_9x_0)</f>
        <v>1000</v>
      </c>
      <c r="I111" s="1">
        <f>SUM(OSRRefE21_9x_1)</f>
        <v>1000</v>
      </c>
      <c r="J111" s="1">
        <f>SUM(OSRRefE21_9x_2)</f>
        <v>1000</v>
      </c>
      <c r="K111" s="1">
        <f>SUM(OSRRefE21_9x_3)</f>
        <v>1000</v>
      </c>
      <c r="L111" s="1">
        <f>SUM(OSRRefE21_9x_4)</f>
        <v>1000</v>
      </c>
      <c r="M111" s="1">
        <f>SUM(OSRRefE21_9x_5)</f>
        <v>1000</v>
      </c>
      <c r="N111" s="1">
        <f>SUM(OSRRefE21_9x_6)</f>
        <v>1000</v>
      </c>
      <c r="O111" s="1">
        <f>SUM(OSRRefE21_9x_7)</f>
        <v>1000</v>
      </c>
      <c r="Q111" s="2">
        <f>SUM(OSRRefD20_9x)+IFERROR(SUM(OSRRefE20_9x),0)</f>
        <v>12000</v>
      </c>
    </row>
    <row r="112" spans="1:17" s="34" customFormat="1" hidden="1" outlineLevel="1" x14ac:dyDescent="0.25">
      <c r="A112" s="35"/>
      <c r="B112" s="13" t="str">
        <f>CONCATENATE("          ","6408", " - ","INVENTORY ADJUSTMENT")</f>
        <v xml:space="preserve">          6408 - INVENTORY ADJUSTMENT</v>
      </c>
      <c r="C112" s="15"/>
      <c r="D112" s="2">
        <v>1000</v>
      </c>
      <c r="E112" s="2">
        <v>1000</v>
      </c>
      <c r="F112" s="2">
        <v>1000</v>
      </c>
      <c r="G112" s="2">
        <v>1000</v>
      </c>
      <c r="H112" s="2">
        <v>1000</v>
      </c>
      <c r="I112" s="2">
        <v>1000</v>
      </c>
      <c r="J112" s="2">
        <v>1000</v>
      </c>
      <c r="K112" s="2">
        <v>1000</v>
      </c>
      <c r="L112" s="2">
        <v>1000</v>
      </c>
      <c r="M112" s="2">
        <v>1000</v>
      </c>
      <c r="N112" s="2">
        <v>1000</v>
      </c>
      <c r="O112" s="2">
        <v>1000</v>
      </c>
      <c r="P112" s="9"/>
      <c r="Q112" s="2">
        <f>SUM(OSRRefD21_9_0x)+IFERROR(SUM(OSRRefE21_9_0x),0)</f>
        <v>12000</v>
      </c>
    </row>
    <row r="113" spans="1:17" s="34" customFormat="1" collapsed="1" x14ac:dyDescent="0.25">
      <c r="A113" s="35"/>
      <c r="B113" s="15" t="str">
        <f>CONCATENATE("     ","Professional Services                             ")</f>
        <v xml:space="preserve">     Professional Services                             </v>
      </c>
      <c r="C113" s="15"/>
      <c r="D113" s="1">
        <f>SUM(OSRRefD21_10x_0)</f>
        <v>0</v>
      </c>
      <c r="E113" s="1">
        <f>SUM(OSRRefD21_10x_1)</f>
        <v>0</v>
      </c>
      <c r="F113" s="1">
        <f>SUM(OSRRefD21_10x_2)</f>
        <v>0</v>
      </c>
      <c r="G113" s="1">
        <f>SUM(OSRRefD21_10x_3)</f>
        <v>0</v>
      </c>
      <c r="H113" s="1">
        <f>SUM(OSRRefE21_10x_0)</f>
        <v>0</v>
      </c>
      <c r="I113" s="1">
        <f>SUM(OSRRefE21_10x_1)</f>
        <v>0</v>
      </c>
      <c r="J113" s="1">
        <f>SUM(OSRRefE21_10x_2)</f>
        <v>0</v>
      </c>
      <c r="K113" s="1">
        <f>SUM(OSRRefE21_10x_3)</f>
        <v>0</v>
      </c>
      <c r="L113" s="1">
        <f>SUM(OSRRefE21_10x_4)</f>
        <v>0</v>
      </c>
      <c r="M113" s="1">
        <f>SUM(OSRRefE21_10x_5)</f>
        <v>0</v>
      </c>
      <c r="N113" s="1">
        <f>SUM(OSRRefE21_10x_6)</f>
        <v>0</v>
      </c>
      <c r="O113" s="1">
        <f>SUM(OSRRefE21_10x_7)</f>
        <v>0</v>
      </c>
      <c r="Q113" s="2">
        <f>SUM(OSRRefD20_10x)+IFERROR(SUM(OSRRefE20_10x),0)</f>
        <v>0</v>
      </c>
    </row>
    <row r="114" spans="1:17" s="34" customFormat="1" hidden="1" outlineLevel="1" x14ac:dyDescent="0.25">
      <c r="A114" s="35"/>
      <c r="B114" s="13" t="str">
        <f>CONCATENATE("          ","6336", " - ","PROFESSIONAL SERVICES")</f>
        <v xml:space="preserve">          6336 - PROFESSIONAL SERVICES</v>
      </c>
      <c r="C114" s="15"/>
      <c r="D114" s="2"/>
      <c r="E114" s="2"/>
      <c r="F114" s="2"/>
      <c r="G114" s="2"/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9"/>
      <c r="Q114" s="2">
        <f>SUM(OSRRefD21_10_0x)+IFERROR(SUM(OSRRefE21_10_0x),0)</f>
        <v>0</v>
      </c>
    </row>
    <row r="115" spans="1:17" s="34" customFormat="1" collapsed="1" x14ac:dyDescent="0.25">
      <c r="A115" s="35"/>
      <c r="B115" s="15" t="str">
        <f>CONCATENATE("     ","Repair and Maintenance                            ")</f>
        <v xml:space="preserve">     Repair and Maintenance                            </v>
      </c>
      <c r="C115" s="15"/>
      <c r="D115" s="1">
        <f>SUM(OSRRefD21_11x_0)</f>
        <v>0</v>
      </c>
      <c r="E115" s="1">
        <f>SUM(OSRRefD21_11x_1)</f>
        <v>0</v>
      </c>
      <c r="F115" s="1">
        <f>SUM(OSRRefD21_11x_2)</f>
        <v>0</v>
      </c>
      <c r="G115" s="1">
        <f>SUM(OSRRefD21_11x_3)</f>
        <v>0</v>
      </c>
      <c r="H115" s="1">
        <f>SUM(OSRRefE21_11x_0)</f>
        <v>50</v>
      </c>
      <c r="I115" s="1">
        <f>SUM(OSRRefE21_11x_1)</f>
        <v>50</v>
      </c>
      <c r="J115" s="1">
        <f>SUM(OSRRefE21_11x_2)</f>
        <v>50</v>
      </c>
      <c r="K115" s="1">
        <f>SUM(OSRRefE21_11x_3)</f>
        <v>50</v>
      </c>
      <c r="L115" s="1">
        <f>SUM(OSRRefE21_11x_4)</f>
        <v>50</v>
      </c>
      <c r="M115" s="1">
        <f>SUM(OSRRefE21_11x_5)</f>
        <v>50</v>
      </c>
      <c r="N115" s="1">
        <f>SUM(OSRRefE21_11x_6)</f>
        <v>50</v>
      </c>
      <c r="O115" s="1">
        <f>SUM(OSRRefE21_11x_7)</f>
        <v>50</v>
      </c>
      <c r="Q115" s="2">
        <f>SUM(OSRRefD20_11x)+IFERROR(SUM(OSRRefE20_11x),0)</f>
        <v>400</v>
      </c>
    </row>
    <row r="116" spans="1:17" s="34" customFormat="1" hidden="1" outlineLevel="1" x14ac:dyDescent="0.25">
      <c r="A116" s="35"/>
      <c r="B116" s="13" t="str">
        <f>CONCATENATE("          ","6375", " - ","OUTSIDE REPAIRS &amp; MAINTENANCE")</f>
        <v xml:space="preserve">          6375 - OUTSIDE REPAIRS &amp; MAINTENANCE</v>
      </c>
      <c r="C116" s="15"/>
      <c r="D116" s="2"/>
      <c r="E116" s="2"/>
      <c r="F116" s="2"/>
      <c r="G116" s="2"/>
      <c r="H116" s="2">
        <v>50</v>
      </c>
      <c r="I116" s="2">
        <v>50</v>
      </c>
      <c r="J116" s="2">
        <v>50</v>
      </c>
      <c r="K116" s="2">
        <v>50</v>
      </c>
      <c r="L116" s="2">
        <v>50</v>
      </c>
      <c r="M116" s="2">
        <v>50</v>
      </c>
      <c r="N116" s="2">
        <v>50</v>
      </c>
      <c r="O116" s="2">
        <v>50</v>
      </c>
      <c r="P116" s="9"/>
      <c r="Q116" s="2">
        <f>SUM(OSRRefD21_11_0x)+IFERROR(SUM(OSRRefE21_11_0x),0)</f>
        <v>400</v>
      </c>
    </row>
    <row r="117" spans="1:17" s="34" customFormat="1" collapsed="1" x14ac:dyDescent="0.25">
      <c r="A117" s="35"/>
      <c r="B117" s="15" t="str">
        <f>CONCATENATE("     ","Royalty &amp; Commissions                             ")</f>
        <v xml:space="preserve">     Royalty &amp; Commissions                             </v>
      </c>
      <c r="C117" s="15"/>
      <c r="D117" s="1">
        <f>SUM(OSRRefD21_12x_0)</f>
        <v>5672.2</v>
      </c>
      <c r="E117" s="1">
        <f>SUM(OSRRefD21_12x_1)</f>
        <v>2250</v>
      </c>
      <c r="F117" s="1">
        <f>SUM(OSRRefD21_12x_2)</f>
        <v>0</v>
      </c>
      <c r="G117" s="1">
        <f>SUM(OSRRefD21_12x_3)</f>
        <v>10489.6</v>
      </c>
      <c r="H117" s="1">
        <f>SUM(OSRRefE21_12x_0)</f>
        <v>6271</v>
      </c>
      <c r="I117" s="1">
        <f>SUM(OSRRefE21_12x_1)</f>
        <v>6271</v>
      </c>
      <c r="J117" s="1">
        <f>SUM(OSRRefE21_12x_2)</f>
        <v>6271</v>
      </c>
      <c r="K117" s="1">
        <f>SUM(OSRRefE21_12x_3)</f>
        <v>6271</v>
      </c>
      <c r="L117" s="1">
        <f>SUM(OSRRefE21_12x_4)</f>
        <v>6271</v>
      </c>
      <c r="M117" s="1">
        <f>SUM(OSRRefE21_12x_5)</f>
        <v>6271</v>
      </c>
      <c r="N117" s="1">
        <f>SUM(OSRRefE21_12x_6)</f>
        <v>6271</v>
      </c>
      <c r="O117" s="1">
        <f>SUM(OSRRefE21_12x_7)</f>
        <v>6271</v>
      </c>
      <c r="Q117" s="2">
        <f>SUM(OSRRefD20_12x)+IFERROR(SUM(OSRRefE20_12x),0)</f>
        <v>68579.8</v>
      </c>
    </row>
    <row r="118" spans="1:17" s="34" customFormat="1" hidden="1" outlineLevel="1" x14ac:dyDescent="0.25">
      <c r="A118" s="35"/>
      <c r="B118" s="13" t="str">
        <f>CONCATENATE("          ","6252", " - ","ROYALTY DUE CSTV")</f>
        <v xml:space="preserve">          6252 - ROYALTY DUE CSTV</v>
      </c>
      <c r="C118" s="15"/>
      <c r="D118" s="2"/>
      <c r="E118" s="2"/>
      <c r="F118" s="2"/>
      <c r="G118" s="2"/>
      <c r="H118" s="2">
        <v>1085</v>
      </c>
      <c r="I118" s="2">
        <v>1085</v>
      </c>
      <c r="J118" s="2">
        <v>1085</v>
      </c>
      <c r="K118" s="2">
        <v>1085</v>
      </c>
      <c r="L118" s="2">
        <v>1085</v>
      </c>
      <c r="M118" s="2">
        <v>1085</v>
      </c>
      <c r="N118" s="2">
        <v>1085</v>
      </c>
      <c r="O118" s="2">
        <v>1085</v>
      </c>
      <c r="P118" s="9"/>
      <c r="Q118" s="2">
        <f>SUM(OSRRefD21_12_0x)+IFERROR(SUM(OSRRefE21_12_0x),0)</f>
        <v>8680</v>
      </c>
    </row>
    <row r="119" spans="1:17" s="34" customFormat="1" hidden="1" outlineLevel="1" x14ac:dyDescent="0.25">
      <c r="A119" s="35"/>
      <c r="B119" s="13" t="str">
        <f>CONCATENATE("          ","6253", " - ","ROYALTY DUE ATHLETICS-LRG")</f>
        <v xml:space="preserve">          6253 - ROYALTY DUE ATHLETICS-LRG</v>
      </c>
      <c r="C119" s="15"/>
      <c r="D119" s="2">
        <v>5672.2</v>
      </c>
      <c r="E119" s="2">
        <v>2250</v>
      </c>
      <c r="F119" s="2"/>
      <c r="G119" s="2">
        <v>10489.6</v>
      </c>
      <c r="H119" s="2">
        <v>4037</v>
      </c>
      <c r="I119" s="2">
        <v>4037</v>
      </c>
      <c r="J119" s="2">
        <v>4037</v>
      </c>
      <c r="K119" s="2">
        <v>4037</v>
      </c>
      <c r="L119" s="2">
        <v>4037</v>
      </c>
      <c r="M119" s="2">
        <v>4037</v>
      </c>
      <c r="N119" s="2">
        <v>4037</v>
      </c>
      <c r="O119" s="2">
        <v>4037</v>
      </c>
      <c r="P119" s="9"/>
      <c r="Q119" s="2">
        <f>SUM(OSRRefD21_12_1x)+IFERROR(SUM(OSRRefE21_12_1x),0)</f>
        <v>50707.8</v>
      </c>
    </row>
    <row r="120" spans="1:17" s="34" customFormat="1" hidden="1" outlineLevel="1" x14ac:dyDescent="0.25">
      <c r="A120" s="35"/>
      <c r="B120" s="13" t="str">
        <f>CONCATENATE("          ","6254", " - ","ROYALTY &amp; COMMISSIONS")</f>
        <v xml:space="preserve">          6254 - ROYALTY &amp; COMMISSIONS</v>
      </c>
      <c r="C120" s="15"/>
      <c r="D120" s="2"/>
      <c r="E120" s="2"/>
      <c r="F120" s="2"/>
      <c r="G120" s="2"/>
      <c r="H120" s="2">
        <v>1149</v>
      </c>
      <c r="I120" s="2">
        <v>1149</v>
      </c>
      <c r="J120" s="2">
        <v>1149</v>
      </c>
      <c r="K120" s="2">
        <v>1149</v>
      </c>
      <c r="L120" s="2">
        <v>1149</v>
      </c>
      <c r="M120" s="2">
        <v>1149</v>
      </c>
      <c r="N120" s="2">
        <v>1149</v>
      </c>
      <c r="O120" s="2">
        <v>1149</v>
      </c>
      <c r="P120" s="9"/>
      <c r="Q120" s="2">
        <f>SUM(OSRRefD21_12_2x)+IFERROR(SUM(OSRRefE21_12_2x),0)</f>
        <v>9192</v>
      </c>
    </row>
    <row r="121" spans="1:17" s="34" customFormat="1" collapsed="1" x14ac:dyDescent="0.25">
      <c r="A121" s="35"/>
      <c r="B121" s="15" t="str">
        <f>CONCATENATE("     ","Subscriptions &amp; Dues                              ")</f>
        <v xml:space="preserve">     Subscriptions &amp; Dues                              </v>
      </c>
      <c r="C121" s="15"/>
      <c r="D121" s="1">
        <f>SUM(OSRRefD21_13x_0)</f>
        <v>0</v>
      </c>
      <c r="E121" s="1">
        <f>SUM(OSRRefD21_13x_1)</f>
        <v>0</v>
      </c>
      <c r="F121" s="1">
        <f>SUM(OSRRefD21_13x_2)</f>
        <v>75.73</v>
      </c>
      <c r="G121" s="1">
        <f>SUM(OSRRefD21_13x_3)</f>
        <v>0</v>
      </c>
      <c r="H121" s="1">
        <f>SUM(OSRRefE21_13x_0)</f>
        <v>0</v>
      </c>
      <c r="I121" s="1">
        <f>SUM(OSRRefE21_13x_1)</f>
        <v>0</v>
      </c>
      <c r="J121" s="1">
        <f>SUM(OSRRefE21_13x_2)</f>
        <v>0</v>
      </c>
      <c r="K121" s="1">
        <f>SUM(OSRRefE21_13x_3)</f>
        <v>0</v>
      </c>
      <c r="L121" s="1">
        <f>SUM(OSRRefE21_13x_4)</f>
        <v>0</v>
      </c>
      <c r="M121" s="1">
        <f>SUM(OSRRefE21_13x_5)</f>
        <v>0</v>
      </c>
      <c r="N121" s="1">
        <f>SUM(OSRRefE21_13x_6)</f>
        <v>0</v>
      </c>
      <c r="O121" s="1">
        <f>SUM(OSRRefE21_13x_7)</f>
        <v>0</v>
      </c>
      <c r="Q121" s="2">
        <f>SUM(OSRRefD20_13x)+IFERROR(SUM(OSRRefE20_13x),0)</f>
        <v>75.73</v>
      </c>
    </row>
    <row r="122" spans="1:17" s="34" customFormat="1" hidden="1" outlineLevel="1" x14ac:dyDescent="0.25">
      <c r="A122" s="35"/>
      <c r="B122" s="13" t="str">
        <f>CONCATENATE("          ","6258", " - ","MEMBERSHIP DUES")</f>
        <v xml:space="preserve">          6258 - MEMBERSHIP DUES</v>
      </c>
      <c r="C122" s="15"/>
      <c r="D122" s="2"/>
      <c r="E122" s="2"/>
      <c r="F122" s="2"/>
      <c r="G122" s="2"/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9"/>
      <c r="Q122" s="2">
        <f>SUM(OSRRefD21_13_0x)+IFERROR(SUM(OSRRefE21_13_0x),0)</f>
        <v>0</v>
      </c>
    </row>
    <row r="123" spans="1:17" s="34" customFormat="1" hidden="1" outlineLevel="1" x14ac:dyDescent="0.25">
      <c r="A123" s="35"/>
      <c r="B123" s="13" t="str">
        <f>CONCATENATE("          ","6275", " - ","SUBSCRIPTIONS")</f>
        <v xml:space="preserve">          6275 - SUBSCRIPTIONS</v>
      </c>
      <c r="C123" s="15"/>
      <c r="D123" s="2"/>
      <c r="E123" s="2"/>
      <c r="F123" s="2">
        <v>75.73</v>
      </c>
      <c r="G123" s="2"/>
      <c r="H123" s="2"/>
      <c r="I123" s="2"/>
      <c r="J123" s="2"/>
      <c r="K123" s="2">
        <v>0</v>
      </c>
      <c r="L123" s="2"/>
      <c r="M123" s="2"/>
      <c r="N123" s="2"/>
      <c r="O123" s="2"/>
      <c r="P123" s="9"/>
      <c r="Q123" s="2">
        <f>SUM(OSRRefD21_13_1x)+IFERROR(SUM(OSRRefE21_13_1x),0)</f>
        <v>75.73</v>
      </c>
    </row>
    <row r="124" spans="1:17" s="34" customFormat="1" collapsed="1" x14ac:dyDescent="0.25">
      <c r="A124" s="35"/>
      <c r="B124" s="15" t="str">
        <f>CONCATENATE("     ","Supplies                                          ")</f>
        <v xml:space="preserve">     Supplies                                          </v>
      </c>
      <c r="C124" s="15"/>
      <c r="D124" s="1">
        <f>SUM(OSRRefD21_14x_0)</f>
        <v>1009.76</v>
      </c>
      <c r="E124" s="1">
        <f>SUM(OSRRefD21_14x_1)</f>
        <v>58.15</v>
      </c>
      <c r="F124" s="1">
        <f>SUM(OSRRefD21_14x_2)</f>
        <v>31.83</v>
      </c>
      <c r="G124" s="1">
        <f>SUM(OSRRefD21_14x_3)</f>
        <v>206.87</v>
      </c>
      <c r="H124" s="1">
        <f>SUM(OSRRefE21_14x_0)</f>
        <v>200</v>
      </c>
      <c r="I124" s="1">
        <f>SUM(OSRRefE21_14x_1)</f>
        <v>200</v>
      </c>
      <c r="J124" s="1">
        <f>SUM(OSRRefE21_14x_2)</f>
        <v>200</v>
      </c>
      <c r="K124" s="1">
        <f>SUM(OSRRefE21_14x_3)</f>
        <v>200</v>
      </c>
      <c r="L124" s="1">
        <f>SUM(OSRRefE21_14x_4)</f>
        <v>200</v>
      </c>
      <c r="M124" s="1">
        <f>SUM(OSRRefE21_14x_5)</f>
        <v>200</v>
      </c>
      <c r="N124" s="1">
        <f>SUM(OSRRefE21_14x_6)</f>
        <v>200</v>
      </c>
      <c r="O124" s="1">
        <f>SUM(OSRRefE21_14x_7)</f>
        <v>200</v>
      </c>
      <c r="Q124" s="2">
        <f>SUM(OSRRefD20_14x)+IFERROR(SUM(OSRRefE20_14x),0)</f>
        <v>2906.61</v>
      </c>
    </row>
    <row r="125" spans="1:17" s="34" customFormat="1" hidden="1" outlineLevel="1" x14ac:dyDescent="0.25">
      <c r="A125" s="35"/>
      <c r="B125" s="13" t="str">
        <f>CONCATENATE("          ","6234", " - ","EXPENDABLE SUPPLIES &amp; EQUIPMEN")</f>
        <v xml:space="preserve">          6234 - EXPENDABLE SUPPLIES &amp; EQUIPMEN</v>
      </c>
      <c r="C125" s="15"/>
      <c r="D125" s="2"/>
      <c r="E125" s="2"/>
      <c r="F125" s="2"/>
      <c r="G125" s="2"/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9"/>
      <c r="Q125" s="2">
        <f>SUM(OSRRefD21_14_0x)+IFERROR(SUM(OSRRefE21_14_0x),0)</f>
        <v>0</v>
      </c>
    </row>
    <row r="126" spans="1:17" s="34" customFormat="1" hidden="1" outlineLevel="1" x14ac:dyDescent="0.25">
      <c r="A126" s="35"/>
      <c r="B126" s="13" t="str">
        <f>CONCATENATE("          ","6235", " - ","COVID-19 EXPENSES")</f>
        <v xml:space="preserve">          6235 - COVID-19 EXPENSES</v>
      </c>
      <c r="C126" s="15"/>
      <c r="D126" s="2">
        <v>961.38</v>
      </c>
      <c r="E126" s="2"/>
      <c r="F126" s="2"/>
      <c r="G126" s="2"/>
      <c r="H126" s="2">
        <v>100</v>
      </c>
      <c r="I126" s="2">
        <v>100</v>
      </c>
      <c r="J126" s="2">
        <v>100</v>
      </c>
      <c r="K126" s="2">
        <v>100</v>
      </c>
      <c r="L126" s="2">
        <v>100</v>
      </c>
      <c r="M126" s="2">
        <v>100</v>
      </c>
      <c r="N126" s="2">
        <v>100</v>
      </c>
      <c r="O126" s="2">
        <v>100</v>
      </c>
      <c r="P126" s="9"/>
      <c r="Q126" s="2">
        <f>SUM(OSRRefD21_14_1x)+IFERROR(SUM(OSRRefE21_14_1x),0)</f>
        <v>1761.38</v>
      </c>
    </row>
    <row r="127" spans="1:17" s="34" customFormat="1" hidden="1" outlineLevel="1" x14ac:dyDescent="0.25">
      <c r="A127" s="35"/>
      <c r="B127" s="13" t="str">
        <f>CONCATENATE("          ","6237", " - ","JANITORIAL SUPPLIES")</f>
        <v xml:space="preserve">          6237 - JANITORIAL SUPPLIES</v>
      </c>
      <c r="C127" s="15"/>
      <c r="D127" s="2"/>
      <c r="E127" s="2"/>
      <c r="F127" s="2"/>
      <c r="G127" s="2"/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9"/>
      <c r="Q127" s="2">
        <f>SUM(OSRRefD21_14_2x)+IFERROR(SUM(OSRRefE21_14_2x),0)</f>
        <v>0</v>
      </c>
    </row>
    <row r="128" spans="1:17" s="34" customFormat="1" hidden="1" outlineLevel="1" x14ac:dyDescent="0.25">
      <c r="A128" s="35"/>
      <c r="B128" s="13" t="str">
        <f>CONCATENATE("          ","6241", " - ","OFFICE EXPENSE")</f>
        <v xml:space="preserve">          6241 - OFFICE EXPENSE</v>
      </c>
      <c r="C128" s="15"/>
      <c r="D128" s="2">
        <v>48.38</v>
      </c>
      <c r="E128" s="2">
        <v>58.15</v>
      </c>
      <c r="F128" s="2">
        <v>31.83</v>
      </c>
      <c r="G128" s="2">
        <v>20.16</v>
      </c>
      <c r="H128" s="2">
        <v>50</v>
      </c>
      <c r="I128" s="2">
        <v>50</v>
      </c>
      <c r="J128" s="2">
        <v>50</v>
      </c>
      <c r="K128" s="2">
        <v>50</v>
      </c>
      <c r="L128" s="2">
        <v>50</v>
      </c>
      <c r="M128" s="2">
        <v>50</v>
      </c>
      <c r="N128" s="2">
        <v>50</v>
      </c>
      <c r="O128" s="2">
        <v>50</v>
      </c>
      <c r="P128" s="9"/>
      <c r="Q128" s="2">
        <f>SUM(OSRRefD21_14_3x)+IFERROR(SUM(OSRRefE21_14_3x),0)</f>
        <v>558.52</v>
      </c>
    </row>
    <row r="129" spans="1:17" s="34" customFormat="1" hidden="1" outlineLevel="1" x14ac:dyDescent="0.25">
      <c r="A129" s="35"/>
      <c r="B129" s="13" t="str">
        <f>CONCATENATE("          ","6243", " - ","PAPER SUPPLIES")</f>
        <v xml:space="preserve">          6243 - PAPER SUPPLIES</v>
      </c>
      <c r="C129" s="15"/>
      <c r="D129" s="2"/>
      <c r="E129" s="2"/>
      <c r="F129" s="2"/>
      <c r="G129" s="2"/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9"/>
      <c r="Q129" s="2">
        <f>SUM(OSRRefD21_14_4x)+IFERROR(SUM(OSRRefE21_14_4x),0)</f>
        <v>0</v>
      </c>
    </row>
    <row r="130" spans="1:17" s="34" customFormat="1" hidden="1" outlineLevel="1" x14ac:dyDescent="0.25">
      <c r="A130" s="35"/>
      <c r="B130" s="13" t="str">
        <f>CONCATENATE("          ","6245", " - ","PRINTING")</f>
        <v xml:space="preserve">          6245 - PRINTING</v>
      </c>
      <c r="C130" s="15"/>
      <c r="D130" s="2"/>
      <c r="E130" s="2"/>
      <c r="F130" s="2"/>
      <c r="G130" s="2"/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9"/>
      <c r="Q130" s="2">
        <f>SUM(OSRRefD21_14_5x)+IFERROR(SUM(OSRRefE21_14_5x),0)</f>
        <v>0</v>
      </c>
    </row>
    <row r="131" spans="1:17" s="34" customFormat="1" hidden="1" outlineLevel="1" x14ac:dyDescent="0.25">
      <c r="A131" s="35"/>
      <c r="B131" s="13" t="str">
        <f>CONCATENATE("          ","6247", " - ","STORE SUPPLIES")</f>
        <v xml:space="preserve">          6247 - STORE SUPPLIES</v>
      </c>
      <c r="C131" s="15"/>
      <c r="D131" s="2"/>
      <c r="E131" s="2"/>
      <c r="F131" s="2"/>
      <c r="G131" s="2">
        <v>186.71</v>
      </c>
      <c r="H131" s="2">
        <v>50</v>
      </c>
      <c r="I131" s="2">
        <v>50</v>
      </c>
      <c r="J131" s="2">
        <v>50</v>
      </c>
      <c r="K131" s="2">
        <v>50</v>
      </c>
      <c r="L131" s="2">
        <v>50</v>
      </c>
      <c r="M131" s="2">
        <v>50</v>
      </c>
      <c r="N131" s="2">
        <v>50</v>
      </c>
      <c r="O131" s="2">
        <v>50</v>
      </c>
      <c r="P131" s="9"/>
      <c r="Q131" s="2">
        <f>SUM(OSRRefD21_14_6x)+IFERROR(SUM(OSRRefE21_14_6x),0)</f>
        <v>586.71</v>
      </c>
    </row>
    <row r="132" spans="1:17" s="34" customFormat="1" collapsed="1" x14ac:dyDescent="0.25">
      <c r="A132" s="35"/>
      <c r="B132" s="15" t="str">
        <f>CONCATENATE("     ","Telephone/Data Lines                              ")</f>
        <v xml:space="preserve">     Telephone/Data Lines                              </v>
      </c>
      <c r="C132" s="15"/>
      <c r="D132" s="1">
        <f>SUM(OSRRefD21_15x_0)</f>
        <v>514.22</v>
      </c>
      <c r="E132" s="1">
        <f>SUM(OSRRefD21_15x_1)</f>
        <v>481.56</v>
      </c>
      <c r="F132" s="1">
        <f>SUM(OSRRefD21_15x_2)</f>
        <v>750</v>
      </c>
      <c r="G132" s="1">
        <f>SUM(OSRRefD21_15x_3)</f>
        <v>274.55</v>
      </c>
      <c r="H132" s="1">
        <f>SUM(OSRRefE21_15x_0)</f>
        <v>600</v>
      </c>
      <c r="I132" s="1">
        <f>SUM(OSRRefE21_15x_1)</f>
        <v>600</v>
      </c>
      <c r="J132" s="1">
        <f>SUM(OSRRefE21_15x_2)</f>
        <v>600</v>
      </c>
      <c r="K132" s="1">
        <f>SUM(OSRRefE21_15x_3)</f>
        <v>600</v>
      </c>
      <c r="L132" s="1">
        <f>SUM(OSRRefE21_15x_4)</f>
        <v>600</v>
      </c>
      <c r="M132" s="1">
        <f>SUM(OSRRefE21_15x_5)</f>
        <v>600</v>
      </c>
      <c r="N132" s="1">
        <f>SUM(OSRRefE21_15x_6)</f>
        <v>600</v>
      </c>
      <c r="O132" s="1">
        <f>SUM(OSRRefE21_15x_7)</f>
        <v>600</v>
      </c>
      <c r="Q132" s="2">
        <f>SUM(OSRRefD20_15x)+IFERROR(SUM(OSRRefE20_15x),0)</f>
        <v>6820.33</v>
      </c>
    </row>
    <row r="133" spans="1:17" s="34" customFormat="1" hidden="1" outlineLevel="1" x14ac:dyDescent="0.25">
      <c r="A133" s="35"/>
      <c r="B133" s="13" t="str">
        <f>CONCATENATE("          ","6309", " - ","TELEPHONE")</f>
        <v xml:space="preserve">          6309 - TELEPHONE</v>
      </c>
      <c r="C133" s="15"/>
      <c r="D133" s="2">
        <v>514.22</v>
      </c>
      <c r="E133" s="2">
        <v>481.56</v>
      </c>
      <c r="F133" s="2">
        <v>750</v>
      </c>
      <c r="G133" s="2">
        <v>274.55</v>
      </c>
      <c r="H133" s="2">
        <v>600</v>
      </c>
      <c r="I133" s="2">
        <v>600</v>
      </c>
      <c r="J133" s="2">
        <v>600</v>
      </c>
      <c r="K133" s="2">
        <v>600</v>
      </c>
      <c r="L133" s="2">
        <v>600</v>
      </c>
      <c r="M133" s="2">
        <v>600</v>
      </c>
      <c r="N133" s="2">
        <v>600</v>
      </c>
      <c r="O133" s="2">
        <v>600</v>
      </c>
      <c r="P133" s="9"/>
      <c r="Q133" s="2">
        <f>SUM(OSRRefD21_15_0x)+IFERROR(SUM(OSRRefE21_15_0x),0)</f>
        <v>6820.33</v>
      </c>
    </row>
    <row r="134" spans="1:17" s="34" customFormat="1" collapsed="1" x14ac:dyDescent="0.25">
      <c r="A134" s="35"/>
      <c r="B134" s="15" t="str">
        <f>CONCATENATE("     ","Training                                          ")</f>
        <v xml:space="preserve">     Training                                          </v>
      </c>
      <c r="C134" s="15"/>
      <c r="D134" s="1">
        <f>SUM(OSRRefD21_16x_0)</f>
        <v>0</v>
      </c>
      <c r="E134" s="1">
        <f>SUM(OSRRefD21_16x_1)</f>
        <v>0</v>
      </c>
      <c r="F134" s="1">
        <f>SUM(OSRRefD21_16x_2)</f>
        <v>0</v>
      </c>
      <c r="G134" s="1">
        <f>SUM(OSRRefD21_16x_3)</f>
        <v>0</v>
      </c>
      <c r="H134" s="1">
        <f>SUM(OSRRefE21_16x_0)</f>
        <v>0</v>
      </c>
      <c r="I134" s="1">
        <f>SUM(OSRRefE21_16x_1)</f>
        <v>0</v>
      </c>
      <c r="J134" s="1">
        <f>SUM(OSRRefE21_16x_2)</f>
        <v>0</v>
      </c>
      <c r="K134" s="1">
        <f>SUM(OSRRefE21_16x_3)</f>
        <v>0</v>
      </c>
      <c r="L134" s="1">
        <f>SUM(OSRRefE21_16x_4)</f>
        <v>0</v>
      </c>
      <c r="M134" s="1">
        <f>SUM(OSRRefE21_16x_5)</f>
        <v>0</v>
      </c>
      <c r="N134" s="1">
        <f>SUM(OSRRefE21_16x_6)</f>
        <v>0</v>
      </c>
      <c r="O134" s="1">
        <f>SUM(OSRRefE21_16x_7)</f>
        <v>0</v>
      </c>
      <c r="Q134" s="2">
        <f>SUM(OSRRefD20_16x)+IFERROR(SUM(OSRRefE20_16x),0)</f>
        <v>0</v>
      </c>
    </row>
    <row r="135" spans="1:17" s="34" customFormat="1" hidden="1" outlineLevel="1" x14ac:dyDescent="0.25">
      <c r="A135" s="35"/>
      <c r="B135" s="13" t="str">
        <f>CONCATENATE("          ","6376", " - ","TRAINING")</f>
        <v xml:space="preserve">          6376 - TRAINING</v>
      </c>
      <c r="C135" s="15"/>
      <c r="D135" s="2"/>
      <c r="E135" s="2"/>
      <c r="F135" s="2"/>
      <c r="G135" s="2"/>
      <c r="H135" s="2"/>
      <c r="I135" s="2">
        <v>0</v>
      </c>
      <c r="J135" s="2">
        <v>0</v>
      </c>
      <c r="K135" s="2"/>
      <c r="L135" s="2"/>
      <c r="M135" s="2"/>
      <c r="N135" s="2"/>
      <c r="O135" s="2"/>
      <c r="P135" s="9"/>
      <c r="Q135" s="2">
        <f>SUM(OSRRefD21_16_0x)+IFERROR(SUM(OSRRefE21_16_0x),0)</f>
        <v>0</v>
      </c>
    </row>
    <row r="136" spans="1:17" s="34" customFormat="1" collapsed="1" x14ac:dyDescent="0.25">
      <c r="A136" s="35"/>
      <c r="B136" s="15" t="str">
        <f>CONCATENATE("     ","Travel                                            ")</f>
        <v xml:space="preserve">     Travel                                            </v>
      </c>
      <c r="C136" s="15"/>
      <c r="D136" s="1">
        <f>SUM(OSRRefD21_17x_0)</f>
        <v>0</v>
      </c>
      <c r="E136" s="1">
        <f>SUM(OSRRefD21_17x_1)</f>
        <v>0</v>
      </c>
      <c r="F136" s="1">
        <f>SUM(OSRRefD21_17x_2)</f>
        <v>0</v>
      </c>
      <c r="G136" s="1">
        <f>SUM(OSRRefD21_17x_3)</f>
        <v>0</v>
      </c>
      <c r="H136" s="1">
        <f>SUM(OSRRefE21_17x_0)</f>
        <v>0</v>
      </c>
      <c r="I136" s="1">
        <f>SUM(OSRRefE21_17x_1)</f>
        <v>0</v>
      </c>
      <c r="J136" s="1">
        <f>SUM(OSRRefE21_17x_2)</f>
        <v>0</v>
      </c>
      <c r="K136" s="1">
        <f>SUM(OSRRefE21_17x_3)</f>
        <v>0</v>
      </c>
      <c r="L136" s="1">
        <f>SUM(OSRRefE21_17x_4)</f>
        <v>0</v>
      </c>
      <c r="M136" s="1">
        <f>SUM(OSRRefE21_17x_5)</f>
        <v>0</v>
      </c>
      <c r="N136" s="1">
        <f>SUM(OSRRefE21_17x_6)</f>
        <v>0</v>
      </c>
      <c r="O136" s="1">
        <f>SUM(OSRRefE21_17x_7)</f>
        <v>0</v>
      </c>
      <c r="Q136" s="2">
        <f>SUM(OSRRefD20_17x)+IFERROR(SUM(OSRRefE20_17x),0)</f>
        <v>0</v>
      </c>
    </row>
    <row r="137" spans="1:17" s="34" customFormat="1" hidden="1" outlineLevel="1" x14ac:dyDescent="0.25">
      <c r="A137" s="35"/>
      <c r="B137" s="13" t="str">
        <f>CONCATENATE("          ","6294", " - ","TRAVEL OPERATIONAL")</f>
        <v xml:space="preserve">          6294 - TRAVEL OPERATIONAL</v>
      </c>
      <c r="C137" s="15"/>
      <c r="D137" s="2"/>
      <c r="E137" s="2"/>
      <c r="F137" s="2"/>
      <c r="G137" s="2"/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9"/>
      <c r="Q137" s="2">
        <f>SUM(OSRRefD21_17_0x)+IFERROR(SUM(OSRRefE21_17_0x),0)</f>
        <v>0</v>
      </c>
    </row>
    <row r="138" spans="1:17" s="34" customFormat="1" hidden="1" outlineLevel="1" x14ac:dyDescent="0.25">
      <c r="A138" s="35"/>
      <c r="B138" s="13" t="str">
        <f>CONCATENATE("          ","6298", " - ","VEHICLE MILEAGE")</f>
        <v xml:space="preserve">          6298 - VEHICLE MILEAGE</v>
      </c>
      <c r="C138" s="15"/>
      <c r="D138" s="2"/>
      <c r="E138" s="2"/>
      <c r="F138" s="2"/>
      <c r="G138" s="2"/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9"/>
      <c r="Q138" s="2">
        <f>SUM(OSRRefD21_17_1x)+IFERROR(SUM(OSRRefE21_17_1x),0)</f>
        <v>0</v>
      </c>
    </row>
    <row r="139" spans="1:17" s="28" customFormat="1" x14ac:dyDescent="0.25">
      <c r="A139" s="20"/>
      <c r="B139" s="20"/>
      <c r="C139" s="20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Q139" s="1"/>
    </row>
    <row r="140" spans="1:17" s="9" customFormat="1" x14ac:dyDescent="0.25">
      <c r="A140" s="22"/>
      <c r="B140" s="16" t="s">
        <v>0</v>
      </c>
      <c r="C140" s="23"/>
      <c r="D140" s="3">
        <f>--172008.31</f>
        <v>172008.31</v>
      </c>
      <c r="E140" s="3">
        <f t="shared" ref="E140:F140" si="12">0</f>
        <v>0</v>
      </c>
      <c r="F140" s="3">
        <f t="shared" si="12"/>
        <v>0</v>
      </c>
      <c r="G140" s="3">
        <f>--20979.2</f>
        <v>20979.200000000001</v>
      </c>
      <c r="H140" s="3">
        <v>8075</v>
      </c>
      <c r="I140" s="3">
        <v>181695</v>
      </c>
      <c r="J140" s="3">
        <v>8075</v>
      </c>
      <c r="K140" s="3">
        <v>8075</v>
      </c>
      <c r="L140" s="3">
        <v>181695</v>
      </c>
      <c r="M140" s="3">
        <v>8075</v>
      </c>
      <c r="N140" s="3">
        <v>8075</v>
      </c>
      <c r="O140" s="3">
        <v>221695</v>
      </c>
      <c r="Q140" s="2">
        <f>SUM(OSRRefD23_0x)+IFERROR(SUM(OSRRefE23_0x),0)</f>
        <v>818447.51</v>
      </c>
    </row>
    <row r="141" spans="1:17" x14ac:dyDescent="0.25">
      <c r="A141" s="5"/>
      <c r="B141" s="8"/>
      <c r="C141" s="8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Q141" s="3"/>
    </row>
    <row r="142" spans="1:17" s="14" customFormat="1" x14ac:dyDescent="0.25">
      <c r="A142" s="8"/>
      <c r="B142" s="17" t="s">
        <v>3</v>
      </c>
      <c r="C142" s="17"/>
      <c r="D142" s="6">
        <f t="shared" ref="D142:O142" si="13">IFERROR(+D71-D74+D140, 0)</f>
        <v>180028.35999999996</v>
      </c>
      <c r="E142" s="6">
        <f t="shared" si="13"/>
        <v>56376.299999999959</v>
      </c>
      <c r="F142" s="6">
        <f t="shared" si="13"/>
        <v>-12611.210000000021</v>
      </c>
      <c r="G142" s="6">
        <f t="shared" si="13"/>
        <v>11648.599999999959</v>
      </c>
      <c r="H142" s="6">
        <f t="shared" si="13"/>
        <v>33799.009426923076</v>
      </c>
      <c r="I142" s="6">
        <f t="shared" si="13"/>
        <v>191863.90882307696</v>
      </c>
      <c r="J142" s="6">
        <f t="shared" si="13"/>
        <v>-50116.136465346164</v>
      </c>
      <c r="K142" s="6">
        <f t="shared" si="13"/>
        <v>6856.6673049231031</v>
      </c>
      <c r="L142" s="6">
        <f t="shared" si="13"/>
        <v>181766.76558092309</v>
      </c>
      <c r="M142" s="6">
        <f t="shared" si="13"/>
        <v>-15406.899259346173</v>
      </c>
      <c r="N142" s="6">
        <f t="shared" si="13"/>
        <v>30428.516916923109</v>
      </c>
      <c r="O142" s="6">
        <f t="shared" si="13"/>
        <v>251819.80390212309</v>
      </c>
      <c r="Q142" s="6">
        <f>IFERROR(+Q71-Q74+Q140, 0)</f>
        <v>866453.68623020046</v>
      </c>
    </row>
    <row r="143" spans="1:17" s="8" customFormat="1" x14ac:dyDescent="0.25">
      <c r="B143" s="16"/>
      <c r="C143" s="16"/>
      <c r="D143" s="4">
        <f t="shared" ref="D143:O143" si="14">IFERROR(D142/D10, 0)</f>
        <v>1.217221649203978</v>
      </c>
      <c r="E143" s="4">
        <f t="shared" si="14"/>
        <v>0.19557378933856534</v>
      </c>
      <c r="F143" s="4">
        <f t="shared" si="14"/>
        <v>-0.13444590414830848</v>
      </c>
      <c r="G143" s="4">
        <f t="shared" si="14"/>
        <v>0.12054598890636603</v>
      </c>
      <c r="H143" s="4">
        <f t="shared" si="14"/>
        <v>0.12944108698053761</v>
      </c>
      <c r="I143" s="4">
        <f t="shared" si="14"/>
        <v>0.84416675681786046</v>
      </c>
      <c r="J143" s="4">
        <f t="shared" si="14"/>
        <v>-0.38257760897543563</v>
      </c>
      <c r="K143" s="4">
        <f t="shared" si="14"/>
        <v>2.8376369555992365E-2</v>
      </c>
      <c r="L143" s="4">
        <f t="shared" si="14"/>
        <v>0.80286383086830759</v>
      </c>
      <c r="M143" s="4">
        <f t="shared" si="14"/>
        <v>-7.2730316184908009E-2</v>
      </c>
      <c r="N143" s="4">
        <f t="shared" si="14"/>
        <v>0.10884392643080798</v>
      </c>
      <c r="O143" s="4">
        <f t="shared" si="14"/>
        <v>1.0535247374851402</v>
      </c>
      <c r="P143" s="18"/>
      <c r="Q143" s="4">
        <f>IFERROR(Q142/Q10, 0)</f>
        <v>0.35445861684114782</v>
      </c>
    </row>
    <row r="144" spans="1:17" x14ac:dyDescent="0.25">
      <c r="A144" s="5"/>
      <c r="B144" s="8"/>
      <c r="C144" s="5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Q144" s="3"/>
    </row>
    <row r="145" spans="1:17" s="14" customFormat="1" x14ac:dyDescent="0.25">
      <c r="A145" s="25"/>
      <c r="B145" s="8" t="s">
        <v>8</v>
      </c>
      <c r="C145" s="8"/>
      <c r="D145" s="3">
        <v>75751.090000000011</v>
      </c>
      <c r="E145" s="3">
        <v>-2110.92</v>
      </c>
      <c r="F145" s="3">
        <v>24538.2</v>
      </c>
      <c r="G145" s="3">
        <v>37555.699999999997</v>
      </c>
      <c r="H145" s="3">
        <v>66604</v>
      </c>
      <c r="I145" s="3">
        <v>62136.999999999993</v>
      </c>
      <c r="J145" s="3">
        <v>10304</v>
      </c>
      <c r="K145" s="3">
        <v>58930</v>
      </c>
      <c r="L145" s="3">
        <v>63690</v>
      </c>
      <c r="M145" s="3">
        <v>72190</v>
      </c>
      <c r="N145" s="3">
        <v>86067</v>
      </c>
      <c r="O145" s="3">
        <v>-4490</v>
      </c>
      <c r="Q145" s="2">
        <f>SUM(OSRRefD28_0x)+IFERROR(SUM(OSRRefE28_0x),0)</f>
        <v>551166.07000000007</v>
      </c>
    </row>
    <row r="146" spans="1:17" x14ac:dyDescent="0.25">
      <c r="A146" s="5"/>
      <c r="B146" s="8"/>
      <c r="C146" s="8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Q146" s="3"/>
    </row>
    <row r="147" spans="1:17" s="14" customFormat="1" ht="15.75" thickBot="1" x14ac:dyDescent="0.3">
      <c r="A147" s="8"/>
      <c r="B147" s="17" t="s">
        <v>4</v>
      </c>
      <c r="C147" s="17"/>
      <c r="D147" s="7">
        <f t="shared" ref="D147:O147" si="15">IFERROR(+D142-D145, 0)</f>
        <v>104277.26999999995</v>
      </c>
      <c r="E147" s="7">
        <f t="shared" si="15"/>
        <v>58487.219999999958</v>
      </c>
      <c r="F147" s="7">
        <f t="shared" si="15"/>
        <v>-37149.410000000018</v>
      </c>
      <c r="G147" s="7">
        <f t="shared" si="15"/>
        <v>-25907.100000000039</v>
      </c>
      <c r="H147" s="7">
        <f t="shared" si="15"/>
        <v>-32804.990573076924</v>
      </c>
      <c r="I147" s="7">
        <f t="shared" si="15"/>
        <v>129726.90882307696</v>
      </c>
      <c r="J147" s="7">
        <f t="shared" si="15"/>
        <v>-60420.136465346164</v>
      </c>
      <c r="K147" s="7">
        <f t="shared" si="15"/>
        <v>-52073.332695076897</v>
      </c>
      <c r="L147" s="7">
        <f t="shared" si="15"/>
        <v>118076.76558092309</v>
      </c>
      <c r="M147" s="7">
        <f t="shared" si="15"/>
        <v>-87596.899259346173</v>
      </c>
      <c r="N147" s="7">
        <f t="shared" si="15"/>
        <v>-55638.483083076891</v>
      </c>
      <c r="O147" s="7">
        <f t="shared" si="15"/>
        <v>256309.80390212309</v>
      </c>
      <c r="Q147" s="7">
        <f>IFERROR(+Q142-Q145, 0)</f>
        <v>315287.61623020039</v>
      </c>
    </row>
    <row r="148" spans="1:17" ht="15.75" thickTop="1" x14ac:dyDescent="0.25">
      <c r="A148" s="5"/>
      <c r="B148" s="5"/>
      <c r="C148" s="5"/>
      <c r="D148" s="4">
        <f t="shared" ref="D148:O148" si="16">IFERROR(D147/D10, 0)</f>
        <v>0.70504753008852861</v>
      </c>
      <c r="E148" s="4">
        <f t="shared" si="16"/>
        <v>0.20289673574318154</v>
      </c>
      <c r="F148" s="4">
        <f t="shared" si="16"/>
        <v>-0.39604336269289048</v>
      </c>
      <c r="G148" s="4">
        <f t="shared" si="16"/>
        <v>-0.26810062919115868</v>
      </c>
      <c r="H148" s="4">
        <f t="shared" si="16"/>
        <v>-0.12563426296105903</v>
      </c>
      <c r="I148" s="4">
        <f t="shared" si="16"/>
        <v>0.57077511119700175</v>
      </c>
      <c r="J148" s="4">
        <f t="shared" si="16"/>
        <v>-0.46123649932323252</v>
      </c>
      <c r="K148" s="4">
        <f t="shared" si="16"/>
        <v>-0.21550588162658618</v>
      </c>
      <c r="L148" s="4">
        <f t="shared" si="16"/>
        <v>0.52154509130347038</v>
      </c>
      <c r="M148" s="4">
        <f t="shared" si="16"/>
        <v>-0.41351280830145098</v>
      </c>
      <c r="N148" s="4">
        <f t="shared" si="16"/>
        <v>-0.1990209045005451</v>
      </c>
      <c r="O148" s="4">
        <f t="shared" si="16"/>
        <v>1.0723093048543804</v>
      </c>
      <c r="P148" s="18"/>
      <c r="Q148" s="4">
        <f>IFERROR(Q147/Q10, 0)</f>
        <v>0.12898140331346905</v>
      </c>
    </row>
    <row r="149" spans="1:17" x14ac:dyDescent="0.25">
      <c r="A149" s="5"/>
      <c r="B149" s="5"/>
      <c r="C149" s="5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Q149" s="3"/>
    </row>
    <row r="150" spans="1:17" x14ac:dyDescent="0.25">
      <c r="A150" s="5"/>
      <c r="B150" s="5"/>
      <c r="C150" s="5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Q150" s="3"/>
    </row>
    <row r="151" spans="1:17" s="14" customFormat="1" ht="15.75" thickBot="1" x14ac:dyDescent="0.3">
      <c r="A151" s="8"/>
      <c r="B151" s="17" t="s">
        <v>5</v>
      </c>
      <c r="C151" s="17"/>
      <c r="D151" s="7">
        <f t="shared" ref="D151:O151" si="17">IFERROR(SUM(D147:D150), 0)</f>
        <v>104277.97504753004</v>
      </c>
      <c r="E151" s="7">
        <f t="shared" si="17"/>
        <v>58487.422896735698</v>
      </c>
      <c r="F151" s="7">
        <f t="shared" si="17"/>
        <v>-37149.806043362711</v>
      </c>
      <c r="G151" s="7">
        <f t="shared" si="17"/>
        <v>-25907.368100629228</v>
      </c>
      <c r="H151" s="7">
        <f t="shared" si="17"/>
        <v>-32805.116207339888</v>
      </c>
      <c r="I151" s="7">
        <f t="shared" si="17"/>
        <v>129727.47959818815</v>
      </c>
      <c r="J151" s="7">
        <f t="shared" si="17"/>
        <v>-60420.597701845487</v>
      </c>
      <c r="K151" s="7">
        <f t="shared" si="17"/>
        <v>-52073.548200958525</v>
      </c>
      <c r="L151" s="7">
        <f t="shared" si="17"/>
        <v>118077.2871260144</v>
      </c>
      <c r="M151" s="7">
        <f t="shared" si="17"/>
        <v>-87597.312772154473</v>
      </c>
      <c r="N151" s="7">
        <f t="shared" si="17"/>
        <v>-55638.682103981395</v>
      </c>
      <c r="O151" s="7">
        <f t="shared" si="17"/>
        <v>256310.87621142794</v>
      </c>
      <c r="Q151" s="7">
        <f>IFERROR(SUM(Q147:Q150), 0)</f>
        <v>315287.7452116037</v>
      </c>
    </row>
    <row r="152" spans="1:17" ht="15.75" thickTop="1" x14ac:dyDescent="0.25">
      <c r="A152" s="5"/>
      <c r="C152" s="5"/>
      <c r="D152" s="4">
        <f t="shared" ref="D152:O152" si="18">IFERROR(D151/D10, 0)</f>
        <v>0.70505229711033202</v>
      </c>
      <c r="E152" s="4">
        <f t="shared" si="18"/>
        <v>0.20289743960780998</v>
      </c>
      <c r="F152" s="4">
        <f t="shared" si="18"/>
        <v>-0.39604758484191338</v>
      </c>
      <c r="G152" s="4">
        <f t="shared" si="18"/>
        <v>-0.2681034036409185</v>
      </c>
      <c r="H152" s="4">
        <f t="shared" si="18"/>
        <v>-0.1256347441063895</v>
      </c>
      <c r="I152" s="4">
        <f t="shared" si="18"/>
        <v>0.57077762250502961</v>
      </c>
      <c r="J152" s="4">
        <f t="shared" si="18"/>
        <v>-0.46124002032005168</v>
      </c>
      <c r="K152" s="4">
        <f t="shared" si="18"/>
        <v>-0.21550677349930897</v>
      </c>
      <c r="L152" s="4">
        <f t="shared" si="18"/>
        <v>0.521547394968217</v>
      </c>
      <c r="M152" s="4">
        <f t="shared" si="18"/>
        <v>-0.41351476034363599</v>
      </c>
      <c r="N152" s="4">
        <f t="shared" si="18"/>
        <v>-0.19902161640565527</v>
      </c>
      <c r="O152" s="4">
        <f t="shared" si="18"/>
        <v>1.0723137910161569</v>
      </c>
      <c r="P152" s="18"/>
      <c r="Q152" s="4">
        <f>IFERROR(Q151/Q10, 0)</f>
        <v>0.12898145607863187</v>
      </c>
    </row>
    <row r="153" spans="1:17" x14ac:dyDescent="0.25">
      <c r="A153" s="5"/>
      <c r="B153" s="26">
        <v>44151.564852314812</v>
      </c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Q153" s="12"/>
    </row>
    <row r="154" spans="1:17" x14ac:dyDescent="0.25">
      <c r="A154" s="5"/>
      <c r="B154" s="30" t="s">
        <v>311</v>
      </c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Q154" s="12"/>
    </row>
    <row r="155" spans="1:17" x14ac:dyDescent="0.25">
      <c r="A155" s="5"/>
      <c r="B155" s="31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Q155" s="12"/>
    </row>
    <row r="156" spans="1:17" x14ac:dyDescent="0.25"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Q156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2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","326", " - ", "2nd Street Store")</f>
        <v>Department 326 - 2nd Street Store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26879.770000000004</v>
      </c>
      <c r="E10" s="3">
        <f>SUM(OSRRefD11x_1)</f>
        <v>22797.32</v>
      </c>
      <c r="F10" s="3">
        <f>SUM(OSRRefD11x_2)</f>
        <v>19966.789999999997</v>
      </c>
      <c r="G10" s="3">
        <f>SUM(OSRRefD11x_3)</f>
        <v>18777.980000000003</v>
      </c>
      <c r="H10" s="3">
        <f>SUM(OSRRefE11x_0)</f>
        <v>35587.199999999997</v>
      </c>
      <c r="I10" s="3">
        <f>SUM(OSRRefE11x_1)</f>
        <v>48959</v>
      </c>
      <c r="J10" s="3">
        <f>SUM(OSRRefE11x_2)</f>
        <v>70557.3</v>
      </c>
      <c r="K10" s="3">
        <f>SUM(OSRRefE11x_3)</f>
        <v>40934.300000000003</v>
      </c>
      <c r="L10" s="3">
        <f>SUM(OSRRefE11x_4)</f>
        <v>39388.800000000003</v>
      </c>
      <c r="M10" s="3">
        <f>SUM(OSRRefE11x_5)</f>
        <v>49357</v>
      </c>
      <c r="N10" s="3">
        <f>SUM(OSRRefE11x_6)</f>
        <v>57632.3</v>
      </c>
      <c r="O10" s="3">
        <f>SUM(OSRRefE11x_7)</f>
        <v>53816</v>
      </c>
      <c r="P10" s="24"/>
      <c r="Q10" s="3">
        <f>SUM(OSRRefG11x)</f>
        <v>484653.76000000007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-350.33</f>
        <v>-350.33</v>
      </c>
      <c r="E11" s="2">
        <f>-295.67</f>
        <v>-295.67</v>
      </c>
      <c r="F11" s="2">
        <f>0</f>
        <v>0</v>
      </c>
      <c r="G11" s="2">
        <f>-1856.95</f>
        <v>-1856.95</v>
      </c>
      <c r="H11" s="2">
        <v>35587.199999999997</v>
      </c>
      <c r="I11" s="2">
        <v>48959</v>
      </c>
      <c r="J11" s="2">
        <v>70557.3</v>
      </c>
      <c r="K11" s="2">
        <v>40934.300000000003</v>
      </c>
      <c r="L11" s="2">
        <v>39388.800000000003</v>
      </c>
      <c r="M11" s="2">
        <v>49357</v>
      </c>
      <c r="N11" s="2">
        <v>57632.3</v>
      </c>
      <c r="O11" s="2">
        <v>53816</v>
      </c>
      <c r="Q11" s="2">
        <f>SUM(OSRRefD11_0x)+IFERROR(SUM(OSRRefE11_0x),0)</f>
        <v>393728.94999999995</v>
      </c>
    </row>
    <row r="12" spans="1:18" s="9" customFormat="1" hidden="1" outlineLevel="1" x14ac:dyDescent="0.25">
      <c r="A12" s="22"/>
      <c r="B12" s="13" t="str">
        <f>CONCATENATE("          ","4026", " - ","TAXABLE SALES-WRITING INSTRUME")</f>
        <v xml:space="preserve">          4026 - TAXABLE SALES-WRITING INSTRUME</v>
      </c>
      <c r="C12" s="23"/>
      <c r="D12" s="2">
        <f>--14.57</f>
        <v>14.57</v>
      </c>
      <c r="E12" s="2">
        <f>0</f>
        <v>0</v>
      </c>
      <c r="F12" s="2">
        <f>--3.96</f>
        <v>3.96</v>
      </c>
      <c r="G12" s="2">
        <f>--20.8</f>
        <v>20.8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39.33</v>
      </c>
    </row>
    <row r="13" spans="1:18" s="9" customFormat="1" hidden="1" outlineLevel="1" x14ac:dyDescent="0.25">
      <c r="A13" s="22"/>
      <c r="B13" s="13" t="str">
        <f>CONCATENATE("          ","4027", " - ","TAXABLE SALES-SCHOOL SUPPLIES")</f>
        <v xml:space="preserve">          4027 - TAXABLE SALES-SCHOOL SUPPLIES</v>
      </c>
      <c r="C13" s="23"/>
      <c r="D13" s="2">
        <f>0</f>
        <v>0</v>
      </c>
      <c r="E13" s="2">
        <f>--8.99</f>
        <v>8.99</v>
      </c>
      <c r="F13" s="2">
        <f>--2.13</f>
        <v>2.13</v>
      </c>
      <c r="G13" s="2">
        <f>--6.34</f>
        <v>6.34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17.46</v>
      </c>
    </row>
    <row r="14" spans="1:18" s="9" customFormat="1" hidden="1" outlineLevel="1" x14ac:dyDescent="0.25">
      <c r="A14" s="22"/>
      <c r="B14" s="13" t="str">
        <f>CONCATENATE("          ","4040", " - ","TAXABLE SALES-LOGO CLOTHING")</f>
        <v xml:space="preserve">          4040 - TAXABLE SALES-LOGO CLOTHING</v>
      </c>
      <c r="C14" s="23"/>
      <c r="D14" s="2">
        <f>--21911.66</f>
        <v>21911.66</v>
      </c>
      <c r="E14" s="2">
        <f>--19174.41</f>
        <v>19174.41</v>
      </c>
      <c r="F14" s="2">
        <f>--15948.83</f>
        <v>15948.83</v>
      </c>
      <c r="G14" s="2">
        <f>--17665.29</f>
        <v>17665.29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74700.19</v>
      </c>
    </row>
    <row r="15" spans="1:18" s="9" customFormat="1" hidden="1" outlineLevel="1" x14ac:dyDescent="0.25">
      <c r="A15" s="22"/>
      <c r="B15" s="13" t="str">
        <f>CONCATENATE("          ","4041", " - ","TAXABLE SALES-LOGO GIFTS")</f>
        <v xml:space="preserve">          4041 - TAXABLE SALES-LOGO GIFTS</v>
      </c>
      <c r="C15" s="23"/>
      <c r="D15" s="2">
        <f>--4185.47</f>
        <v>4185.47</v>
      </c>
      <c r="E15" s="2">
        <f>--2843.88</f>
        <v>2843.88</v>
      </c>
      <c r="F15" s="2">
        <f>--2496</f>
        <v>2496</v>
      </c>
      <c r="G15" s="2">
        <f>--2498.25</f>
        <v>2498.25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12023.6</v>
      </c>
    </row>
    <row r="16" spans="1:18" s="9" customFormat="1" hidden="1" outlineLevel="1" x14ac:dyDescent="0.25">
      <c r="A16" s="22"/>
      <c r="B16" s="13" t="str">
        <f>CONCATENATE("          ","4042", " - ","TAXABLE SALES-EVERYDAY GIFTS")</f>
        <v xml:space="preserve">          4042 - TAXABLE SALES-EVERYDAY GIFTS</v>
      </c>
      <c r="C16" s="23"/>
      <c r="D16" s="2">
        <f>--1599.33</f>
        <v>1599.33</v>
      </c>
      <c r="E16" s="2">
        <f>--1249.5</f>
        <v>1249.5</v>
      </c>
      <c r="F16" s="2">
        <f>--1438.73</f>
        <v>1438.73</v>
      </c>
      <c r="G16" s="2">
        <f>--305.46</f>
        <v>305.45999999999998</v>
      </c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4593.0199999999995</v>
      </c>
    </row>
    <row r="17" spans="1:17" s="9" customFormat="1" hidden="1" outlineLevel="1" x14ac:dyDescent="0.25">
      <c r="A17" s="22"/>
      <c r="B17" s="13" t="str">
        <f>CONCATENATE("          ","4043", " - ","TAXABLE SALES-CARDS")</f>
        <v xml:space="preserve">          4043 - TAXABLE SALES-CARDS</v>
      </c>
      <c r="C17" s="23"/>
      <c r="D17" s="2">
        <f>--29.99</f>
        <v>29.99</v>
      </c>
      <c r="E17" s="2">
        <f>--349.65</f>
        <v>349.65</v>
      </c>
      <c r="F17" s="2">
        <f>--247.77</f>
        <v>247.77</v>
      </c>
      <c r="G17" s="2">
        <f>--189.81</f>
        <v>189.81</v>
      </c>
      <c r="H17" s="2"/>
      <c r="I17" s="2"/>
      <c r="J17" s="2"/>
      <c r="K17" s="2"/>
      <c r="L17" s="2"/>
      <c r="M17" s="2"/>
      <c r="N17" s="2"/>
      <c r="O17" s="2"/>
      <c r="Q17" s="2">
        <f>SUM(OSRRefD11_6x)+IFERROR(SUM(OSRRefE11_6x),0)</f>
        <v>817.22</v>
      </c>
    </row>
    <row r="18" spans="1:17" s="9" customFormat="1" hidden="1" outlineLevel="1" x14ac:dyDescent="0.25">
      <c r="A18" s="22"/>
      <c r="B18" s="13" t="str">
        <f>CONCATENATE("          ","4044", " - ","TAXABLE SALES-ACCESSORIES")</f>
        <v xml:space="preserve">          4044 - TAXABLE SALES-ACCESSORIES</v>
      </c>
      <c r="C18" s="23"/>
      <c r="D18" s="2">
        <f>--297.48</f>
        <v>297.48</v>
      </c>
      <c r="E18" s="2">
        <f>--194.6</f>
        <v>194.6</v>
      </c>
      <c r="F18" s="2">
        <f>--290.39</f>
        <v>290.39</v>
      </c>
      <c r="G18" s="2">
        <f>--214.55</f>
        <v>214.55</v>
      </c>
      <c r="H18" s="2"/>
      <c r="I18" s="2"/>
      <c r="J18" s="2"/>
      <c r="K18" s="2"/>
      <c r="L18" s="2"/>
      <c r="M18" s="2"/>
      <c r="N18" s="2"/>
      <c r="O18" s="2"/>
      <c r="Q18" s="2">
        <f>SUM(OSRRefD11_7x)+IFERROR(SUM(OSRRefE11_7x),0)</f>
        <v>997.02</v>
      </c>
    </row>
    <row r="19" spans="1:17" s="9" customFormat="1" hidden="1" outlineLevel="1" x14ac:dyDescent="0.25">
      <c r="A19" s="22"/>
      <c r="B19" s="13" t="str">
        <f>CONCATENATE("          ","4045", " - ","TAXABLE SALES-SPECIAL ORDERS")</f>
        <v xml:space="preserve">          4045 - TAXABLE SALES-SPECIAL ORDERS</v>
      </c>
      <c r="C19" s="23"/>
      <c r="D19" s="2">
        <f t="shared" ref="D19:E19" si="0">0</f>
        <v>0</v>
      </c>
      <c r="E19" s="2">
        <f t="shared" si="0"/>
        <v>0</v>
      </c>
      <c r="F19" s="2">
        <f>--34.9</f>
        <v>34.9</v>
      </c>
      <c r="G19" s="2">
        <f>--236.62</f>
        <v>236.62</v>
      </c>
      <c r="H19" s="2"/>
      <c r="I19" s="2"/>
      <c r="J19" s="2"/>
      <c r="K19" s="2"/>
      <c r="L19" s="2"/>
      <c r="M19" s="2"/>
      <c r="N19" s="2"/>
      <c r="O19" s="2"/>
      <c r="Q19" s="2">
        <f>SUM(OSRRefD11_8x)+IFERROR(SUM(OSRRefE11_8x),0)</f>
        <v>271.52</v>
      </c>
    </row>
    <row r="20" spans="1:17" s="9" customFormat="1" hidden="1" outlineLevel="1" x14ac:dyDescent="0.25">
      <c r="A20" s="22"/>
      <c r="B20" s="13" t="str">
        <f>CONCATENATE("          ","4131", " - ","NON-TAXABLE SALES-FOOD")</f>
        <v xml:space="preserve">          4131 - NON-TAXABLE SALES-FOOD</v>
      </c>
      <c r="C20" s="23"/>
      <c r="D20" s="2">
        <f>--1.5</f>
        <v>1.5</v>
      </c>
      <c r="E20" s="2">
        <f>--9</f>
        <v>9</v>
      </c>
      <c r="F20" s="2">
        <f>--12</f>
        <v>12</v>
      </c>
      <c r="G20" s="2">
        <f>--7.5</f>
        <v>7.5</v>
      </c>
      <c r="H20" s="2"/>
      <c r="I20" s="2"/>
      <c r="J20" s="2"/>
      <c r="K20" s="2"/>
      <c r="L20" s="2"/>
      <c r="M20" s="2"/>
      <c r="N20" s="2"/>
      <c r="O20" s="2"/>
      <c r="Q20" s="2">
        <f>SUM(OSRRefD11_9x)+IFERROR(SUM(OSRRefE11_9x),0)</f>
        <v>30</v>
      </c>
    </row>
    <row r="21" spans="1:17" s="9" customFormat="1" hidden="1" outlineLevel="1" x14ac:dyDescent="0.25">
      <c r="A21" s="22"/>
      <c r="B21" s="13" t="str">
        <f>CONCATENATE("          ","4137", " - ","NON-TAXABLE SALES-WATER")</f>
        <v xml:space="preserve">          4137 - NON-TAXABLE SALES-WATER</v>
      </c>
      <c r="C21" s="23"/>
      <c r="D21" s="2">
        <f>--9</f>
        <v>9</v>
      </c>
      <c r="E21" s="2">
        <f t="shared" ref="E21:G21" si="1">0</f>
        <v>0</v>
      </c>
      <c r="F21" s="2">
        <f t="shared" si="1"/>
        <v>0</v>
      </c>
      <c r="G21" s="2">
        <f t="shared" si="1"/>
        <v>0</v>
      </c>
      <c r="H21" s="2"/>
      <c r="I21" s="2"/>
      <c r="J21" s="2"/>
      <c r="K21" s="2"/>
      <c r="L21" s="2"/>
      <c r="M21" s="2"/>
      <c r="N21" s="2"/>
      <c r="O21" s="2"/>
      <c r="Q21" s="2">
        <f>SUM(OSRRefD11_10x)+IFERROR(SUM(OSRRefE11_10x),0)</f>
        <v>9</v>
      </c>
    </row>
    <row r="22" spans="1:17" s="9" customFormat="1" hidden="1" outlineLevel="1" x14ac:dyDescent="0.25">
      <c r="A22" s="22"/>
      <c r="B22" s="13" t="str">
        <f>CONCATENATE("          ","4140", " - ","NON-TAXABLE SALES-LOGO CLOTHIN")</f>
        <v xml:space="preserve">          4140 - NON-TAXABLE SALES-LOGO CLOTHIN</v>
      </c>
      <c r="C22" s="23"/>
      <c r="D22" s="2">
        <f>--68.46</f>
        <v>68.459999999999994</v>
      </c>
      <c r="E22" s="2">
        <f>--14.98</f>
        <v>14.98</v>
      </c>
      <c r="F22" s="2">
        <f>--7.49</f>
        <v>7.49</v>
      </c>
      <c r="G22" s="2">
        <f>--49.9</f>
        <v>49.9</v>
      </c>
      <c r="H22" s="2"/>
      <c r="I22" s="2"/>
      <c r="J22" s="2"/>
      <c r="K22" s="2"/>
      <c r="L22" s="2"/>
      <c r="M22" s="2"/>
      <c r="N22" s="2"/>
      <c r="O22" s="2"/>
      <c r="Q22" s="2">
        <f>SUM(OSRRefD11_11x)+IFERROR(SUM(OSRRefE11_11x),0)</f>
        <v>140.82999999999998</v>
      </c>
    </row>
    <row r="23" spans="1:17" s="9" customFormat="1" hidden="1" outlineLevel="1" x14ac:dyDescent="0.25">
      <c r="A23" s="22"/>
      <c r="B23" s="13" t="str">
        <f>CONCATENATE("          ","4145", " - ","NON-TAXABLE SALES-SPECIAL ORDE")</f>
        <v xml:space="preserve">          4145 - NON-TAXABLE SALES-SPECIAL ORDE</v>
      </c>
      <c r="C23" s="23"/>
      <c r="D23" s="2">
        <f>--7</f>
        <v>7</v>
      </c>
      <c r="E23" s="2">
        <f t="shared" ref="E23:E25" si="2">0</f>
        <v>0</v>
      </c>
      <c r="F23" s="2">
        <f t="shared" ref="F23:G23" si="3">0</f>
        <v>0</v>
      </c>
      <c r="G23" s="2">
        <f t="shared" si="3"/>
        <v>0</v>
      </c>
      <c r="H23" s="2"/>
      <c r="I23" s="2"/>
      <c r="J23" s="2"/>
      <c r="K23" s="2"/>
      <c r="L23" s="2"/>
      <c r="M23" s="2"/>
      <c r="N23" s="2"/>
      <c r="O23" s="2"/>
      <c r="Q23" s="2">
        <f>SUM(OSRRefD11_12x)+IFERROR(SUM(OSRRefE11_12x),0)</f>
        <v>7</v>
      </c>
    </row>
    <row r="24" spans="1:17" s="9" customFormat="1" hidden="1" outlineLevel="1" x14ac:dyDescent="0.25">
      <c r="A24" s="22"/>
      <c r="B24" s="13" t="str">
        <f>CONCATENATE("          ","4226", " - ","SALES RETURN TAXABLE-WRITING I")</f>
        <v xml:space="preserve">          4226 - SALES RETURN TAXABLE-WRITING I</v>
      </c>
      <c r="C24" s="23"/>
      <c r="D24" s="2">
        <f>0</f>
        <v>0</v>
      </c>
      <c r="E24" s="2">
        <f t="shared" si="2"/>
        <v>0</v>
      </c>
      <c r="F24" s="2">
        <f>-22.49</f>
        <v>-22.49</v>
      </c>
      <c r="G24" s="2">
        <f>-5.36</f>
        <v>-5.36</v>
      </c>
      <c r="H24" s="2"/>
      <c r="I24" s="2"/>
      <c r="J24" s="2"/>
      <c r="K24" s="2"/>
      <c r="L24" s="2"/>
      <c r="M24" s="2"/>
      <c r="N24" s="2"/>
      <c r="O24" s="2"/>
      <c r="Q24" s="2">
        <f>SUM(OSRRefD11_13x)+IFERROR(SUM(OSRRefE11_13x),0)</f>
        <v>-27.849999999999998</v>
      </c>
    </row>
    <row r="25" spans="1:17" s="9" customFormat="1" hidden="1" outlineLevel="1" x14ac:dyDescent="0.25">
      <c r="A25" s="22"/>
      <c r="B25" s="13" t="str">
        <f>CONCATENATE("          ","4227", " - ","SALES RETURN TAXABLE-SCHOOL SU")</f>
        <v xml:space="preserve">          4227 - SALES RETURN TAXABLE-SCHOOL SU</v>
      </c>
      <c r="C25" s="23"/>
      <c r="D25" s="2">
        <f>-30</f>
        <v>-30</v>
      </c>
      <c r="E25" s="2">
        <f t="shared" si="2"/>
        <v>0</v>
      </c>
      <c r="F25" s="2">
        <f t="shared" ref="F25:G25" si="4">0</f>
        <v>0</v>
      </c>
      <c r="G25" s="2">
        <f t="shared" si="4"/>
        <v>0</v>
      </c>
      <c r="H25" s="2"/>
      <c r="I25" s="2"/>
      <c r="J25" s="2"/>
      <c r="K25" s="2"/>
      <c r="L25" s="2"/>
      <c r="M25" s="2"/>
      <c r="N25" s="2"/>
      <c r="O25" s="2"/>
      <c r="Q25" s="2">
        <f>SUM(OSRRefD11_14x)+IFERROR(SUM(OSRRefE11_14x),0)</f>
        <v>-30</v>
      </c>
    </row>
    <row r="26" spans="1:17" s="9" customFormat="1" hidden="1" outlineLevel="1" x14ac:dyDescent="0.25">
      <c r="A26" s="22"/>
      <c r="B26" s="13" t="str">
        <f>CONCATENATE("          ","4240", " - ","SALES RETURN TAXABLE-LOGO CLOT")</f>
        <v xml:space="preserve">          4240 - SALES RETURN TAXABLE-LOGO CLOT</v>
      </c>
      <c r="C26" s="23"/>
      <c r="D26" s="2">
        <f>-749.65</f>
        <v>-749.65</v>
      </c>
      <c r="E26" s="2">
        <f>-700.45</f>
        <v>-700.45</v>
      </c>
      <c r="F26" s="2">
        <f>-453.78</f>
        <v>-453.78</v>
      </c>
      <c r="G26" s="2">
        <f>-517.35</f>
        <v>-517.35</v>
      </c>
      <c r="H26" s="2"/>
      <c r="I26" s="2"/>
      <c r="J26" s="2"/>
      <c r="K26" s="2"/>
      <c r="L26" s="2"/>
      <c r="M26" s="2"/>
      <c r="N26" s="2"/>
      <c r="O26" s="2"/>
      <c r="Q26" s="2">
        <f>SUM(OSRRefD11_15x)+IFERROR(SUM(OSRRefE11_15x),0)</f>
        <v>-2421.23</v>
      </c>
    </row>
    <row r="27" spans="1:17" s="9" customFormat="1" hidden="1" outlineLevel="1" x14ac:dyDescent="0.25">
      <c r="A27" s="22"/>
      <c r="B27" s="13" t="str">
        <f>CONCATENATE("          ","4241", " - ","SALES RETURN TAXABLE-LOGO GIFT")</f>
        <v xml:space="preserve">          4241 - SALES RETURN TAXABLE-LOGO GIFT</v>
      </c>
      <c r="C27" s="23"/>
      <c r="D27" s="2">
        <f>-33.85</f>
        <v>-33.85</v>
      </c>
      <c r="E27" s="2">
        <f>-28.85</f>
        <v>-28.85</v>
      </c>
      <c r="F27" s="2">
        <f>-31.9</f>
        <v>-31.9</v>
      </c>
      <c r="G27" s="2">
        <f>-28.9</f>
        <v>-28.9</v>
      </c>
      <c r="H27" s="2"/>
      <c r="I27" s="2"/>
      <c r="J27" s="2"/>
      <c r="K27" s="2"/>
      <c r="L27" s="2"/>
      <c r="M27" s="2"/>
      <c r="N27" s="2"/>
      <c r="O27" s="2"/>
      <c r="Q27" s="2">
        <f>SUM(OSRRefD11_16x)+IFERROR(SUM(OSRRefE11_16x),0)</f>
        <v>-123.5</v>
      </c>
    </row>
    <row r="28" spans="1:17" s="9" customFormat="1" hidden="1" outlineLevel="1" x14ac:dyDescent="0.25">
      <c r="A28" s="22"/>
      <c r="B28" s="13" t="str">
        <f>CONCATENATE("          ","4242", " - ","SALES RETURN TAXABLE-EVERYDAY")</f>
        <v xml:space="preserve">          4242 - SALES RETURN TAXABLE-EVERYDAY</v>
      </c>
      <c r="C28" s="23"/>
      <c r="D28" s="2">
        <f>-73.86</f>
        <v>-73.86</v>
      </c>
      <c r="E28" s="2">
        <f>-22.72</f>
        <v>-22.72</v>
      </c>
      <c r="F28" s="2">
        <f>-7.24</f>
        <v>-7.24</v>
      </c>
      <c r="G28" s="2">
        <f>-7.98</f>
        <v>-7.98</v>
      </c>
      <c r="H28" s="2"/>
      <c r="I28" s="2"/>
      <c r="J28" s="2"/>
      <c r="K28" s="2"/>
      <c r="L28" s="2"/>
      <c r="M28" s="2"/>
      <c r="N28" s="2"/>
      <c r="O28" s="2"/>
      <c r="Q28" s="2">
        <f>SUM(OSRRefD11_17x)+IFERROR(SUM(OSRRefE11_17x),0)</f>
        <v>-111.8</v>
      </c>
    </row>
    <row r="29" spans="1:17" s="9" customFormat="1" hidden="1" outlineLevel="1" x14ac:dyDescent="0.25">
      <c r="A29" s="22"/>
      <c r="B29" s="13" t="str">
        <f>CONCATENATE("          ","4245", " - ","SALES RETURN TAXABLE-SPECIAL O")</f>
        <v xml:space="preserve">          4245 - SALES RETURN TAXABLE-SPECIAL O</v>
      </c>
      <c r="C29" s="23"/>
      <c r="D29" s="2">
        <f>-7</f>
        <v>-7</v>
      </c>
      <c r="E29" s="2">
        <f t="shared" ref="E29:G29" si="5">0</f>
        <v>0</v>
      </c>
      <c r="F29" s="2">
        <f t="shared" si="5"/>
        <v>0</v>
      </c>
      <c r="G29" s="2">
        <f t="shared" si="5"/>
        <v>0</v>
      </c>
      <c r="H29" s="2"/>
      <c r="I29" s="2"/>
      <c r="J29" s="2"/>
      <c r="K29" s="2"/>
      <c r="L29" s="2"/>
      <c r="M29" s="2"/>
      <c r="N29" s="2"/>
      <c r="O29" s="2"/>
      <c r="Q29" s="2">
        <f>SUM(OSRRefD11_18x)+IFERROR(SUM(OSRRefE11_18x),0)</f>
        <v>-7</v>
      </c>
    </row>
    <row r="30" spans="1:17" x14ac:dyDescent="0.25">
      <c r="A30" s="5"/>
      <c r="B30" s="8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s="9" customFormat="1" collapsed="1" x14ac:dyDescent="0.25">
      <c r="A31" s="22"/>
      <c r="B31" s="16" t="s">
        <v>290</v>
      </c>
      <c r="C31" s="23"/>
      <c r="D31" s="3">
        <f>SUM(OSRRefD14x_0)</f>
        <v>10370</v>
      </c>
      <c r="E31" s="3">
        <f>SUM(OSRRefD14x_1)</f>
        <v>8270</v>
      </c>
      <c r="F31" s="3">
        <f>SUM(OSRRefD14x_2)</f>
        <v>9366</v>
      </c>
      <c r="G31" s="3">
        <f>SUM(OSRRefD14x_3)</f>
        <v>7350</v>
      </c>
      <c r="H31" s="3">
        <f>SUM(OSRRefE14x_0)</f>
        <v>13911</v>
      </c>
      <c r="I31" s="3">
        <f>SUM(OSRRefE14x_1)</f>
        <v>19138</v>
      </c>
      <c r="J31" s="3">
        <f>SUM(OSRRefE14x_2)</f>
        <v>27581</v>
      </c>
      <c r="K31" s="3">
        <f>SUM(OSRRefE14x_3)</f>
        <v>16002</v>
      </c>
      <c r="L31" s="3">
        <f>SUM(OSRRefE14x_4)</f>
        <v>15398</v>
      </c>
      <c r="M31" s="3">
        <f>SUM(OSRRefE14x_5)</f>
        <v>19294</v>
      </c>
      <c r="N31" s="3">
        <f>SUM(OSRRefE14x_6)</f>
        <v>22529</v>
      </c>
      <c r="O31" s="3">
        <f>SUM(OSRRefE14x_7)</f>
        <v>23141</v>
      </c>
      <c r="Q31" s="3">
        <f>SUM(OSRRefG14x)</f>
        <v>192350</v>
      </c>
    </row>
    <row r="32" spans="1:17" s="9" customFormat="1" hidden="1" outlineLevel="1" x14ac:dyDescent="0.25">
      <c r="A32" s="22"/>
      <c r="B32" s="13" t="str">
        <f>CONCATENATE("          ","5000", " - ","PURCHASES @ COST")</f>
        <v xml:space="preserve">          5000 - PURCHASES @ COST</v>
      </c>
      <c r="C32" s="23"/>
      <c r="D32" s="2"/>
      <c r="E32" s="2"/>
      <c r="F32" s="2"/>
      <c r="G32" s="2"/>
      <c r="H32" s="2">
        <v>13911</v>
      </c>
      <c r="I32" s="2">
        <v>19138</v>
      </c>
      <c r="J32" s="2">
        <v>27581</v>
      </c>
      <c r="K32" s="2">
        <v>16002</v>
      </c>
      <c r="L32" s="2">
        <v>15398</v>
      </c>
      <c r="M32" s="2">
        <v>19294</v>
      </c>
      <c r="N32" s="2">
        <v>22529</v>
      </c>
      <c r="O32" s="2">
        <v>23141</v>
      </c>
      <c r="Q32" s="2">
        <f>SUM(OSRRefD14_0x)+IFERROR(SUM(OSRRefE14_0x),0)</f>
        <v>156994</v>
      </c>
    </row>
    <row r="33" spans="1:17" s="9" customFormat="1" hidden="1" outlineLevel="1" x14ac:dyDescent="0.25">
      <c r="A33" s="22"/>
      <c r="B33" s="13" t="str">
        <f>CONCATENATE("          ","5041", " - ","PURCHASES @ COST-LOGO GIFTS")</f>
        <v xml:space="preserve">          5041 - PURCHASES @ COST-LOGO GIFTS</v>
      </c>
      <c r="C33" s="23"/>
      <c r="D33" s="2"/>
      <c r="E33" s="2"/>
      <c r="F33" s="2"/>
      <c r="G33" s="2">
        <v>207.6</v>
      </c>
      <c r="H33" s="2"/>
      <c r="I33" s="2"/>
      <c r="J33" s="2"/>
      <c r="K33" s="2"/>
      <c r="L33" s="2"/>
      <c r="M33" s="2"/>
      <c r="N33" s="2"/>
      <c r="O33" s="2"/>
      <c r="Q33" s="2">
        <f>SUM(OSRRefD14_1x)+IFERROR(SUM(OSRRefE14_1x),0)</f>
        <v>207.6</v>
      </c>
    </row>
    <row r="34" spans="1:17" s="9" customFormat="1" hidden="1" outlineLevel="1" x14ac:dyDescent="0.25">
      <c r="A34" s="22"/>
      <c r="B34" s="13" t="str">
        <f>CONCATENATE("          ","5042", " - ","PURCHASES @ COST-EVERYDAY GIFT")</f>
        <v xml:space="preserve">          5042 - PURCHASES @ COST-EVERYDAY GIFT</v>
      </c>
      <c r="C34" s="23"/>
      <c r="D34" s="2"/>
      <c r="E34" s="2"/>
      <c r="F34" s="2"/>
      <c r="G34" s="2">
        <v>7946.04</v>
      </c>
      <c r="H34" s="2"/>
      <c r="I34" s="2"/>
      <c r="J34" s="2"/>
      <c r="K34" s="2"/>
      <c r="L34" s="2"/>
      <c r="M34" s="2"/>
      <c r="N34" s="2"/>
      <c r="O34" s="2"/>
      <c r="Q34" s="2">
        <f>SUM(OSRRefD14_2x)+IFERROR(SUM(OSRRefE14_2x),0)</f>
        <v>7946.04</v>
      </c>
    </row>
    <row r="35" spans="1:17" s="9" customFormat="1" hidden="1" outlineLevel="1" x14ac:dyDescent="0.25">
      <c r="A35" s="22"/>
      <c r="B35" s="13" t="str">
        <f>CONCATENATE("          ","5200", " - ","PURCHASES OFFSET")</f>
        <v xml:space="preserve">          5200 - PURCHASES OFFSET</v>
      </c>
      <c r="C35" s="23"/>
      <c r="D35" s="2"/>
      <c r="E35" s="2"/>
      <c r="F35" s="2"/>
      <c r="G35" s="2">
        <v>-8153.64</v>
      </c>
      <c r="H35" s="2"/>
      <c r="I35" s="2"/>
      <c r="J35" s="2"/>
      <c r="K35" s="2"/>
      <c r="L35" s="2"/>
      <c r="M35" s="2"/>
      <c r="N35" s="2"/>
      <c r="O35" s="2"/>
      <c r="Q35" s="2">
        <f>SUM(OSRRefD14_3x)+IFERROR(SUM(OSRRefE14_3x),0)</f>
        <v>-8153.64</v>
      </c>
    </row>
    <row r="36" spans="1:17" s="9" customFormat="1" hidden="1" outlineLevel="1" x14ac:dyDescent="0.25">
      <c r="A36" s="22"/>
      <c r="B36" s="13" t="str">
        <f>CONCATENATE("          ","5300", " - ","COG$ OFFSET")</f>
        <v xml:space="preserve">          5300 - COG$ OFFSET</v>
      </c>
      <c r="C36" s="23"/>
      <c r="D36" s="2">
        <v>10370</v>
      </c>
      <c r="E36" s="2">
        <v>8270</v>
      </c>
      <c r="F36" s="2">
        <v>9366</v>
      </c>
      <c r="G36" s="2">
        <v>7350</v>
      </c>
      <c r="H36" s="2"/>
      <c r="I36" s="2"/>
      <c r="J36" s="2"/>
      <c r="K36" s="2"/>
      <c r="L36" s="2"/>
      <c r="M36" s="2"/>
      <c r="N36" s="2"/>
      <c r="O36" s="2"/>
      <c r="Q36" s="2">
        <f>SUM(OSRRefD14_4x)+IFERROR(SUM(OSRRefE14_4x),0)</f>
        <v>35356</v>
      </c>
    </row>
    <row r="37" spans="1:17" x14ac:dyDescent="0.25">
      <c r="A37" s="5"/>
      <c r="B37" s="8"/>
      <c r="C37" s="8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4" customFormat="1" x14ac:dyDescent="0.25">
      <c r="A38" s="8"/>
      <c r="B38" s="17" t="s">
        <v>6</v>
      </c>
      <c r="C38" s="17"/>
      <c r="D38" s="6">
        <f t="shared" ref="D38:O38" si="6">IFERROR(+D10-D31, 0)</f>
        <v>16509.770000000004</v>
      </c>
      <c r="E38" s="6">
        <f t="shared" si="6"/>
        <v>14527.32</v>
      </c>
      <c r="F38" s="6">
        <f t="shared" si="6"/>
        <v>10600.789999999997</v>
      </c>
      <c r="G38" s="6">
        <f t="shared" si="6"/>
        <v>11427.980000000003</v>
      </c>
      <c r="H38" s="6">
        <f t="shared" si="6"/>
        <v>21676.199999999997</v>
      </c>
      <c r="I38" s="6">
        <f t="shared" si="6"/>
        <v>29821</v>
      </c>
      <c r="J38" s="6">
        <f t="shared" si="6"/>
        <v>42976.3</v>
      </c>
      <c r="K38" s="6">
        <f t="shared" si="6"/>
        <v>24932.300000000003</v>
      </c>
      <c r="L38" s="6">
        <f t="shared" si="6"/>
        <v>23990.800000000003</v>
      </c>
      <c r="M38" s="6">
        <f t="shared" si="6"/>
        <v>30063</v>
      </c>
      <c r="N38" s="6">
        <f t="shared" si="6"/>
        <v>35103.300000000003</v>
      </c>
      <c r="O38" s="6">
        <f t="shared" si="6"/>
        <v>30675</v>
      </c>
      <c r="Q38" s="6">
        <f>IFERROR(+Q10-Q31, 0)</f>
        <v>292303.76000000007</v>
      </c>
    </row>
    <row r="39" spans="1:17" s="8" customFormat="1" x14ac:dyDescent="0.25">
      <c r="B39" s="16"/>
      <c r="C39" s="16"/>
      <c r="D39" s="4">
        <f t="shared" ref="D39:O39" si="7">IFERROR(D38/D10, 0)</f>
        <v>0.61420800847626311</v>
      </c>
      <c r="E39" s="4">
        <f t="shared" si="7"/>
        <v>0.63723806131597927</v>
      </c>
      <c r="F39" s="4">
        <f t="shared" si="7"/>
        <v>0.53092109447737967</v>
      </c>
      <c r="G39" s="4">
        <f t="shared" si="7"/>
        <v>0.60858409690499193</v>
      </c>
      <c r="H39" s="4">
        <f t="shared" si="7"/>
        <v>0.60910102508767194</v>
      </c>
      <c r="I39" s="4">
        <f t="shared" si="7"/>
        <v>0.60910149308605155</v>
      </c>
      <c r="J39" s="4">
        <f t="shared" si="7"/>
        <v>0.60909785380109505</v>
      </c>
      <c r="K39" s="4">
        <f t="shared" si="7"/>
        <v>0.6090808930407996</v>
      </c>
      <c r="L39" s="4">
        <f t="shared" si="7"/>
        <v>0.60907669185149083</v>
      </c>
      <c r="M39" s="4">
        <f t="shared" si="7"/>
        <v>0.60909293514597729</v>
      </c>
      <c r="N39" s="4">
        <f t="shared" si="7"/>
        <v>0.60909073557709825</v>
      </c>
      <c r="O39" s="4">
        <f t="shared" si="7"/>
        <v>0.56999777017987219</v>
      </c>
      <c r="P39" s="18"/>
      <c r="Q39" s="4">
        <f>IFERROR(Q38/Q10, 0)</f>
        <v>0.60311872954415957</v>
      </c>
    </row>
    <row r="40" spans="1:17" x14ac:dyDescent="0.25">
      <c r="A40" s="5"/>
      <c r="B40" s="8"/>
      <c r="C40" s="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Q40" s="1"/>
    </row>
    <row r="41" spans="1:17" s="14" customFormat="1" x14ac:dyDescent="0.25">
      <c r="A41" s="8"/>
      <c r="B41" s="16" t="s">
        <v>291</v>
      </c>
      <c r="C41" s="8"/>
      <c r="D41" s="10">
        <f>SUM(OSRRefD20x_0)</f>
        <v>23071.400000000005</v>
      </c>
      <c r="E41" s="10">
        <f>SUM(OSRRefD20x_1)</f>
        <v>18364.869999999995</v>
      </c>
      <c r="F41" s="10">
        <f>SUM(OSRRefD20x_2)</f>
        <v>21661.78</v>
      </c>
      <c r="G41" s="10">
        <f>SUM(OSRRefD20x_3)</f>
        <v>22743.91</v>
      </c>
      <c r="H41" s="10">
        <f>SUM(OSRRefE20x_0)</f>
        <v>17700.049053846153</v>
      </c>
      <c r="I41" s="10">
        <f>SUM(OSRRefE20x_1)</f>
        <v>20159.464653846153</v>
      </c>
      <c r="J41" s="10">
        <f>SUM(OSRRefE20x_2)</f>
        <v>18656.654444807689</v>
      </c>
      <c r="K41" s="10">
        <f>SUM(OSRRefE20x_3)</f>
        <v>19089.52355584615</v>
      </c>
      <c r="L41" s="10">
        <f>SUM(OSRRefE20x_4)</f>
        <v>16854.52355584615</v>
      </c>
      <c r="M41" s="10">
        <f>SUM(OSRRefE20x_5)</f>
        <v>18571.654444807689</v>
      </c>
      <c r="N41" s="10">
        <f>SUM(OSRRefE20x_6)</f>
        <v>17004.52355584615</v>
      </c>
      <c r="O41" s="10">
        <f>SUM(OSRRefE20x_7)</f>
        <v>17088.461299846153</v>
      </c>
      <c r="Q41" s="10">
        <f>SUM(OSRRefG20x)</f>
        <v>230966.81456469229</v>
      </c>
    </row>
    <row r="42" spans="1:17" s="34" customFormat="1" collapsed="1" x14ac:dyDescent="0.25">
      <c r="A42" s="35"/>
      <c r="B42" s="15" t="str">
        <f>CONCATENATE("     ","*Benefits                                         ")</f>
        <v xml:space="preserve">     *Benefits                                         </v>
      </c>
      <c r="C42" s="15"/>
      <c r="D42" s="1">
        <f>SUM(OSRRefD21_0x_0)</f>
        <v>4182.72</v>
      </c>
      <c r="E42" s="1">
        <f>SUM(OSRRefD21_0x_1)</f>
        <v>5610.43</v>
      </c>
      <c r="F42" s="1">
        <f>SUM(OSRRefD21_0x_2)</f>
        <v>5184.3499999999995</v>
      </c>
      <c r="G42" s="1">
        <f>SUM(OSRRefD21_0x_3)</f>
        <v>5855.8200000000006</v>
      </c>
      <c r="H42" s="1">
        <f>SUM(OSRRefE21_0x_0)</f>
        <v>2090.9721307692325</v>
      </c>
      <c r="I42" s="1">
        <f>SUM(OSRRefE21_0x_1)</f>
        <v>2265.3877307692323</v>
      </c>
      <c r="J42" s="1">
        <f>SUM(OSRRefE21_0x_2)</f>
        <v>2335.3082909615391</v>
      </c>
      <c r="K42" s="1">
        <f>SUM(OSRRefE21_0x_3)</f>
        <v>2101.2466327692318</v>
      </c>
      <c r="L42" s="1">
        <f>SUM(OSRRefE21_0x_4)</f>
        <v>2101.2466327692318</v>
      </c>
      <c r="M42" s="1">
        <f>SUM(OSRRefE21_0x_5)</f>
        <v>2335.3082909615391</v>
      </c>
      <c r="N42" s="1">
        <f>SUM(OSRRefE21_0x_6)</f>
        <v>2101.2466327692318</v>
      </c>
      <c r="O42" s="1">
        <f>SUM(OSRRefE21_0x_7)</f>
        <v>2230.1843767692321</v>
      </c>
      <c r="Q42" s="2">
        <f>SUM(OSRRefD20_0x)+IFERROR(SUM(OSRRefE20_0x),0)</f>
        <v>38394.220718538476</v>
      </c>
    </row>
    <row r="43" spans="1:17" s="34" customFormat="1" hidden="1" outlineLevel="1" x14ac:dyDescent="0.25">
      <c r="A43" s="35"/>
      <c r="B43" s="13" t="str">
        <f>CONCATENATE("          ","6111", " - ","F.I.C.A.")</f>
        <v xml:space="preserve">          6111 - F.I.C.A.</v>
      </c>
      <c r="C43" s="15"/>
      <c r="D43" s="2">
        <v>672.15</v>
      </c>
      <c r="E43" s="2">
        <v>868.48</v>
      </c>
      <c r="F43" s="2">
        <v>669.38</v>
      </c>
      <c r="G43" s="2">
        <v>998.37</v>
      </c>
      <c r="H43" s="2">
        <v>330.78620769230804</v>
      </c>
      <c r="I43" s="2">
        <v>431.80580769230801</v>
      </c>
      <c r="J43" s="2">
        <v>419.165112115385</v>
      </c>
      <c r="K43" s="2">
        <v>335.33208969230805</v>
      </c>
      <c r="L43" s="2">
        <v>335.33208969230805</v>
      </c>
      <c r="M43" s="2">
        <v>419.165112115385</v>
      </c>
      <c r="N43" s="2">
        <v>335.33208969230805</v>
      </c>
      <c r="O43" s="2">
        <v>464.26983369230794</v>
      </c>
      <c r="P43" s="9"/>
      <c r="Q43" s="2">
        <f>SUM(OSRRefD21_0_0x)+IFERROR(SUM(OSRRefE21_0_0x),0)</f>
        <v>6279.5683423846185</v>
      </c>
    </row>
    <row r="44" spans="1:17" s="34" customFormat="1" hidden="1" outlineLevel="1" x14ac:dyDescent="0.25">
      <c r="A44" s="35"/>
      <c r="B44" s="13" t="str">
        <f>CONCATENATE("          ","6112", " - ","COMPENSATION INSURANCE")</f>
        <v xml:space="preserve">          6112 - COMPENSATION INSURANCE</v>
      </c>
      <c r="C44" s="15"/>
      <c r="D44" s="2">
        <v>228.93</v>
      </c>
      <c r="E44" s="2">
        <v>383.11</v>
      </c>
      <c r="F44" s="2">
        <v>245.98</v>
      </c>
      <c r="G44" s="2">
        <v>215.57</v>
      </c>
      <c r="H44" s="2">
        <v>108.82269230769201</v>
      </c>
      <c r="I44" s="2">
        <v>152.48269230769202</v>
      </c>
      <c r="J44" s="2">
        <v>140.287990384615</v>
      </c>
      <c r="K44" s="2">
        <v>112.230392307692</v>
      </c>
      <c r="L44" s="2">
        <v>112.230392307692</v>
      </c>
      <c r="M44" s="2">
        <v>140.287990384615</v>
      </c>
      <c r="N44" s="2">
        <v>112.230392307692</v>
      </c>
      <c r="O44" s="2">
        <v>112.230392307692</v>
      </c>
      <c r="P44" s="9"/>
      <c r="Q44" s="2">
        <f>SUM(OSRRefD21_0_1x)+IFERROR(SUM(OSRRefE21_0_1x),0)</f>
        <v>2064.3929346153818</v>
      </c>
    </row>
    <row r="45" spans="1:17" s="34" customFormat="1" hidden="1" outlineLevel="1" x14ac:dyDescent="0.25">
      <c r="A45" s="35"/>
      <c r="B45" s="13" t="str">
        <f>CONCATENATE("          ","6113", " - ","GROUP INSURANCE")</f>
        <v xml:space="preserve">          6113 - GROUP INSURANCE</v>
      </c>
      <c r="C45" s="15"/>
      <c r="D45" s="2">
        <v>2012.47</v>
      </c>
      <c r="E45" s="2">
        <v>2714.98</v>
      </c>
      <c r="F45" s="2">
        <v>2714.98</v>
      </c>
      <c r="G45" s="2">
        <v>2714.98</v>
      </c>
      <c r="H45" s="2">
        <v>990</v>
      </c>
      <c r="I45" s="2">
        <v>990</v>
      </c>
      <c r="J45" s="2">
        <v>990</v>
      </c>
      <c r="K45" s="2">
        <v>990</v>
      </c>
      <c r="L45" s="2">
        <v>990</v>
      </c>
      <c r="M45" s="2">
        <v>990</v>
      </c>
      <c r="N45" s="2">
        <v>990</v>
      </c>
      <c r="O45" s="2">
        <v>990</v>
      </c>
      <c r="P45" s="9"/>
      <c r="Q45" s="2">
        <f>SUM(OSRRefD21_0_2x)+IFERROR(SUM(OSRRefE21_0_2x),0)</f>
        <v>18077.41</v>
      </c>
    </row>
    <row r="46" spans="1:17" s="34" customFormat="1" hidden="1" outlineLevel="1" x14ac:dyDescent="0.25">
      <c r="A46" s="35"/>
      <c r="B46" s="13" t="str">
        <f>CONCATENATE("          ","6114", " - ","STATE UNEMPLOYMENT INSURANCE")</f>
        <v xml:space="preserve">          6114 - STATE UNEMPLOYMENT INSURANCE</v>
      </c>
      <c r="C46" s="15"/>
      <c r="D46" s="2">
        <v>23.65</v>
      </c>
      <c r="E46" s="2">
        <v>36.020000000000003</v>
      </c>
      <c r="F46" s="2">
        <v>34.57</v>
      </c>
      <c r="G46" s="2">
        <v>30.3</v>
      </c>
      <c r="H46" s="2">
        <v>15.294</v>
      </c>
      <c r="I46" s="2">
        <v>21.43</v>
      </c>
      <c r="J46" s="2">
        <v>19.716149999999999</v>
      </c>
      <c r="K46" s="2">
        <v>15.772919999999999</v>
      </c>
      <c r="L46" s="2">
        <v>15.772919999999999</v>
      </c>
      <c r="M46" s="2">
        <v>19.716149999999999</v>
      </c>
      <c r="N46" s="2">
        <v>15.772919999999999</v>
      </c>
      <c r="O46" s="2">
        <v>15.772919999999999</v>
      </c>
      <c r="P46" s="9"/>
      <c r="Q46" s="2">
        <f>SUM(OSRRefD21_0_3x)+IFERROR(SUM(OSRRefE21_0_3x),0)</f>
        <v>263.78798</v>
      </c>
    </row>
    <row r="47" spans="1:17" s="34" customFormat="1" hidden="1" outlineLevel="1" x14ac:dyDescent="0.25">
      <c r="A47" s="35"/>
      <c r="B47" s="13" t="str">
        <f>CONCATENATE("          ","6115", " - ","P.E.R.S.")</f>
        <v xml:space="preserve">          6115 - P.E.R.S.</v>
      </c>
      <c r="C47" s="15"/>
      <c r="D47" s="2">
        <v>543.17999999999995</v>
      </c>
      <c r="E47" s="2">
        <v>362.12</v>
      </c>
      <c r="F47" s="2">
        <v>362.12</v>
      </c>
      <c r="G47" s="2">
        <v>253.48</v>
      </c>
      <c r="H47" s="2">
        <v>201.43846153846201</v>
      </c>
      <c r="I47" s="2">
        <v>201.43846153846201</v>
      </c>
      <c r="J47" s="2">
        <v>251.79807692307702</v>
      </c>
      <c r="K47" s="2">
        <v>201.43846153846201</v>
      </c>
      <c r="L47" s="2">
        <v>201.43846153846201</v>
      </c>
      <c r="M47" s="2">
        <v>251.79807692307702</v>
      </c>
      <c r="N47" s="2">
        <v>201.43846153846201</v>
      </c>
      <c r="O47" s="2">
        <v>201.43846153846201</v>
      </c>
      <c r="P47" s="9"/>
      <c r="Q47" s="2">
        <f>SUM(OSRRefD21_0_4x)+IFERROR(SUM(OSRRefE21_0_4x),0)</f>
        <v>3233.1269230769262</v>
      </c>
    </row>
    <row r="48" spans="1:17" s="34" customFormat="1" hidden="1" outlineLevel="1" x14ac:dyDescent="0.25">
      <c r="A48" s="35"/>
      <c r="B48" s="13" t="str">
        <f>CONCATENATE("          ","6116", " - ","EDUCATIONAL BENEFITS")</f>
        <v xml:space="preserve">          6116 - EDUCATIONAL BENEFITS</v>
      </c>
      <c r="C48" s="15"/>
      <c r="D48" s="2"/>
      <c r="E48" s="2"/>
      <c r="F48" s="2"/>
      <c r="G48" s="2"/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SUM(OSRRefD21_0_5x)+IFERROR(SUM(OSRRefE21_0_5x),0)</f>
        <v>0</v>
      </c>
    </row>
    <row r="49" spans="1:17" s="34" customFormat="1" hidden="1" outlineLevel="1" x14ac:dyDescent="0.25">
      <c r="A49" s="35"/>
      <c r="B49" s="13" t="str">
        <f>CONCATENATE("          ","6118", " - ","VACATION")</f>
        <v xml:space="preserve">          6118 - VACATION</v>
      </c>
      <c r="C49" s="15"/>
      <c r="D49" s="2">
        <v>402.51</v>
      </c>
      <c r="E49" s="2">
        <v>498.76</v>
      </c>
      <c r="F49" s="2">
        <v>498.76</v>
      </c>
      <c r="G49" s="2">
        <v>748.14</v>
      </c>
      <c r="H49" s="2">
        <v>117.11538461538501</v>
      </c>
      <c r="I49" s="2">
        <v>117.11538461538501</v>
      </c>
      <c r="J49" s="2">
        <v>146.394230769231</v>
      </c>
      <c r="K49" s="2">
        <v>117.11538461538501</v>
      </c>
      <c r="L49" s="2">
        <v>117.11538461538501</v>
      </c>
      <c r="M49" s="2">
        <v>146.394230769231</v>
      </c>
      <c r="N49" s="2">
        <v>117.11538461538501</v>
      </c>
      <c r="O49" s="2">
        <v>117.11538461538501</v>
      </c>
      <c r="P49" s="9"/>
      <c r="Q49" s="2">
        <f>SUM(OSRRefD21_0_6x)+IFERROR(SUM(OSRRefE21_0_6x),0)</f>
        <v>3143.6507692307723</v>
      </c>
    </row>
    <row r="50" spans="1:17" s="34" customFormat="1" hidden="1" outlineLevel="1" x14ac:dyDescent="0.25">
      <c r="A50" s="35"/>
      <c r="B50" s="13" t="str">
        <f>CONCATENATE("          ","6119", " - ","SICK LEAVE")</f>
        <v xml:space="preserve">          6119 - SICK LEAVE</v>
      </c>
      <c r="C50" s="15"/>
      <c r="D50" s="2">
        <v>223.35</v>
      </c>
      <c r="E50" s="2">
        <v>446.7</v>
      </c>
      <c r="F50" s="2">
        <v>446.7</v>
      </c>
      <c r="G50" s="2">
        <v>670.05</v>
      </c>
      <c r="H50" s="2">
        <v>152.51538461538502</v>
      </c>
      <c r="I50" s="2">
        <v>176.11538461538501</v>
      </c>
      <c r="J50" s="2">
        <v>192.94673076923101</v>
      </c>
      <c r="K50" s="2">
        <v>154.357384615385</v>
      </c>
      <c r="L50" s="2">
        <v>154.357384615385</v>
      </c>
      <c r="M50" s="2">
        <v>192.94673076923101</v>
      </c>
      <c r="N50" s="2">
        <v>154.357384615385</v>
      </c>
      <c r="O50" s="2">
        <v>154.357384615385</v>
      </c>
      <c r="P50" s="9"/>
      <c r="Q50" s="2">
        <f>SUM(OSRRefD21_0_7x)+IFERROR(SUM(OSRRefE21_0_7x),0)</f>
        <v>3118.7537692307715</v>
      </c>
    </row>
    <row r="51" spans="1:17" s="34" customFormat="1" hidden="1" outlineLevel="1" x14ac:dyDescent="0.25">
      <c r="A51" s="35"/>
      <c r="B51" s="13" t="str">
        <f>CONCATENATE("          ","6156", " - ","EMPLOYEE MEALS")</f>
        <v xml:space="preserve">          6156 - EMPLOYEE MEALS</v>
      </c>
      <c r="C51" s="15"/>
      <c r="D51" s="2">
        <v>76.48</v>
      </c>
      <c r="E51" s="2">
        <v>300.26</v>
      </c>
      <c r="F51" s="2">
        <v>211.86</v>
      </c>
      <c r="G51" s="2">
        <v>224.93</v>
      </c>
      <c r="H51" s="2">
        <v>175</v>
      </c>
      <c r="I51" s="2">
        <v>175</v>
      </c>
      <c r="J51" s="2">
        <v>175</v>
      </c>
      <c r="K51" s="2">
        <v>175</v>
      </c>
      <c r="L51" s="2">
        <v>175</v>
      </c>
      <c r="M51" s="2">
        <v>175</v>
      </c>
      <c r="N51" s="2">
        <v>175</v>
      </c>
      <c r="O51" s="2">
        <v>175</v>
      </c>
      <c r="P51" s="9"/>
      <c r="Q51" s="2">
        <f>SUM(OSRRefD21_0_8x)+IFERROR(SUM(OSRRefE21_0_8x),0)</f>
        <v>2213.5299999999997</v>
      </c>
    </row>
    <row r="52" spans="1:17" s="34" customFormat="1" collapsed="1" x14ac:dyDescent="0.25">
      <c r="A52" s="35"/>
      <c r="B52" s="15" t="str">
        <f>CONCATENATE("     ","*Payroll                                          ")</f>
        <v xml:space="preserve">     *Payroll                                          </v>
      </c>
      <c r="C52" s="15"/>
      <c r="D52" s="1">
        <f>SUM(OSRRefD21_1x_0)</f>
        <v>11018.7</v>
      </c>
      <c r="E52" s="1">
        <f>SUM(OSRRefD21_1x_1)</f>
        <v>4729.9399999999996</v>
      </c>
      <c r="F52" s="1">
        <f>SUM(OSRRefD21_1x_2)</f>
        <v>7185.8399999999992</v>
      </c>
      <c r="G52" s="1">
        <f>SUM(OSRRefD21_1x_3)</f>
        <v>8728.8100000000013</v>
      </c>
      <c r="H52" s="1">
        <f>SUM(OSRRefE21_1x_0)</f>
        <v>5648.0769230769201</v>
      </c>
      <c r="I52" s="1">
        <f>SUM(OSRRefE21_1x_1)</f>
        <v>8008.0769230769201</v>
      </c>
      <c r="J52" s="1">
        <f>SUM(OSRRefE21_1x_2)</f>
        <v>7290.3461538461497</v>
      </c>
      <c r="K52" s="1">
        <f>SUM(OSRRefE21_1x_3)</f>
        <v>5832.27692307692</v>
      </c>
      <c r="L52" s="1">
        <f>SUM(OSRRefE21_1x_4)</f>
        <v>5832.27692307692</v>
      </c>
      <c r="M52" s="1">
        <f>SUM(OSRRefE21_1x_5)</f>
        <v>7290.3461538461497</v>
      </c>
      <c r="N52" s="1">
        <f>SUM(OSRRefE21_1x_6)</f>
        <v>5832.27692307692</v>
      </c>
      <c r="O52" s="1">
        <f>SUM(OSRRefE21_1x_7)</f>
        <v>5832.27692307692</v>
      </c>
      <c r="Q52" s="2">
        <f>SUM(OSRRefD20_1x)+IFERROR(SUM(OSRRefE20_1x),0)</f>
        <v>83229.243846153811</v>
      </c>
    </row>
    <row r="53" spans="1:17" s="34" customFormat="1" hidden="1" outlineLevel="1" x14ac:dyDescent="0.25">
      <c r="A53" s="35"/>
      <c r="B53" s="13" t="str">
        <f>CONCATENATE("          ","6001", " - ","ADMINISTRATIVE SALARIES")</f>
        <v xml:space="preserve">          6001 - ADMINISTRATIVE SALARIES</v>
      </c>
      <c r="C53" s="15"/>
      <c r="D53" s="2"/>
      <c r="E53" s="2"/>
      <c r="F53" s="2"/>
      <c r="G53" s="2"/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SUM(OSRRefD21_1_0x)+IFERROR(SUM(OSRRefE21_1_0x),0)</f>
        <v>0</v>
      </c>
    </row>
    <row r="54" spans="1:17" s="34" customFormat="1" hidden="1" outlineLevel="1" x14ac:dyDescent="0.25">
      <c r="A54" s="35"/>
      <c r="B54" s="13" t="str">
        <f>CONCATENATE("          ","6002", " - ","STAFF SALARIES")</f>
        <v xml:space="preserve">          6002 - STAFF SALARIES</v>
      </c>
      <c r="C54" s="15"/>
      <c r="D54" s="2">
        <v>5855.62</v>
      </c>
      <c r="E54" s="2">
        <v>4684.62</v>
      </c>
      <c r="F54" s="2">
        <v>4684.62</v>
      </c>
      <c r="G54" s="2">
        <v>4216.3100000000004</v>
      </c>
      <c r="H54" s="2">
        <v>2108.0769230769201</v>
      </c>
      <c r="I54" s="2">
        <v>2108.0769230769201</v>
      </c>
      <c r="J54" s="2">
        <v>2635.0961538461497</v>
      </c>
      <c r="K54" s="2">
        <v>2108.0769230769201</v>
      </c>
      <c r="L54" s="2">
        <v>2108.0769230769201</v>
      </c>
      <c r="M54" s="2">
        <v>2635.0961538461497</v>
      </c>
      <c r="N54" s="2">
        <v>2108.0769230769201</v>
      </c>
      <c r="O54" s="2">
        <v>2108.0769230769201</v>
      </c>
      <c r="P54" s="9"/>
      <c r="Q54" s="2">
        <f>SUM(OSRRefD21_1_1x)+IFERROR(SUM(OSRRefE21_1_1x),0)</f>
        <v>37359.823846153828</v>
      </c>
    </row>
    <row r="55" spans="1:17" s="34" customFormat="1" hidden="1" outlineLevel="1" x14ac:dyDescent="0.25">
      <c r="A55" s="35"/>
      <c r="B55" s="13" t="str">
        <f>CONCATENATE("          ","6003", " - ","STAFF HOURLY-9 MONTH")</f>
        <v xml:space="preserve">          6003 - STAFF HOURLY-9 MONTH</v>
      </c>
      <c r="C55" s="15"/>
      <c r="D55" s="2"/>
      <c r="E55" s="2"/>
      <c r="F55" s="2"/>
      <c r="G55" s="2"/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SUM(OSRRefD21_1_2x)+IFERROR(SUM(OSRRefE21_1_2x),0)</f>
        <v>0</v>
      </c>
    </row>
    <row r="56" spans="1:17" s="34" customFormat="1" hidden="1" outlineLevel="1" x14ac:dyDescent="0.25">
      <c r="A56" s="35"/>
      <c r="B56" s="13" t="str">
        <f>CONCATENATE("          ","6004", " - ","STAFF HOURLY")</f>
        <v xml:space="preserve">          6004 - STAFF HOURLY</v>
      </c>
      <c r="C56" s="15"/>
      <c r="D56" s="2">
        <v>2750.47</v>
      </c>
      <c r="E56" s="2">
        <v>-2911.56</v>
      </c>
      <c r="F56" s="2">
        <v>-207.97</v>
      </c>
      <c r="G56" s="2">
        <v>2219.5</v>
      </c>
      <c r="H56" s="2">
        <v>1980</v>
      </c>
      <c r="I56" s="2">
        <v>3300</v>
      </c>
      <c r="J56" s="2">
        <v>2549.25</v>
      </c>
      <c r="K56" s="2">
        <v>2039.4</v>
      </c>
      <c r="L56" s="2">
        <v>2039.4</v>
      </c>
      <c r="M56" s="2">
        <v>2549.25</v>
      </c>
      <c r="N56" s="2">
        <v>2039.4</v>
      </c>
      <c r="O56" s="2">
        <v>2039.4</v>
      </c>
      <c r="P56" s="9"/>
      <c r="Q56" s="2">
        <f>SUM(OSRRefD21_1_3x)+IFERROR(SUM(OSRRefE21_1_3x),0)</f>
        <v>20386.54</v>
      </c>
    </row>
    <row r="57" spans="1:17" s="34" customFormat="1" hidden="1" outlineLevel="1" x14ac:dyDescent="0.25">
      <c r="A57" s="35"/>
      <c r="B57" s="13" t="str">
        <f>CONCATENATE("          ","6005", " - ","TEMPORARY WAGES-HOURLY")</f>
        <v xml:space="preserve">          6005 - TEMPORARY WAGES-HOURLY</v>
      </c>
      <c r="C57" s="15"/>
      <c r="D57" s="2">
        <v>1210.6099999999999</v>
      </c>
      <c r="E57" s="2">
        <v>1087.03</v>
      </c>
      <c r="F57" s="2">
        <v>1332.13</v>
      </c>
      <c r="G57" s="2">
        <v>1116.81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SUM(OSRRefD21_1_4x)+IFERROR(SUM(OSRRefE21_1_4x),0)</f>
        <v>4746.58</v>
      </c>
    </row>
    <row r="58" spans="1:17" s="34" customFormat="1" hidden="1" outlineLevel="1" x14ac:dyDescent="0.25">
      <c r="A58" s="35"/>
      <c r="B58" s="13" t="str">
        <f>CONCATENATE("          ","6006", " - ","TEMPORARY PART TIME")</f>
        <v xml:space="preserve">          6006 - TEMPORARY PART TIME</v>
      </c>
      <c r="C58" s="15"/>
      <c r="D58" s="2"/>
      <c r="E58" s="2"/>
      <c r="F58" s="2"/>
      <c r="G58" s="2"/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SUM(OSRRefD21_1_5x)+IFERROR(SUM(OSRRefE21_1_5x),0)</f>
        <v>0</v>
      </c>
    </row>
    <row r="59" spans="1:17" s="34" customFormat="1" hidden="1" outlineLevel="1" x14ac:dyDescent="0.25">
      <c r="A59" s="35"/>
      <c r="B59" s="13" t="str">
        <f>CONCATENATE("          ","6007", " - ","STUDENT HOURLY")</f>
        <v xml:space="preserve">          6007 - STUDENT HOURLY</v>
      </c>
      <c r="C59" s="15"/>
      <c r="D59" s="2">
        <v>1202</v>
      </c>
      <c r="E59" s="2">
        <v>1775.86</v>
      </c>
      <c r="F59" s="2">
        <v>1005.91</v>
      </c>
      <c r="G59" s="2">
        <v>646.44000000000005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1684.8</v>
      </c>
      <c r="P59" s="9"/>
      <c r="Q59" s="2">
        <f>SUM(OSRRefD21_1_6x)+IFERROR(SUM(OSRRefE21_1_6x),0)</f>
        <v>6315.0099999999993</v>
      </c>
    </row>
    <row r="60" spans="1:17" s="34" customFormat="1" hidden="1" outlineLevel="1" x14ac:dyDescent="0.25">
      <c r="A60" s="35"/>
      <c r="B60" s="13" t="str">
        <f>CONCATENATE("          ","6008", " - ","STUDENT HOURLY-FICA EXEMPT")</f>
        <v xml:space="preserve">          6008 - STUDENT HOURLY-FICA EXEMPT</v>
      </c>
      <c r="C60" s="15"/>
      <c r="D60" s="2"/>
      <c r="E60" s="2">
        <v>93.99</v>
      </c>
      <c r="F60" s="2">
        <v>371.15</v>
      </c>
      <c r="G60" s="2">
        <v>529.75</v>
      </c>
      <c r="H60" s="2">
        <v>1560</v>
      </c>
      <c r="I60" s="2">
        <v>2600</v>
      </c>
      <c r="J60" s="2">
        <v>2106</v>
      </c>
      <c r="K60" s="2">
        <v>1684.8</v>
      </c>
      <c r="L60" s="2">
        <v>1684.8</v>
      </c>
      <c r="M60" s="2">
        <v>2106</v>
      </c>
      <c r="N60" s="2">
        <v>1684.8</v>
      </c>
      <c r="O60" s="2">
        <v>0</v>
      </c>
      <c r="P60" s="9"/>
      <c r="Q60" s="2">
        <f>SUM(OSRRefD21_1_7x)+IFERROR(SUM(OSRRefE21_1_7x),0)</f>
        <v>14421.289999999999</v>
      </c>
    </row>
    <row r="61" spans="1:17" s="34" customFormat="1" hidden="1" outlineLevel="1" x14ac:dyDescent="0.25">
      <c r="A61" s="35"/>
      <c r="B61" s="13" t="str">
        <f>CONCATENATE("          ","6009", " - ","TEMPORARY-SEASONAL")</f>
        <v xml:space="preserve">          6009 - TEMPORARY-SEASONAL</v>
      </c>
      <c r="C61" s="15"/>
      <c r="D61" s="2"/>
      <c r="E61" s="2"/>
      <c r="F61" s="2"/>
      <c r="G61" s="2"/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SUM(OSRRefD21_1_8x)+IFERROR(SUM(OSRRefE21_1_8x),0)</f>
        <v>0</v>
      </c>
    </row>
    <row r="62" spans="1:17" s="34" customFormat="1" hidden="1" outlineLevel="1" x14ac:dyDescent="0.25">
      <c r="A62" s="35"/>
      <c r="B62" s="13" t="str">
        <f>CONCATENATE("          ","6010", " - ","GRATUITY")</f>
        <v xml:space="preserve">          6010 - GRATUITY</v>
      </c>
      <c r="C62" s="15"/>
      <c r="D62" s="2"/>
      <c r="E62" s="2"/>
      <c r="F62" s="2"/>
      <c r="G62" s="2"/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SUM(OSRRefD21_1_9x)+IFERROR(SUM(OSRRefE21_1_9x),0)</f>
        <v>0</v>
      </c>
    </row>
    <row r="63" spans="1:17" s="34" customFormat="1" collapsed="1" x14ac:dyDescent="0.25">
      <c r="A63" s="35"/>
      <c r="B63" s="15" t="str">
        <f>CONCATENATE("     ","Advertising/Promo                                 ")</f>
        <v xml:space="preserve">     Advertising/Promo                                 </v>
      </c>
      <c r="C63" s="15"/>
      <c r="D63" s="1">
        <f>SUM(OSRRefD21_2x_0)</f>
        <v>0</v>
      </c>
      <c r="E63" s="1">
        <f>SUM(OSRRefD21_2x_1)</f>
        <v>0</v>
      </c>
      <c r="F63" s="1">
        <f>SUM(OSRRefD21_2x_2)</f>
        <v>0</v>
      </c>
      <c r="G63" s="1">
        <f>SUM(OSRRefD21_2x_3)</f>
        <v>936</v>
      </c>
      <c r="H63" s="1">
        <f>SUM(OSRRefE21_2x_0)</f>
        <v>50</v>
      </c>
      <c r="I63" s="1">
        <f>SUM(OSRRefE21_2x_1)</f>
        <v>0</v>
      </c>
      <c r="J63" s="1">
        <f>SUM(OSRRefE21_2x_2)</f>
        <v>50</v>
      </c>
      <c r="K63" s="1">
        <f>SUM(OSRRefE21_2x_3)</f>
        <v>0</v>
      </c>
      <c r="L63" s="1">
        <f>SUM(OSRRefE21_2x_4)</f>
        <v>50</v>
      </c>
      <c r="M63" s="1">
        <f>SUM(OSRRefE21_2x_5)</f>
        <v>0</v>
      </c>
      <c r="N63" s="1">
        <f>SUM(OSRRefE21_2x_6)</f>
        <v>50</v>
      </c>
      <c r="O63" s="1">
        <f>SUM(OSRRefE21_2x_7)</f>
        <v>0</v>
      </c>
      <c r="Q63" s="2">
        <f>SUM(OSRRefD20_2x)+IFERROR(SUM(OSRRefE20_2x),0)</f>
        <v>1136</v>
      </c>
    </row>
    <row r="64" spans="1:17" s="34" customFormat="1" hidden="1" outlineLevel="1" x14ac:dyDescent="0.25">
      <c r="A64" s="35"/>
      <c r="B64" s="13" t="str">
        <f>CONCATENATE("          ","6362", " - ","ADVERTISING EXPENSE")</f>
        <v xml:space="preserve">          6362 - ADVERTISING EXPENSE</v>
      </c>
      <c r="C64" s="15"/>
      <c r="D64" s="2"/>
      <c r="E64" s="2"/>
      <c r="F64" s="2"/>
      <c r="G64" s="2">
        <v>936</v>
      </c>
      <c r="H64" s="2">
        <v>50</v>
      </c>
      <c r="I64" s="2"/>
      <c r="J64" s="2">
        <v>50</v>
      </c>
      <c r="K64" s="2"/>
      <c r="L64" s="2">
        <v>50</v>
      </c>
      <c r="M64" s="2"/>
      <c r="N64" s="2">
        <v>50</v>
      </c>
      <c r="O64" s="2"/>
      <c r="P64" s="9"/>
      <c r="Q64" s="2">
        <f>SUM(OSRRefD21_2_0x)+IFERROR(SUM(OSRRefE21_2_0x),0)</f>
        <v>1136</v>
      </c>
    </row>
    <row r="65" spans="1:17" s="34" customFormat="1" collapsed="1" x14ac:dyDescent="0.25">
      <c r="A65" s="35"/>
      <c r="B65" s="15" t="str">
        <f>CONCATENATE("     ","Bad Debts/Over/Short                              ")</f>
        <v xml:space="preserve">     Bad Debts/Over/Short                              </v>
      </c>
      <c r="C65" s="15"/>
      <c r="D65" s="1">
        <f>SUM(OSRRefD21_3x_0)</f>
        <v>-0.9</v>
      </c>
      <c r="E65" s="1">
        <f>SUM(OSRRefD21_3x_1)</f>
        <v>4.5599999999999996</v>
      </c>
      <c r="F65" s="1">
        <f>SUM(OSRRefD21_3x_2)</f>
        <v>-2.96</v>
      </c>
      <c r="G65" s="1">
        <f>SUM(OSRRefD21_3x_3)</f>
        <v>-1.23</v>
      </c>
      <c r="H65" s="1">
        <f>SUM(OSRRefE21_3x_0)</f>
        <v>10</v>
      </c>
      <c r="I65" s="1">
        <f>SUM(OSRRefE21_3x_1)</f>
        <v>10</v>
      </c>
      <c r="J65" s="1">
        <f>SUM(OSRRefE21_3x_2)</f>
        <v>10</v>
      </c>
      <c r="K65" s="1">
        <f>SUM(OSRRefE21_3x_3)</f>
        <v>10</v>
      </c>
      <c r="L65" s="1">
        <f>SUM(OSRRefE21_3x_4)</f>
        <v>10</v>
      </c>
      <c r="M65" s="1">
        <f>SUM(OSRRefE21_3x_5)</f>
        <v>10</v>
      </c>
      <c r="N65" s="1">
        <f>SUM(OSRRefE21_3x_6)</f>
        <v>10</v>
      </c>
      <c r="O65" s="1">
        <f>SUM(OSRRefE21_3x_7)</f>
        <v>10</v>
      </c>
      <c r="Q65" s="2">
        <f>SUM(OSRRefD20_3x)+IFERROR(SUM(OSRRefE20_3x),0)</f>
        <v>79.47</v>
      </c>
    </row>
    <row r="66" spans="1:17" s="34" customFormat="1" hidden="1" outlineLevel="1" x14ac:dyDescent="0.25">
      <c r="A66" s="35"/>
      <c r="B66" s="13" t="str">
        <f>CONCATENATE("          ","6272", " - ","CASH (OVER/SHORT)")</f>
        <v xml:space="preserve">          6272 - CASH (OVER/SHORT)</v>
      </c>
      <c r="C66" s="15"/>
      <c r="D66" s="2">
        <v>-0.9</v>
      </c>
      <c r="E66" s="2">
        <v>4.5599999999999996</v>
      </c>
      <c r="F66" s="2">
        <v>-2.96</v>
      </c>
      <c r="G66" s="2">
        <v>-1.23</v>
      </c>
      <c r="H66" s="2">
        <v>10</v>
      </c>
      <c r="I66" s="2">
        <v>10</v>
      </c>
      <c r="J66" s="2">
        <v>10</v>
      </c>
      <c r="K66" s="2">
        <v>10</v>
      </c>
      <c r="L66" s="2">
        <v>10</v>
      </c>
      <c r="M66" s="2">
        <v>10</v>
      </c>
      <c r="N66" s="2">
        <v>10</v>
      </c>
      <c r="O66" s="2">
        <v>10</v>
      </c>
      <c r="P66" s="9"/>
      <c r="Q66" s="2">
        <f>SUM(OSRRefD21_3_0x)+IFERROR(SUM(OSRRefE21_3_0x),0)</f>
        <v>79.47</v>
      </c>
    </row>
    <row r="67" spans="1:17" s="34" customFormat="1" collapsed="1" x14ac:dyDescent="0.25">
      <c r="A67" s="35"/>
      <c r="B67" s="15" t="str">
        <f>CONCATENATE("     ","Bank/card Fees                                    ")</f>
        <v xml:space="preserve">     Bank/card Fees                                    </v>
      </c>
      <c r="C67" s="15"/>
      <c r="D67" s="1">
        <f>SUM(OSRRefD21_4x_0)</f>
        <v>306.89</v>
      </c>
      <c r="E67" s="1">
        <f>SUM(OSRRefD21_4x_1)</f>
        <v>452.83</v>
      </c>
      <c r="F67" s="1">
        <f>SUM(OSRRefD21_4x_2)</f>
        <v>306.45</v>
      </c>
      <c r="G67" s="1">
        <f>SUM(OSRRefD21_4x_3)</f>
        <v>291.5</v>
      </c>
      <c r="H67" s="1">
        <f>SUM(OSRRefE21_4x_0)</f>
        <v>600</v>
      </c>
      <c r="I67" s="1">
        <f>SUM(OSRRefE21_4x_1)</f>
        <v>1650</v>
      </c>
      <c r="J67" s="1">
        <f>SUM(OSRRefE21_4x_2)</f>
        <v>490</v>
      </c>
      <c r="K67" s="1">
        <f>SUM(OSRRefE21_4x_3)</f>
        <v>600</v>
      </c>
      <c r="L67" s="1">
        <f>SUM(OSRRefE21_4x_4)</f>
        <v>700</v>
      </c>
      <c r="M67" s="1">
        <f>SUM(OSRRefE21_4x_5)</f>
        <v>700</v>
      </c>
      <c r="N67" s="1">
        <f>SUM(OSRRefE21_4x_6)</f>
        <v>1000</v>
      </c>
      <c r="O67" s="1">
        <f>SUM(OSRRefE21_4x_7)</f>
        <v>900</v>
      </c>
      <c r="Q67" s="2">
        <f>SUM(OSRRefD20_4x)+IFERROR(SUM(OSRRefE20_4x),0)</f>
        <v>7997.67</v>
      </c>
    </row>
    <row r="68" spans="1:17" s="34" customFormat="1" hidden="1" outlineLevel="1" x14ac:dyDescent="0.25">
      <c r="A68" s="35"/>
      <c r="B68" s="13" t="str">
        <f>CONCATENATE("          ","6381", " - ","BANK/CREDIT CARD FEES")</f>
        <v xml:space="preserve">          6381 - BANK/CREDIT CARD FEES</v>
      </c>
      <c r="C68" s="15"/>
      <c r="D68" s="2">
        <v>306.89</v>
      </c>
      <c r="E68" s="2">
        <v>452.83</v>
      </c>
      <c r="F68" s="2">
        <v>306.45</v>
      </c>
      <c r="G68" s="2">
        <v>291.5</v>
      </c>
      <c r="H68" s="2">
        <v>600</v>
      </c>
      <c r="I68" s="2">
        <v>1650</v>
      </c>
      <c r="J68" s="2">
        <v>490</v>
      </c>
      <c r="K68" s="2">
        <v>600</v>
      </c>
      <c r="L68" s="2">
        <v>700</v>
      </c>
      <c r="M68" s="2">
        <v>700</v>
      </c>
      <c r="N68" s="2">
        <v>1000</v>
      </c>
      <c r="O68" s="2">
        <v>900</v>
      </c>
      <c r="P68" s="9"/>
      <c r="Q68" s="2">
        <f>SUM(OSRRefD21_4_0x)+IFERROR(SUM(OSRRefE21_4_0x),0)</f>
        <v>7997.67</v>
      </c>
    </row>
    <row r="69" spans="1:17" s="34" customFormat="1" collapsed="1" x14ac:dyDescent="0.25">
      <c r="A69" s="35"/>
      <c r="B69" s="15" t="str">
        <f>CONCATENATE("     ","Discounts and Markdowns                           ")</f>
        <v xml:space="preserve">     Discounts and Markdowns                           </v>
      </c>
      <c r="C69" s="15"/>
      <c r="D69" s="1">
        <f>SUM(OSRRefD21_5x_0)</f>
        <v>0</v>
      </c>
      <c r="E69" s="1">
        <f>SUM(OSRRefD21_5x_1)</f>
        <v>0</v>
      </c>
      <c r="F69" s="1">
        <f>SUM(OSRRefD21_5x_2)</f>
        <v>830.95</v>
      </c>
      <c r="G69" s="1">
        <f>SUM(OSRRefD21_5x_3)</f>
        <v>-830.95</v>
      </c>
      <c r="H69" s="1">
        <f>SUM(OSRRefE21_5x_0)</f>
        <v>0</v>
      </c>
      <c r="I69" s="1">
        <f>SUM(OSRRefE21_5x_1)</f>
        <v>0</v>
      </c>
      <c r="J69" s="1">
        <f>SUM(OSRRefE21_5x_2)</f>
        <v>0</v>
      </c>
      <c r="K69" s="1">
        <f>SUM(OSRRefE21_5x_3)</f>
        <v>0</v>
      </c>
      <c r="L69" s="1">
        <f>SUM(OSRRefE21_5x_4)</f>
        <v>0</v>
      </c>
      <c r="M69" s="1">
        <f>SUM(OSRRefE21_5x_5)</f>
        <v>0</v>
      </c>
      <c r="N69" s="1">
        <f>SUM(OSRRefE21_5x_6)</f>
        <v>0</v>
      </c>
      <c r="O69" s="1">
        <f>SUM(OSRRefE21_5x_7)</f>
        <v>0</v>
      </c>
      <c r="Q69" s="2">
        <f>SUM(OSRRefD20_5x)+IFERROR(SUM(OSRRefE20_5x),0)</f>
        <v>0</v>
      </c>
    </row>
    <row r="70" spans="1:17" s="34" customFormat="1" hidden="1" outlineLevel="1" x14ac:dyDescent="0.25">
      <c r="A70" s="35"/>
      <c r="B70" s="13" t="str">
        <f>CONCATENATE("          ","6382", " - ","DISCOUNTS/MARK DOWNS")</f>
        <v xml:space="preserve">          6382 - DISCOUNTS/MARK DOWNS</v>
      </c>
      <c r="C70" s="15"/>
      <c r="D70" s="2"/>
      <c r="E70" s="2"/>
      <c r="F70" s="2">
        <v>830.95</v>
      </c>
      <c r="G70" s="2">
        <v>-830.95</v>
      </c>
      <c r="H70" s="2"/>
      <c r="I70" s="2"/>
      <c r="J70" s="2"/>
      <c r="K70" s="2"/>
      <c r="L70" s="2"/>
      <c r="M70" s="2"/>
      <c r="N70" s="2"/>
      <c r="O70" s="2"/>
      <c r="P70" s="9"/>
      <c r="Q70" s="2">
        <f>SUM(OSRRefD21_5_0x)+IFERROR(SUM(OSRRefE21_5_0x),0)</f>
        <v>0</v>
      </c>
    </row>
    <row r="71" spans="1:17" s="34" customFormat="1" collapsed="1" x14ac:dyDescent="0.25">
      <c r="A71" s="35"/>
      <c r="B71" s="15" t="str">
        <f>CONCATENATE("     ","Employees' Appreciation                           ")</f>
        <v xml:space="preserve">     Employees' Appreciation                           </v>
      </c>
      <c r="C71" s="15"/>
      <c r="D71" s="1">
        <f>SUM(OSRRefD21_6x_0)</f>
        <v>0</v>
      </c>
      <c r="E71" s="1">
        <f>SUM(OSRRefD21_6x_1)</f>
        <v>0</v>
      </c>
      <c r="F71" s="1">
        <f>SUM(OSRRefD21_6x_2)</f>
        <v>0</v>
      </c>
      <c r="G71" s="1">
        <f>SUM(OSRRefD21_6x_3)</f>
        <v>0</v>
      </c>
      <c r="H71" s="1">
        <f>SUM(OSRRefE21_6x_0)</f>
        <v>50</v>
      </c>
      <c r="I71" s="1">
        <f>SUM(OSRRefE21_6x_1)</f>
        <v>50</v>
      </c>
      <c r="J71" s="1">
        <f>SUM(OSRRefE21_6x_2)</f>
        <v>50</v>
      </c>
      <c r="K71" s="1">
        <f>SUM(OSRRefE21_6x_3)</f>
        <v>50</v>
      </c>
      <c r="L71" s="1">
        <f>SUM(OSRRefE21_6x_4)</f>
        <v>50</v>
      </c>
      <c r="M71" s="1">
        <f>SUM(OSRRefE21_6x_5)</f>
        <v>50</v>
      </c>
      <c r="N71" s="1">
        <f>SUM(OSRRefE21_6x_6)</f>
        <v>50</v>
      </c>
      <c r="O71" s="1">
        <f>SUM(OSRRefE21_6x_7)</f>
        <v>50</v>
      </c>
      <c r="Q71" s="2">
        <f>SUM(OSRRefD20_6x)+IFERROR(SUM(OSRRefE20_6x),0)</f>
        <v>400</v>
      </c>
    </row>
    <row r="72" spans="1:17" s="34" customFormat="1" hidden="1" outlineLevel="1" x14ac:dyDescent="0.25">
      <c r="A72" s="35"/>
      <c r="B72" s="13" t="str">
        <f>CONCATENATE("          ","6277", " - ","EMPLOYEE APPRECIATION")</f>
        <v xml:space="preserve">          6277 - EMPLOYEE APPRECIATION</v>
      </c>
      <c r="C72" s="15"/>
      <c r="D72" s="2"/>
      <c r="E72" s="2"/>
      <c r="F72" s="2"/>
      <c r="G72" s="2"/>
      <c r="H72" s="2">
        <v>50</v>
      </c>
      <c r="I72" s="2">
        <v>50</v>
      </c>
      <c r="J72" s="2">
        <v>50</v>
      </c>
      <c r="K72" s="2">
        <v>50</v>
      </c>
      <c r="L72" s="2">
        <v>50</v>
      </c>
      <c r="M72" s="2">
        <v>50</v>
      </c>
      <c r="N72" s="2">
        <v>50</v>
      </c>
      <c r="O72" s="2">
        <v>50</v>
      </c>
      <c r="P72" s="9"/>
      <c r="Q72" s="2">
        <f>SUM(OSRRefD21_6_0x)+IFERROR(SUM(OSRRefE21_6_0x),0)</f>
        <v>400</v>
      </c>
    </row>
    <row r="73" spans="1:17" s="34" customFormat="1" collapsed="1" x14ac:dyDescent="0.25">
      <c r="A73" s="35"/>
      <c r="B73" s="15" t="str">
        <f>CONCATENATE("     ","General                                           ")</f>
        <v xml:space="preserve">     General                                           </v>
      </c>
      <c r="C73" s="15"/>
      <c r="D73" s="1">
        <f>SUM(OSRRefD21_7x_0)</f>
        <v>0</v>
      </c>
      <c r="E73" s="1">
        <f>SUM(OSRRefD21_7x_1)</f>
        <v>0</v>
      </c>
      <c r="F73" s="1">
        <f>SUM(OSRRefD21_7x_2)</f>
        <v>0</v>
      </c>
      <c r="G73" s="1">
        <f>SUM(OSRRefD21_7x_3)</f>
        <v>0</v>
      </c>
      <c r="H73" s="1">
        <f>SUM(OSRRefE21_7x_0)</f>
        <v>1300</v>
      </c>
      <c r="I73" s="1">
        <f>SUM(OSRRefE21_7x_1)</f>
        <v>200</v>
      </c>
      <c r="J73" s="1">
        <f>SUM(OSRRefE21_7x_2)</f>
        <v>0</v>
      </c>
      <c r="K73" s="1">
        <f>SUM(OSRRefE21_7x_3)</f>
        <v>0</v>
      </c>
      <c r="L73" s="1">
        <f>SUM(OSRRefE21_7x_4)</f>
        <v>50</v>
      </c>
      <c r="M73" s="1">
        <f>SUM(OSRRefE21_7x_5)</f>
        <v>250</v>
      </c>
      <c r="N73" s="1">
        <f>SUM(OSRRefE21_7x_6)</f>
        <v>0</v>
      </c>
      <c r="O73" s="1">
        <f>SUM(OSRRefE21_7x_7)</f>
        <v>0</v>
      </c>
      <c r="Q73" s="2">
        <f>SUM(OSRRefD20_7x)+IFERROR(SUM(OSRRefE20_7x),0)</f>
        <v>1800</v>
      </c>
    </row>
    <row r="74" spans="1:17" s="34" customFormat="1" hidden="1" outlineLevel="1" x14ac:dyDescent="0.25">
      <c r="A74" s="35"/>
      <c r="B74" s="13" t="str">
        <f>CONCATENATE("          ","6279", " - ","GENERAL EXPENSE")</f>
        <v xml:space="preserve">          6279 - GENERAL EXPENSE</v>
      </c>
      <c r="C74" s="15"/>
      <c r="D74" s="2"/>
      <c r="E74" s="2"/>
      <c r="F74" s="2"/>
      <c r="G74" s="2"/>
      <c r="H74" s="2">
        <v>1300</v>
      </c>
      <c r="I74" s="2">
        <v>200</v>
      </c>
      <c r="J74" s="2">
        <v>0</v>
      </c>
      <c r="K74" s="2">
        <v>0</v>
      </c>
      <c r="L74" s="2">
        <v>50</v>
      </c>
      <c r="M74" s="2">
        <v>250</v>
      </c>
      <c r="N74" s="2">
        <v>0</v>
      </c>
      <c r="O74" s="2">
        <v>0</v>
      </c>
      <c r="P74" s="9"/>
      <c r="Q74" s="2">
        <f>SUM(OSRRefD21_7_0x)+IFERROR(SUM(OSRRefE21_7_0x),0)</f>
        <v>1800</v>
      </c>
    </row>
    <row r="75" spans="1:17" s="34" customFormat="1" collapsed="1" x14ac:dyDescent="0.25">
      <c r="A75" s="35"/>
      <c r="B75" s="15" t="str">
        <f>CONCATENATE("     ","Insurance                                         ")</f>
        <v xml:space="preserve">     Insurance                                         </v>
      </c>
      <c r="C75" s="15"/>
      <c r="D75" s="1">
        <f>SUM(OSRRefD21_8x_0)</f>
        <v>161.18</v>
      </c>
      <c r="E75" s="1">
        <f>SUM(OSRRefD21_8x_1)</f>
        <v>161.18</v>
      </c>
      <c r="F75" s="1">
        <f>SUM(OSRRefD21_8x_2)</f>
        <v>161.18</v>
      </c>
      <c r="G75" s="1">
        <f>SUM(OSRRefD21_8x_3)</f>
        <v>161.18</v>
      </c>
      <c r="H75" s="1">
        <f>SUM(OSRRefE21_8x_0)</f>
        <v>176</v>
      </c>
      <c r="I75" s="1">
        <f>SUM(OSRRefE21_8x_1)</f>
        <v>176</v>
      </c>
      <c r="J75" s="1">
        <f>SUM(OSRRefE21_8x_2)</f>
        <v>176</v>
      </c>
      <c r="K75" s="1">
        <f>SUM(OSRRefE21_8x_3)</f>
        <v>176</v>
      </c>
      <c r="L75" s="1">
        <f>SUM(OSRRefE21_8x_4)</f>
        <v>176</v>
      </c>
      <c r="M75" s="1">
        <f>SUM(OSRRefE21_8x_5)</f>
        <v>176</v>
      </c>
      <c r="N75" s="1">
        <f>SUM(OSRRefE21_8x_6)</f>
        <v>176</v>
      </c>
      <c r="O75" s="1">
        <f>SUM(OSRRefE21_8x_7)</f>
        <v>176</v>
      </c>
      <c r="Q75" s="2">
        <f>SUM(OSRRefD20_8x)+IFERROR(SUM(OSRRefE20_8x),0)</f>
        <v>2052.7200000000003</v>
      </c>
    </row>
    <row r="76" spans="1:17" s="34" customFormat="1" hidden="1" outlineLevel="1" x14ac:dyDescent="0.25">
      <c r="A76" s="35"/>
      <c r="B76" s="13" t="str">
        <f>CONCATENATE("          ","6314", " - ","LIABILITY INSURANCE")</f>
        <v xml:space="preserve">          6314 - LIABILITY INSURANCE</v>
      </c>
      <c r="C76" s="15"/>
      <c r="D76" s="2">
        <v>161.18</v>
      </c>
      <c r="E76" s="2">
        <v>161.18</v>
      </c>
      <c r="F76" s="2">
        <v>161.18</v>
      </c>
      <c r="G76" s="2">
        <v>161.18</v>
      </c>
      <c r="H76" s="2">
        <v>176</v>
      </c>
      <c r="I76" s="2">
        <v>176</v>
      </c>
      <c r="J76" s="2">
        <v>176</v>
      </c>
      <c r="K76" s="2">
        <v>176</v>
      </c>
      <c r="L76" s="2">
        <v>176</v>
      </c>
      <c r="M76" s="2">
        <v>176</v>
      </c>
      <c r="N76" s="2">
        <v>176</v>
      </c>
      <c r="O76" s="2">
        <v>176</v>
      </c>
      <c r="P76" s="9"/>
      <c r="Q76" s="2">
        <f>SUM(OSRRefD21_8_0x)+IFERROR(SUM(OSRRefE21_8_0x),0)</f>
        <v>2052.7200000000003</v>
      </c>
    </row>
    <row r="77" spans="1:17" s="34" customFormat="1" collapsed="1" x14ac:dyDescent="0.25">
      <c r="A77" s="35"/>
      <c r="B77" s="15" t="str">
        <f>CONCATENATE("     ","Inventory Adjustment                              ")</f>
        <v xml:space="preserve">     Inventory Adjustment                              </v>
      </c>
      <c r="C77" s="15"/>
      <c r="D77" s="1">
        <f>SUM(OSRRefD21_9x_0)</f>
        <v>100</v>
      </c>
      <c r="E77" s="1">
        <f>SUM(OSRRefD21_9x_1)</f>
        <v>100</v>
      </c>
      <c r="F77" s="1">
        <f>SUM(OSRRefD21_9x_2)</f>
        <v>100</v>
      </c>
      <c r="G77" s="1">
        <f>SUM(OSRRefD21_9x_3)</f>
        <v>100</v>
      </c>
      <c r="H77" s="1">
        <f>SUM(OSRRefE21_9x_0)</f>
        <v>100</v>
      </c>
      <c r="I77" s="1">
        <f>SUM(OSRRefE21_9x_1)</f>
        <v>100</v>
      </c>
      <c r="J77" s="1">
        <f>SUM(OSRRefE21_9x_2)</f>
        <v>100</v>
      </c>
      <c r="K77" s="1">
        <f>SUM(OSRRefE21_9x_3)</f>
        <v>100</v>
      </c>
      <c r="L77" s="1">
        <f>SUM(OSRRefE21_9x_4)</f>
        <v>100</v>
      </c>
      <c r="M77" s="1">
        <f>SUM(OSRRefE21_9x_5)</f>
        <v>100</v>
      </c>
      <c r="N77" s="1">
        <f>SUM(OSRRefE21_9x_6)</f>
        <v>100</v>
      </c>
      <c r="O77" s="1">
        <f>SUM(OSRRefE21_9x_7)</f>
        <v>100</v>
      </c>
      <c r="Q77" s="2">
        <f>SUM(OSRRefD20_9x)+IFERROR(SUM(OSRRefE20_9x),0)</f>
        <v>1200</v>
      </c>
    </row>
    <row r="78" spans="1:17" s="34" customFormat="1" hidden="1" outlineLevel="1" x14ac:dyDescent="0.25">
      <c r="A78" s="35"/>
      <c r="B78" s="13" t="str">
        <f>CONCATENATE("          ","6408", " - ","INVENTORY ADJUSTMENT")</f>
        <v xml:space="preserve">          6408 - INVENTORY ADJUSTMENT</v>
      </c>
      <c r="C78" s="15"/>
      <c r="D78" s="2">
        <v>100</v>
      </c>
      <c r="E78" s="2">
        <v>100</v>
      </c>
      <c r="F78" s="2">
        <v>100</v>
      </c>
      <c r="G78" s="2">
        <v>100</v>
      </c>
      <c r="H78" s="2">
        <v>100</v>
      </c>
      <c r="I78" s="2">
        <v>100</v>
      </c>
      <c r="J78" s="2">
        <v>100</v>
      </c>
      <c r="K78" s="2">
        <v>100</v>
      </c>
      <c r="L78" s="2">
        <v>100</v>
      </c>
      <c r="M78" s="2">
        <v>100</v>
      </c>
      <c r="N78" s="2">
        <v>100</v>
      </c>
      <c r="O78" s="2">
        <v>100</v>
      </c>
      <c r="P78" s="9"/>
      <c r="Q78" s="2">
        <f>SUM(OSRRefD21_9_0x)+IFERROR(SUM(OSRRefE21_9_0x),0)</f>
        <v>1200</v>
      </c>
    </row>
    <row r="79" spans="1:17" s="34" customFormat="1" collapsed="1" x14ac:dyDescent="0.25">
      <c r="A79" s="35"/>
      <c r="B79" s="15" t="str">
        <f>CONCATENATE("     ","Professional Services                             ")</f>
        <v xml:space="preserve">     Professional Services                             </v>
      </c>
      <c r="C79" s="15"/>
      <c r="D79" s="1">
        <f>SUM(OSRRefD21_10x_0)</f>
        <v>0</v>
      </c>
      <c r="E79" s="1">
        <f>SUM(OSRRefD21_10x_1)</f>
        <v>0</v>
      </c>
      <c r="F79" s="1">
        <f>SUM(OSRRefD21_10x_2)</f>
        <v>0</v>
      </c>
      <c r="G79" s="1">
        <f>SUM(OSRRefD21_10x_3)</f>
        <v>0</v>
      </c>
      <c r="H79" s="1">
        <f>SUM(OSRRefE21_10x_0)</f>
        <v>0</v>
      </c>
      <c r="I79" s="1">
        <f>SUM(OSRRefE21_10x_1)</f>
        <v>0</v>
      </c>
      <c r="J79" s="1">
        <f>SUM(OSRRefE21_10x_2)</f>
        <v>0</v>
      </c>
      <c r="K79" s="1">
        <f>SUM(OSRRefE21_10x_3)</f>
        <v>0</v>
      </c>
      <c r="L79" s="1">
        <f>SUM(OSRRefE21_10x_4)</f>
        <v>0</v>
      </c>
      <c r="M79" s="1">
        <f>SUM(OSRRefE21_10x_5)</f>
        <v>0</v>
      </c>
      <c r="N79" s="1">
        <f>SUM(OSRRefE21_10x_6)</f>
        <v>0</v>
      </c>
      <c r="O79" s="1">
        <f>SUM(OSRRefE21_10x_7)</f>
        <v>0</v>
      </c>
      <c r="Q79" s="2">
        <f>SUM(OSRRefD20_10x)+IFERROR(SUM(OSRRefE20_10x),0)</f>
        <v>0</v>
      </c>
    </row>
    <row r="80" spans="1:17" s="34" customFormat="1" hidden="1" outlineLevel="1" x14ac:dyDescent="0.25">
      <c r="A80" s="35"/>
      <c r="B80" s="13" t="str">
        <f>CONCATENATE("          ","6336", " - ","PROFESSIONAL SERVICES")</f>
        <v xml:space="preserve">          6336 - PROFESSIONAL SERVICES</v>
      </c>
      <c r="C80" s="15"/>
      <c r="D80" s="2"/>
      <c r="E80" s="2"/>
      <c r="F80" s="2"/>
      <c r="G80" s="2"/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SUM(OSRRefD21_10_0x)+IFERROR(SUM(OSRRefE21_10_0x),0)</f>
        <v>0</v>
      </c>
    </row>
    <row r="81" spans="1:17" s="34" customFormat="1" collapsed="1" x14ac:dyDescent="0.25">
      <c r="A81" s="35"/>
      <c r="B81" s="15" t="str">
        <f>CONCATENATE("     ","Rent                                              ")</f>
        <v xml:space="preserve">     Rent                                              </v>
      </c>
      <c r="C81" s="15"/>
      <c r="D81" s="1">
        <f>SUM(OSRRefD21_11x_0)</f>
        <v>6900</v>
      </c>
      <c r="E81" s="1">
        <f>SUM(OSRRefD21_11x_1)</f>
        <v>6900</v>
      </c>
      <c r="F81" s="1">
        <f>SUM(OSRRefD21_11x_2)</f>
        <v>6900</v>
      </c>
      <c r="G81" s="1">
        <f>SUM(OSRRefD21_11x_3)</f>
        <v>6900</v>
      </c>
      <c r="H81" s="1">
        <f>SUM(OSRRefE21_11x_0)</f>
        <v>6900</v>
      </c>
      <c r="I81" s="1">
        <f>SUM(OSRRefE21_11x_1)</f>
        <v>6900</v>
      </c>
      <c r="J81" s="1">
        <f>SUM(OSRRefE21_11x_2)</f>
        <v>6900</v>
      </c>
      <c r="K81" s="1">
        <f>SUM(OSRRefE21_11x_3)</f>
        <v>6900</v>
      </c>
      <c r="L81" s="1">
        <f>SUM(OSRRefE21_11x_4)</f>
        <v>6900</v>
      </c>
      <c r="M81" s="1">
        <f>SUM(OSRRefE21_11x_5)</f>
        <v>6900</v>
      </c>
      <c r="N81" s="1">
        <f>SUM(OSRRefE21_11x_6)</f>
        <v>6900</v>
      </c>
      <c r="O81" s="1">
        <f>SUM(OSRRefE21_11x_7)</f>
        <v>6900</v>
      </c>
      <c r="Q81" s="2">
        <f>SUM(OSRRefD20_11x)+IFERROR(SUM(OSRRefE20_11x),0)</f>
        <v>82800</v>
      </c>
    </row>
    <row r="82" spans="1:17" s="34" customFormat="1" hidden="1" outlineLevel="1" x14ac:dyDescent="0.25">
      <c r="A82" s="35"/>
      <c r="B82" s="13" t="str">
        <f>CONCATENATE("          ","6273", " - ","RENT")</f>
        <v xml:space="preserve">          6273 - RENT</v>
      </c>
      <c r="C82" s="15"/>
      <c r="D82" s="2">
        <v>6900</v>
      </c>
      <c r="E82" s="2">
        <v>6900</v>
      </c>
      <c r="F82" s="2">
        <v>6900</v>
      </c>
      <c r="G82" s="2">
        <v>6900</v>
      </c>
      <c r="H82" s="2">
        <v>6900</v>
      </c>
      <c r="I82" s="2">
        <v>6900</v>
      </c>
      <c r="J82" s="2">
        <v>6900</v>
      </c>
      <c r="K82" s="2">
        <v>6900</v>
      </c>
      <c r="L82" s="2">
        <v>6900</v>
      </c>
      <c r="M82" s="2">
        <v>6900</v>
      </c>
      <c r="N82" s="2">
        <v>6900</v>
      </c>
      <c r="O82" s="2">
        <v>6900</v>
      </c>
      <c r="P82" s="9"/>
      <c r="Q82" s="2">
        <f>SUM(OSRRefD21_11_0x)+IFERROR(SUM(OSRRefE21_11_0x),0)</f>
        <v>82800</v>
      </c>
    </row>
    <row r="83" spans="1:17" s="34" customFormat="1" collapsed="1" x14ac:dyDescent="0.25">
      <c r="A83" s="35"/>
      <c r="B83" s="15" t="str">
        <f>CONCATENATE("     ","Repair and Maintenance                            ")</f>
        <v xml:space="preserve">     Repair and Maintenance                            </v>
      </c>
      <c r="C83" s="15"/>
      <c r="D83" s="1">
        <f>SUM(OSRRefD21_12x_0)</f>
        <v>0</v>
      </c>
      <c r="E83" s="1">
        <f>SUM(OSRRefD21_12x_1)</f>
        <v>0</v>
      </c>
      <c r="F83" s="1">
        <f>SUM(OSRRefD21_12x_2)</f>
        <v>48.21</v>
      </c>
      <c r="G83" s="1">
        <f>SUM(OSRRefD21_12x_3)</f>
        <v>0</v>
      </c>
      <c r="H83" s="1">
        <f>SUM(OSRRefE21_12x_0)</f>
        <v>100</v>
      </c>
      <c r="I83" s="1">
        <f>SUM(OSRRefE21_12x_1)</f>
        <v>0</v>
      </c>
      <c r="J83" s="1">
        <f>SUM(OSRRefE21_12x_2)</f>
        <v>100</v>
      </c>
      <c r="K83" s="1">
        <f>SUM(OSRRefE21_12x_3)</f>
        <v>0</v>
      </c>
      <c r="L83" s="1">
        <f>SUM(OSRRefE21_12x_4)</f>
        <v>100</v>
      </c>
      <c r="M83" s="1">
        <f>SUM(OSRRefE21_12x_5)</f>
        <v>0</v>
      </c>
      <c r="N83" s="1">
        <f>SUM(OSRRefE21_12x_6)</f>
        <v>100</v>
      </c>
      <c r="O83" s="1">
        <f>SUM(OSRRefE21_12x_7)</f>
        <v>0</v>
      </c>
      <c r="Q83" s="2">
        <f>SUM(OSRRefD20_12x)+IFERROR(SUM(OSRRefE20_12x),0)</f>
        <v>448.21</v>
      </c>
    </row>
    <row r="84" spans="1:17" s="34" customFormat="1" hidden="1" outlineLevel="1" x14ac:dyDescent="0.25">
      <c r="A84" s="35"/>
      <c r="B84" s="13" t="str">
        <f>CONCATENATE("          ","6373", " - ","MAINTENANCE CONTRACTS")</f>
        <v xml:space="preserve">          6373 - MAINTENANCE CONTRACTS</v>
      </c>
      <c r="C84" s="15"/>
      <c r="D84" s="2"/>
      <c r="E84" s="2"/>
      <c r="F84" s="2">
        <v>48.21</v>
      </c>
      <c r="G84" s="2"/>
      <c r="H84" s="2"/>
      <c r="I84" s="2"/>
      <c r="J84" s="2"/>
      <c r="K84" s="2"/>
      <c r="L84" s="2"/>
      <c r="M84" s="2"/>
      <c r="N84" s="2"/>
      <c r="O84" s="2"/>
      <c r="P84" s="9"/>
      <c r="Q84" s="2">
        <f>SUM(OSRRefD21_12_0x)+IFERROR(SUM(OSRRefE21_12_0x),0)</f>
        <v>48.21</v>
      </c>
    </row>
    <row r="85" spans="1:17" s="34" customFormat="1" hidden="1" outlineLevel="1" x14ac:dyDescent="0.25">
      <c r="A85" s="35"/>
      <c r="B85" s="13" t="str">
        <f>CONCATENATE("          ","6375", " - ","OUTSIDE REPAIRS &amp; MAINTENANCE")</f>
        <v xml:space="preserve">          6375 - OUTSIDE REPAIRS &amp; MAINTENANCE</v>
      </c>
      <c r="C85" s="15"/>
      <c r="D85" s="2"/>
      <c r="E85" s="2"/>
      <c r="F85" s="2"/>
      <c r="G85" s="2"/>
      <c r="H85" s="2">
        <v>100</v>
      </c>
      <c r="I85" s="2"/>
      <c r="J85" s="2">
        <v>100</v>
      </c>
      <c r="K85" s="2"/>
      <c r="L85" s="2">
        <v>100</v>
      </c>
      <c r="M85" s="2"/>
      <c r="N85" s="2">
        <v>100</v>
      </c>
      <c r="O85" s="2"/>
      <c r="P85" s="9"/>
      <c r="Q85" s="2">
        <f>SUM(OSRRefD21_12_1x)+IFERROR(SUM(OSRRefE21_12_1x),0)</f>
        <v>400</v>
      </c>
    </row>
    <row r="86" spans="1:17" s="34" customFormat="1" collapsed="1" x14ac:dyDescent="0.25">
      <c r="A86" s="35"/>
      <c r="B86" s="15" t="str">
        <f>CONCATENATE("     ","Services                                          ")</f>
        <v xml:space="preserve">     Services                                          </v>
      </c>
      <c r="C86" s="15"/>
      <c r="D86" s="1">
        <f>SUM(OSRRefD21_13x_0)</f>
        <v>-333.44</v>
      </c>
      <c r="E86" s="1">
        <f>SUM(OSRRefD21_13x_1)</f>
        <v>81.84</v>
      </c>
      <c r="F86" s="1">
        <f>SUM(OSRRefD21_13x_2)</f>
        <v>142.57</v>
      </c>
      <c r="G86" s="1">
        <f>SUM(OSRRefD21_13x_3)</f>
        <v>96.860000000000014</v>
      </c>
      <c r="H86" s="1">
        <f>SUM(OSRRefE21_13x_0)</f>
        <v>155</v>
      </c>
      <c r="I86" s="1">
        <f>SUM(OSRRefE21_13x_1)</f>
        <v>210</v>
      </c>
      <c r="J86" s="1">
        <f>SUM(OSRRefE21_13x_2)</f>
        <v>480</v>
      </c>
      <c r="K86" s="1">
        <f>SUM(OSRRefE21_13x_3)</f>
        <v>155</v>
      </c>
      <c r="L86" s="1">
        <f>SUM(OSRRefE21_13x_4)</f>
        <v>210</v>
      </c>
      <c r="M86" s="1">
        <f>SUM(OSRRefE21_13x_5)</f>
        <v>255</v>
      </c>
      <c r="N86" s="1">
        <f>SUM(OSRRefE21_13x_6)</f>
        <v>155</v>
      </c>
      <c r="O86" s="1">
        <f>SUM(OSRRefE21_13x_7)</f>
        <v>210</v>
      </c>
      <c r="Q86" s="2">
        <f>SUM(OSRRefD20_13x)+IFERROR(SUM(OSRRefE20_13x),0)</f>
        <v>1817.83</v>
      </c>
    </row>
    <row r="87" spans="1:17" s="34" customFormat="1" hidden="1" outlineLevel="1" x14ac:dyDescent="0.25">
      <c r="A87" s="35"/>
      <c r="B87" s="13" t="str">
        <f>CONCATENATE("          ","6283", " - ","PLANT SERVICE")</f>
        <v xml:space="preserve">          6283 - PLANT SERVICE</v>
      </c>
      <c r="C87" s="15"/>
      <c r="D87" s="2"/>
      <c r="E87" s="2"/>
      <c r="F87" s="2"/>
      <c r="G87" s="2"/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9"/>
      <c r="Q87" s="2">
        <f>SUM(OSRRefD21_13_0x)+IFERROR(SUM(OSRRefE21_13_0x),0)</f>
        <v>0</v>
      </c>
    </row>
    <row r="88" spans="1:17" s="34" customFormat="1" hidden="1" outlineLevel="1" x14ac:dyDescent="0.25">
      <c r="A88" s="35"/>
      <c r="B88" s="13" t="str">
        <f>CONCATENATE("          ","6284", " - ","TRASH REMOVAL EXPENSE")</f>
        <v xml:space="preserve">          6284 - TRASH REMOVAL EXPENSE</v>
      </c>
      <c r="C88" s="15"/>
      <c r="D88" s="2">
        <v>142.57</v>
      </c>
      <c r="E88" s="2">
        <v>142.57</v>
      </c>
      <c r="F88" s="2">
        <v>142.57</v>
      </c>
      <c r="G88" s="2">
        <v>157.59</v>
      </c>
      <c r="H88" s="2">
        <v>55</v>
      </c>
      <c r="I88" s="2">
        <v>110</v>
      </c>
      <c r="J88" s="2">
        <v>55</v>
      </c>
      <c r="K88" s="2">
        <v>55</v>
      </c>
      <c r="L88" s="2">
        <v>110</v>
      </c>
      <c r="M88" s="2">
        <v>55</v>
      </c>
      <c r="N88" s="2">
        <v>55</v>
      </c>
      <c r="O88" s="2">
        <v>110</v>
      </c>
      <c r="P88" s="9"/>
      <c r="Q88" s="2">
        <f>SUM(OSRRefD21_13_1x)+IFERROR(SUM(OSRRefE21_13_1x),0)</f>
        <v>1190.3</v>
      </c>
    </row>
    <row r="89" spans="1:17" s="34" customFormat="1" hidden="1" outlineLevel="1" x14ac:dyDescent="0.25">
      <c r="A89" s="35"/>
      <c r="B89" s="13" t="str">
        <f>CONCATENATE("          ","6285", " - ","JANITORIAL SERVICES")</f>
        <v xml:space="preserve">          6285 - JANITORIAL SERVICES</v>
      </c>
      <c r="C89" s="15"/>
      <c r="D89" s="2">
        <v>-476.01</v>
      </c>
      <c r="E89" s="2">
        <v>-60.73</v>
      </c>
      <c r="F89" s="2"/>
      <c r="G89" s="2">
        <v>-60.73</v>
      </c>
      <c r="H89" s="2">
        <v>100</v>
      </c>
      <c r="I89" s="2">
        <v>100</v>
      </c>
      <c r="J89" s="2">
        <v>425</v>
      </c>
      <c r="K89" s="2">
        <v>100</v>
      </c>
      <c r="L89" s="2">
        <v>100</v>
      </c>
      <c r="M89" s="2">
        <v>200</v>
      </c>
      <c r="N89" s="2">
        <v>100</v>
      </c>
      <c r="O89" s="2">
        <v>100</v>
      </c>
      <c r="P89" s="9"/>
      <c r="Q89" s="2">
        <f>SUM(OSRRefD21_13_2x)+IFERROR(SUM(OSRRefE21_13_2x),0)</f>
        <v>627.53</v>
      </c>
    </row>
    <row r="90" spans="1:17" s="34" customFormat="1" collapsed="1" x14ac:dyDescent="0.25">
      <c r="A90" s="35"/>
      <c r="B90" s="15" t="str">
        <f>CONCATENATE("     ","Subscriptions &amp; Dues                              ")</f>
        <v xml:space="preserve">     Subscriptions &amp; Dues                              </v>
      </c>
      <c r="C90" s="15"/>
      <c r="D90" s="1">
        <f>SUM(OSRRefD21_14x_0)</f>
        <v>75</v>
      </c>
      <c r="E90" s="1">
        <f>SUM(OSRRefD21_14x_1)</f>
        <v>0</v>
      </c>
      <c r="F90" s="1">
        <f>SUM(OSRRefD21_14x_2)</f>
        <v>0</v>
      </c>
      <c r="G90" s="1">
        <f>SUM(OSRRefD21_14x_3)</f>
        <v>75</v>
      </c>
      <c r="H90" s="1">
        <f>SUM(OSRRefE21_14x_0)</f>
        <v>0</v>
      </c>
      <c r="I90" s="1">
        <f>SUM(OSRRefE21_14x_1)</f>
        <v>0</v>
      </c>
      <c r="J90" s="1">
        <f>SUM(OSRRefE21_14x_2)</f>
        <v>0</v>
      </c>
      <c r="K90" s="1">
        <f>SUM(OSRRefE21_14x_3)</f>
        <v>0</v>
      </c>
      <c r="L90" s="1">
        <f>SUM(OSRRefE21_14x_4)</f>
        <v>0</v>
      </c>
      <c r="M90" s="1">
        <f>SUM(OSRRefE21_14x_5)</f>
        <v>0</v>
      </c>
      <c r="N90" s="1">
        <f>SUM(OSRRefE21_14x_6)</f>
        <v>0</v>
      </c>
      <c r="O90" s="1">
        <f>SUM(OSRRefE21_14x_7)</f>
        <v>200</v>
      </c>
      <c r="Q90" s="2">
        <f>SUM(OSRRefD20_14x)+IFERROR(SUM(OSRRefE20_14x),0)</f>
        <v>350</v>
      </c>
    </row>
    <row r="91" spans="1:17" s="34" customFormat="1" hidden="1" outlineLevel="1" x14ac:dyDescent="0.25">
      <c r="A91" s="35"/>
      <c r="B91" s="13" t="str">
        <f>CONCATENATE("          ","6258", " - ","MEMBERSHIP DUES")</f>
        <v xml:space="preserve">          6258 - MEMBERSHIP DUES</v>
      </c>
      <c r="C91" s="15"/>
      <c r="D91" s="2"/>
      <c r="E91" s="2"/>
      <c r="F91" s="2"/>
      <c r="G91" s="2"/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200</v>
      </c>
      <c r="P91" s="9"/>
      <c r="Q91" s="2">
        <f>SUM(OSRRefD21_14_0x)+IFERROR(SUM(OSRRefE21_14_0x),0)</f>
        <v>200</v>
      </c>
    </row>
    <row r="92" spans="1:17" s="34" customFormat="1" hidden="1" outlineLevel="1" x14ac:dyDescent="0.25">
      <c r="A92" s="35"/>
      <c r="B92" s="13" t="str">
        <f>CONCATENATE("          ","6275", " - ","SUBSCRIPTIONS")</f>
        <v xml:space="preserve">          6275 - SUBSCRIPTIONS</v>
      </c>
      <c r="C92" s="15"/>
      <c r="D92" s="2">
        <v>75</v>
      </c>
      <c r="E92" s="2"/>
      <c r="F92" s="2"/>
      <c r="G92" s="2">
        <v>75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9"/>
      <c r="Q92" s="2">
        <f>SUM(OSRRefD21_14_1x)+IFERROR(SUM(OSRRefE21_14_1x),0)</f>
        <v>150</v>
      </c>
    </row>
    <row r="93" spans="1:17" s="34" customFormat="1" collapsed="1" x14ac:dyDescent="0.25">
      <c r="A93" s="35"/>
      <c r="B93" s="15" t="str">
        <f>CONCATENATE("     ","Supplies                                          ")</f>
        <v xml:space="preserve">     Supplies                                          </v>
      </c>
      <c r="C93" s="15"/>
      <c r="D93" s="1">
        <f>SUM(OSRRefD21_15x_0)</f>
        <v>139.31</v>
      </c>
      <c r="E93" s="1">
        <f>SUM(OSRRefD21_15x_1)</f>
        <v>4.96</v>
      </c>
      <c r="F93" s="1">
        <f>SUM(OSRRefD21_15x_2)</f>
        <v>265.7</v>
      </c>
      <c r="G93" s="1">
        <f>SUM(OSRRefD21_15x_3)</f>
        <v>52.43</v>
      </c>
      <c r="H93" s="1">
        <f>SUM(OSRRefE21_15x_0)</f>
        <v>160</v>
      </c>
      <c r="I93" s="1">
        <f>SUM(OSRRefE21_15x_1)</f>
        <v>110</v>
      </c>
      <c r="J93" s="1">
        <f>SUM(OSRRefE21_15x_2)</f>
        <v>195</v>
      </c>
      <c r="K93" s="1">
        <f>SUM(OSRRefE21_15x_3)</f>
        <v>110</v>
      </c>
      <c r="L93" s="1">
        <f>SUM(OSRRefE21_15x_4)</f>
        <v>170</v>
      </c>
      <c r="M93" s="1">
        <f>SUM(OSRRefE21_15x_5)</f>
        <v>145</v>
      </c>
      <c r="N93" s="1">
        <f>SUM(OSRRefE21_15x_6)</f>
        <v>170</v>
      </c>
      <c r="O93" s="1">
        <f>SUM(OSRRefE21_15x_7)</f>
        <v>120</v>
      </c>
      <c r="Q93" s="2">
        <f>SUM(OSRRefD20_15x)+IFERROR(SUM(OSRRefE20_15x),0)</f>
        <v>1642.4</v>
      </c>
    </row>
    <row r="94" spans="1:17" s="34" customFormat="1" hidden="1" outlineLevel="1" x14ac:dyDescent="0.25">
      <c r="A94" s="35"/>
      <c r="B94" s="13" t="str">
        <f>CONCATENATE("          ","6234", " - ","EXPENDABLE SUPPLIES &amp; EQUIPMEN")</f>
        <v xml:space="preserve">          6234 - EXPENDABLE SUPPLIES &amp; EQUIPMEN</v>
      </c>
      <c r="C94" s="15"/>
      <c r="D94" s="2"/>
      <c r="E94" s="2"/>
      <c r="F94" s="2"/>
      <c r="G94" s="2"/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9"/>
      <c r="Q94" s="2">
        <f>SUM(OSRRefD21_15_0x)+IFERROR(SUM(OSRRefE21_15_0x),0)</f>
        <v>0</v>
      </c>
    </row>
    <row r="95" spans="1:17" s="34" customFormat="1" hidden="1" outlineLevel="1" x14ac:dyDescent="0.25">
      <c r="A95" s="35"/>
      <c r="B95" s="13" t="str">
        <f>CONCATENATE("          ","6235", " - ","COVID-19 EXPENSES")</f>
        <v xml:space="preserve">          6235 - COVID-19 EXPENSES</v>
      </c>
      <c r="C95" s="15"/>
      <c r="D95" s="2"/>
      <c r="E95" s="2"/>
      <c r="F95" s="2">
        <v>265.7</v>
      </c>
      <c r="G95" s="2"/>
      <c r="H95" s="2">
        <v>100</v>
      </c>
      <c r="I95" s="2">
        <v>100</v>
      </c>
      <c r="J95" s="2">
        <v>100</v>
      </c>
      <c r="K95" s="2">
        <v>100</v>
      </c>
      <c r="L95" s="2">
        <v>100</v>
      </c>
      <c r="M95" s="2">
        <v>100</v>
      </c>
      <c r="N95" s="2">
        <v>100</v>
      </c>
      <c r="O95" s="2">
        <v>100</v>
      </c>
      <c r="P95" s="9"/>
      <c r="Q95" s="2">
        <f>SUM(OSRRefD21_15_1x)+IFERROR(SUM(OSRRefE21_15_1x),0)</f>
        <v>1065.7</v>
      </c>
    </row>
    <row r="96" spans="1:17" s="34" customFormat="1" hidden="1" outlineLevel="1" x14ac:dyDescent="0.25">
      <c r="A96" s="35"/>
      <c r="B96" s="13" t="str">
        <f>CONCATENATE("          ","6237", " - ","JANITORIAL SUPPLIES")</f>
        <v xml:space="preserve">          6237 - JANITORIAL SUPPLIES</v>
      </c>
      <c r="C96" s="15"/>
      <c r="D96" s="2">
        <v>139.31</v>
      </c>
      <c r="E96" s="2"/>
      <c r="F96" s="2"/>
      <c r="G96" s="2">
        <v>52.43</v>
      </c>
      <c r="H96" s="2">
        <v>10</v>
      </c>
      <c r="I96" s="2">
        <v>10</v>
      </c>
      <c r="J96" s="2">
        <v>20</v>
      </c>
      <c r="K96" s="2">
        <v>10</v>
      </c>
      <c r="L96" s="2">
        <v>20</v>
      </c>
      <c r="M96" s="2">
        <v>20</v>
      </c>
      <c r="N96" s="2">
        <v>20</v>
      </c>
      <c r="O96" s="2">
        <v>20</v>
      </c>
      <c r="P96" s="9"/>
      <c r="Q96" s="2">
        <f>SUM(OSRRefD21_15_2x)+IFERROR(SUM(OSRRefE21_15_2x),0)</f>
        <v>321.74</v>
      </c>
    </row>
    <row r="97" spans="1:17" s="34" customFormat="1" hidden="1" outlineLevel="1" x14ac:dyDescent="0.25">
      <c r="A97" s="35"/>
      <c r="B97" s="13" t="str">
        <f>CONCATENATE("          ","6241", " - ","OFFICE EXPENSE")</f>
        <v xml:space="preserve">          6241 - OFFICE EXPENSE</v>
      </c>
      <c r="C97" s="15"/>
      <c r="D97" s="2"/>
      <c r="E97" s="2">
        <v>4.96</v>
      </c>
      <c r="F97" s="2"/>
      <c r="G97" s="2"/>
      <c r="H97" s="2">
        <v>25</v>
      </c>
      <c r="I97" s="2">
        <v>0</v>
      </c>
      <c r="J97" s="2">
        <v>25</v>
      </c>
      <c r="K97" s="2">
        <v>0</v>
      </c>
      <c r="L97" s="2">
        <v>25</v>
      </c>
      <c r="M97" s="2">
        <v>0</v>
      </c>
      <c r="N97" s="2">
        <v>25</v>
      </c>
      <c r="O97" s="2">
        <v>0</v>
      </c>
      <c r="P97" s="9"/>
      <c r="Q97" s="2">
        <f>SUM(OSRRefD21_15_3x)+IFERROR(SUM(OSRRefE21_15_3x),0)</f>
        <v>104.96</v>
      </c>
    </row>
    <row r="98" spans="1:17" s="34" customFormat="1" hidden="1" outlineLevel="1" x14ac:dyDescent="0.25">
      <c r="A98" s="35"/>
      <c r="B98" s="13" t="str">
        <f>CONCATENATE("          ","6244", " - ","SAFETY SUPPLY EXPENSE")</f>
        <v xml:space="preserve">          6244 - SAFETY SUPPLY EXPENSE</v>
      </c>
      <c r="C98" s="15"/>
      <c r="D98" s="2"/>
      <c r="E98" s="2"/>
      <c r="F98" s="2"/>
      <c r="G98" s="2"/>
      <c r="H98" s="2">
        <v>0</v>
      </c>
      <c r="I98" s="2">
        <v>0</v>
      </c>
      <c r="J98" s="2">
        <v>25</v>
      </c>
      <c r="K98" s="2">
        <v>0</v>
      </c>
      <c r="L98" s="2">
        <v>0</v>
      </c>
      <c r="M98" s="2">
        <v>25</v>
      </c>
      <c r="N98" s="2">
        <v>0</v>
      </c>
      <c r="O98" s="2">
        <v>0</v>
      </c>
      <c r="P98" s="9"/>
      <c r="Q98" s="2">
        <f>SUM(OSRRefD21_15_4x)+IFERROR(SUM(OSRRefE21_15_4x),0)</f>
        <v>50</v>
      </c>
    </row>
    <row r="99" spans="1:17" s="34" customFormat="1" hidden="1" outlineLevel="1" x14ac:dyDescent="0.25">
      <c r="A99" s="35"/>
      <c r="B99" s="13" t="str">
        <f>CONCATENATE("          ","6247", " - ","STORE SUPPLIES")</f>
        <v xml:space="preserve">          6247 - STORE SUPPLIES</v>
      </c>
      <c r="C99" s="15"/>
      <c r="D99" s="2"/>
      <c r="E99" s="2"/>
      <c r="F99" s="2"/>
      <c r="G99" s="2"/>
      <c r="H99" s="2">
        <v>25</v>
      </c>
      <c r="I99" s="2">
        <v>0</v>
      </c>
      <c r="J99" s="2">
        <v>25</v>
      </c>
      <c r="K99" s="2">
        <v>0</v>
      </c>
      <c r="L99" s="2">
        <v>25</v>
      </c>
      <c r="M99" s="2">
        <v>0</v>
      </c>
      <c r="N99" s="2">
        <v>25</v>
      </c>
      <c r="O99" s="2">
        <v>0</v>
      </c>
      <c r="P99" s="9"/>
      <c r="Q99" s="2">
        <f>SUM(OSRRefD21_15_5x)+IFERROR(SUM(OSRRefE21_15_5x),0)</f>
        <v>100</v>
      </c>
    </row>
    <row r="100" spans="1:17" s="34" customFormat="1" collapsed="1" x14ac:dyDescent="0.25">
      <c r="A100" s="35"/>
      <c r="B100" s="15" t="str">
        <f>CONCATENATE("     ","Telephone/Data Lines                              ")</f>
        <v xml:space="preserve">     Telephone/Data Lines                              </v>
      </c>
      <c r="C100" s="15"/>
      <c r="D100" s="1">
        <f>SUM(OSRRefD21_16x_0)</f>
        <v>278.32</v>
      </c>
      <c r="E100" s="1">
        <f>SUM(OSRRefD21_16x_1)</f>
        <v>281.48</v>
      </c>
      <c r="F100" s="1">
        <f>SUM(OSRRefD21_16x_2)</f>
        <v>511.48</v>
      </c>
      <c r="G100" s="1">
        <f>SUM(OSRRefD21_16x_3)</f>
        <v>281.48</v>
      </c>
      <c r="H100" s="1">
        <f>SUM(OSRRefE21_16x_0)</f>
        <v>230</v>
      </c>
      <c r="I100" s="1">
        <f>SUM(OSRRefE21_16x_1)</f>
        <v>230</v>
      </c>
      <c r="J100" s="1">
        <f>SUM(OSRRefE21_16x_2)</f>
        <v>230</v>
      </c>
      <c r="K100" s="1">
        <f>SUM(OSRRefE21_16x_3)</f>
        <v>230</v>
      </c>
      <c r="L100" s="1">
        <f>SUM(OSRRefE21_16x_4)</f>
        <v>230</v>
      </c>
      <c r="M100" s="1">
        <f>SUM(OSRRefE21_16x_5)</f>
        <v>230</v>
      </c>
      <c r="N100" s="1">
        <f>SUM(OSRRefE21_16x_6)</f>
        <v>230</v>
      </c>
      <c r="O100" s="1">
        <f>SUM(OSRRefE21_16x_7)</f>
        <v>230</v>
      </c>
      <c r="Q100" s="2">
        <f>SUM(OSRRefD20_16x)+IFERROR(SUM(OSRRefE20_16x),0)</f>
        <v>3192.76</v>
      </c>
    </row>
    <row r="101" spans="1:17" s="34" customFormat="1" hidden="1" outlineLevel="1" x14ac:dyDescent="0.25">
      <c r="A101" s="35"/>
      <c r="B101" s="13" t="str">
        <f>CONCATENATE("          ","6303", " - ","DATA PHONE LINES")</f>
        <v xml:space="preserve">          6303 - DATA PHONE LINES</v>
      </c>
      <c r="C101" s="15"/>
      <c r="D101" s="2"/>
      <c r="E101" s="2"/>
      <c r="F101" s="2"/>
      <c r="G101" s="2"/>
      <c r="H101" s="2">
        <v>230</v>
      </c>
      <c r="I101" s="2">
        <v>230</v>
      </c>
      <c r="J101" s="2">
        <v>230</v>
      </c>
      <c r="K101" s="2">
        <v>230</v>
      </c>
      <c r="L101" s="2">
        <v>230</v>
      </c>
      <c r="M101" s="2">
        <v>230</v>
      </c>
      <c r="N101" s="2">
        <v>230</v>
      </c>
      <c r="O101" s="2">
        <v>230</v>
      </c>
      <c r="P101" s="9"/>
      <c r="Q101" s="2">
        <f>SUM(OSRRefD21_16_0x)+IFERROR(SUM(OSRRefE21_16_0x),0)</f>
        <v>1840</v>
      </c>
    </row>
    <row r="102" spans="1:17" s="34" customFormat="1" hidden="1" outlineLevel="1" x14ac:dyDescent="0.25">
      <c r="A102" s="35"/>
      <c r="B102" s="13" t="str">
        <f>CONCATENATE("          ","6309", " - ","TELEPHONE")</f>
        <v xml:space="preserve">          6309 - TELEPHONE</v>
      </c>
      <c r="C102" s="15"/>
      <c r="D102" s="2">
        <v>278.32</v>
      </c>
      <c r="E102" s="2">
        <v>281.48</v>
      </c>
      <c r="F102" s="2">
        <v>511.48</v>
      </c>
      <c r="G102" s="2">
        <v>281.48</v>
      </c>
      <c r="H102" s="2"/>
      <c r="I102" s="2"/>
      <c r="J102" s="2"/>
      <c r="K102" s="2"/>
      <c r="L102" s="2"/>
      <c r="M102" s="2"/>
      <c r="N102" s="2"/>
      <c r="O102" s="2"/>
      <c r="P102" s="9"/>
      <c r="Q102" s="2">
        <f>SUM(OSRRefD21_16_1x)+IFERROR(SUM(OSRRefE21_16_1x),0)</f>
        <v>1352.76</v>
      </c>
    </row>
    <row r="103" spans="1:17" s="34" customFormat="1" collapsed="1" x14ac:dyDescent="0.25">
      <c r="A103" s="35"/>
      <c r="B103" s="15" t="str">
        <f>CONCATENATE("     ","Training                                          ")</f>
        <v xml:space="preserve">     Training                                          </v>
      </c>
      <c r="C103" s="15"/>
      <c r="D103" s="1">
        <f>SUM(OSRRefD21_17x_0)</f>
        <v>0</v>
      </c>
      <c r="E103" s="1">
        <f>SUM(OSRRefD21_17x_1)</f>
        <v>0</v>
      </c>
      <c r="F103" s="1">
        <f>SUM(OSRRefD21_17x_2)</f>
        <v>0</v>
      </c>
      <c r="G103" s="1">
        <f>SUM(OSRRefD21_17x_3)</f>
        <v>0</v>
      </c>
      <c r="H103" s="1">
        <f>SUM(OSRRefE21_17x_0)</f>
        <v>0</v>
      </c>
      <c r="I103" s="1">
        <f>SUM(OSRRefE21_17x_1)</f>
        <v>0</v>
      </c>
      <c r="J103" s="1">
        <f>SUM(OSRRefE21_17x_2)</f>
        <v>0</v>
      </c>
      <c r="K103" s="1">
        <f>SUM(OSRRefE21_17x_3)</f>
        <v>0</v>
      </c>
      <c r="L103" s="1">
        <f>SUM(OSRRefE21_17x_4)</f>
        <v>0</v>
      </c>
      <c r="M103" s="1">
        <f>SUM(OSRRefE21_17x_5)</f>
        <v>0</v>
      </c>
      <c r="N103" s="1">
        <f>SUM(OSRRefE21_17x_6)</f>
        <v>0</v>
      </c>
      <c r="O103" s="1">
        <f>SUM(OSRRefE21_17x_7)</f>
        <v>0</v>
      </c>
      <c r="Q103" s="2">
        <f>SUM(OSRRefD20_17x)+IFERROR(SUM(OSRRefE20_17x),0)</f>
        <v>0</v>
      </c>
    </row>
    <row r="104" spans="1:17" s="34" customFormat="1" hidden="1" outlineLevel="1" x14ac:dyDescent="0.25">
      <c r="A104" s="35"/>
      <c r="B104" s="13" t="str">
        <f>CONCATENATE("          ","6376", " - ","TRAINING")</f>
        <v xml:space="preserve">          6376 - TRAINING</v>
      </c>
      <c r="C104" s="15"/>
      <c r="D104" s="2"/>
      <c r="E104" s="2"/>
      <c r="F104" s="2"/>
      <c r="G104" s="2"/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9"/>
      <c r="Q104" s="2">
        <f>SUM(OSRRefD21_17_0x)+IFERROR(SUM(OSRRefE21_17_0x),0)</f>
        <v>0</v>
      </c>
    </row>
    <row r="105" spans="1:17" s="34" customFormat="1" collapsed="1" x14ac:dyDescent="0.25">
      <c r="A105" s="35"/>
      <c r="B105" s="15" t="str">
        <f>CONCATENATE("     ","Travel                                            ")</f>
        <v xml:space="preserve">     Travel                                            </v>
      </c>
      <c r="C105" s="15"/>
      <c r="D105" s="1">
        <f>SUM(OSRRefD21_18x_0)</f>
        <v>215.16</v>
      </c>
      <c r="E105" s="1">
        <f>SUM(OSRRefD21_18x_1)</f>
        <v>25.76</v>
      </c>
      <c r="F105" s="1">
        <f>SUM(OSRRefD21_18x_2)</f>
        <v>0</v>
      </c>
      <c r="G105" s="1">
        <f>SUM(OSRRefD21_18x_3)</f>
        <v>80.959999999999994</v>
      </c>
      <c r="H105" s="1">
        <f>SUM(OSRRefE21_18x_0)</f>
        <v>25</v>
      </c>
      <c r="I105" s="1">
        <f>SUM(OSRRefE21_18x_1)</f>
        <v>25</v>
      </c>
      <c r="J105" s="1">
        <f>SUM(OSRRefE21_18x_2)</f>
        <v>25</v>
      </c>
      <c r="K105" s="1">
        <f>SUM(OSRRefE21_18x_3)</f>
        <v>25</v>
      </c>
      <c r="L105" s="1">
        <f>SUM(OSRRefE21_18x_4)</f>
        <v>25</v>
      </c>
      <c r="M105" s="1">
        <f>SUM(OSRRefE21_18x_5)</f>
        <v>25</v>
      </c>
      <c r="N105" s="1">
        <f>SUM(OSRRefE21_18x_6)</f>
        <v>25</v>
      </c>
      <c r="O105" s="1">
        <f>SUM(OSRRefE21_18x_7)</f>
        <v>25</v>
      </c>
      <c r="Q105" s="2">
        <f>SUM(OSRRefD20_18x)+IFERROR(SUM(OSRRefE20_18x),0)</f>
        <v>521.88</v>
      </c>
    </row>
    <row r="106" spans="1:17" s="34" customFormat="1" hidden="1" outlineLevel="1" x14ac:dyDescent="0.25">
      <c r="A106" s="35"/>
      <c r="B106" s="13" t="str">
        <f>CONCATENATE("          ","6294", " - ","TRAVEL OPERATIONAL")</f>
        <v xml:space="preserve">          6294 - TRAVEL OPERATIONAL</v>
      </c>
      <c r="C106" s="15"/>
      <c r="D106" s="2">
        <v>215.16</v>
      </c>
      <c r="E106" s="2">
        <v>25.76</v>
      </c>
      <c r="F106" s="2"/>
      <c r="G106" s="2">
        <v>80.959999999999994</v>
      </c>
      <c r="H106" s="2"/>
      <c r="I106" s="2"/>
      <c r="J106" s="2"/>
      <c r="K106" s="2"/>
      <c r="L106" s="2"/>
      <c r="M106" s="2"/>
      <c r="N106" s="2"/>
      <c r="O106" s="2"/>
      <c r="P106" s="9"/>
      <c r="Q106" s="2">
        <f>SUM(OSRRefD21_18_0x)+IFERROR(SUM(OSRRefE21_18_0x),0)</f>
        <v>321.88</v>
      </c>
    </row>
    <row r="107" spans="1:17" s="34" customFormat="1" hidden="1" outlineLevel="1" x14ac:dyDescent="0.25">
      <c r="A107" s="35"/>
      <c r="B107" s="13" t="str">
        <f>CONCATENATE("          ","6298", " - ","VEHICLE MILEAGE")</f>
        <v xml:space="preserve">          6298 - VEHICLE MILEAGE</v>
      </c>
      <c r="C107" s="15"/>
      <c r="D107" s="2"/>
      <c r="E107" s="2"/>
      <c r="F107" s="2"/>
      <c r="G107" s="2"/>
      <c r="H107" s="2">
        <v>25</v>
      </c>
      <c r="I107" s="2">
        <v>25</v>
      </c>
      <c r="J107" s="2">
        <v>25</v>
      </c>
      <c r="K107" s="2">
        <v>25</v>
      </c>
      <c r="L107" s="2">
        <v>25</v>
      </c>
      <c r="M107" s="2">
        <v>25</v>
      </c>
      <c r="N107" s="2">
        <v>25</v>
      </c>
      <c r="O107" s="2">
        <v>25</v>
      </c>
      <c r="P107" s="9"/>
      <c r="Q107" s="2">
        <f>SUM(OSRRefD21_18_1x)+IFERROR(SUM(OSRRefE21_18_1x),0)</f>
        <v>200</v>
      </c>
    </row>
    <row r="108" spans="1:17" s="34" customFormat="1" collapsed="1" x14ac:dyDescent="0.25">
      <c r="A108" s="35"/>
      <c r="B108" s="15" t="str">
        <f>CONCATENATE("     ","Utilities                                         ")</f>
        <v xml:space="preserve">     Utilities                                         </v>
      </c>
      <c r="C108" s="15"/>
      <c r="D108" s="1">
        <f>SUM(OSRRefD21_19x_0)</f>
        <v>28.46</v>
      </c>
      <c r="E108" s="1">
        <f>SUM(OSRRefD21_19x_1)</f>
        <v>11.89</v>
      </c>
      <c r="F108" s="1">
        <f>SUM(OSRRefD21_19x_2)</f>
        <v>28.01</v>
      </c>
      <c r="G108" s="1">
        <f>SUM(OSRRefD21_19x_3)</f>
        <v>16.05</v>
      </c>
      <c r="H108" s="1">
        <f>SUM(OSRRefE21_19x_0)</f>
        <v>105</v>
      </c>
      <c r="I108" s="1">
        <f>SUM(OSRRefE21_19x_1)</f>
        <v>225</v>
      </c>
      <c r="J108" s="1">
        <f>SUM(OSRRefE21_19x_2)</f>
        <v>225</v>
      </c>
      <c r="K108" s="1">
        <f>SUM(OSRRefE21_19x_3)</f>
        <v>2800</v>
      </c>
      <c r="L108" s="1">
        <f>SUM(OSRRefE21_19x_4)</f>
        <v>150</v>
      </c>
      <c r="M108" s="1">
        <f>SUM(OSRRefE21_19x_5)</f>
        <v>105</v>
      </c>
      <c r="N108" s="1">
        <f>SUM(OSRRefE21_19x_6)</f>
        <v>105</v>
      </c>
      <c r="O108" s="1">
        <f>SUM(OSRRefE21_19x_7)</f>
        <v>105</v>
      </c>
      <c r="Q108" s="2">
        <f>SUM(OSRRefD20_19x)+IFERROR(SUM(OSRRefE20_19x),0)</f>
        <v>3904.41</v>
      </c>
    </row>
    <row r="109" spans="1:17" s="34" customFormat="1" hidden="1" outlineLevel="1" x14ac:dyDescent="0.25">
      <c r="A109" s="35"/>
      <c r="B109" s="13" t="str">
        <f>CONCATENATE("          ","6274", " - ","UTILITIES")</f>
        <v xml:space="preserve">          6274 - UTILITIES</v>
      </c>
      <c r="C109" s="15"/>
      <c r="D109" s="2">
        <v>28.46</v>
      </c>
      <c r="E109" s="2">
        <v>11.89</v>
      </c>
      <c r="F109" s="2">
        <v>28.01</v>
      </c>
      <c r="G109" s="2">
        <v>16.05</v>
      </c>
      <c r="H109" s="2">
        <v>105</v>
      </c>
      <c r="I109" s="2">
        <v>225</v>
      </c>
      <c r="J109" s="2">
        <v>225</v>
      </c>
      <c r="K109" s="2">
        <v>2800</v>
      </c>
      <c r="L109" s="2">
        <v>150</v>
      </c>
      <c r="M109" s="2">
        <v>105</v>
      </c>
      <c r="N109" s="2">
        <v>105</v>
      </c>
      <c r="O109" s="2">
        <v>105</v>
      </c>
      <c r="P109" s="9"/>
      <c r="Q109" s="2">
        <f>SUM(OSRRefD21_19_0x)+IFERROR(SUM(OSRRefE21_19_0x),0)</f>
        <v>3904.41</v>
      </c>
    </row>
    <row r="110" spans="1:17" s="28" customFormat="1" x14ac:dyDescent="0.25">
      <c r="A110" s="20"/>
      <c r="B110" s="20"/>
      <c r="C110" s="20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Q110" s="1"/>
    </row>
    <row r="111" spans="1:17" s="9" customFormat="1" x14ac:dyDescent="0.25">
      <c r="A111" s="22"/>
      <c r="B111" s="16" t="s">
        <v>0</v>
      </c>
      <c r="C111" s="23"/>
      <c r="D111" s="3">
        <f t="shared" ref="D111:G111" si="8">0</f>
        <v>0</v>
      </c>
      <c r="E111" s="3">
        <f t="shared" si="8"/>
        <v>0</v>
      </c>
      <c r="F111" s="3">
        <f t="shared" si="8"/>
        <v>0</v>
      </c>
      <c r="G111" s="3">
        <f t="shared" si="8"/>
        <v>0</v>
      </c>
      <c r="H111" s="3"/>
      <c r="I111" s="3"/>
      <c r="J111" s="3"/>
      <c r="K111" s="3"/>
      <c r="L111" s="3"/>
      <c r="M111" s="3"/>
      <c r="N111" s="3"/>
      <c r="O111" s="3"/>
      <c r="Q111" s="2">
        <f>SUM(OSRRefD23_0x)+IFERROR(SUM(OSRRefE23_0x),0)</f>
        <v>0</v>
      </c>
    </row>
    <row r="112" spans="1:17" x14ac:dyDescent="0.25">
      <c r="A112" s="5"/>
      <c r="B112" s="8"/>
      <c r="C112" s="8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Q112" s="3"/>
    </row>
    <row r="113" spans="1:17" s="14" customFormat="1" x14ac:dyDescent="0.25">
      <c r="A113" s="8"/>
      <c r="B113" s="17" t="s">
        <v>3</v>
      </c>
      <c r="C113" s="17"/>
      <c r="D113" s="6">
        <f t="shared" ref="D113:O113" si="9">IFERROR(+D38-D41+D111, 0)</f>
        <v>-6561.630000000001</v>
      </c>
      <c r="E113" s="6">
        <f t="shared" si="9"/>
        <v>-3837.5499999999956</v>
      </c>
      <c r="F113" s="6">
        <f t="shared" si="9"/>
        <v>-11060.990000000002</v>
      </c>
      <c r="G113" s="6">
        <f t="shared" si="9"/>
        <v>-11315.929999999997</v>
      </c>
      <c r="H113" s="6">
        <f t="shared" si="9"/>
        <v>3976.1509461538444</v>
      </c>
      <c r="I113" s="6">
        <f t="shared" si="9"/>
        <v>9661.5353461538471</v>
      </c>
      <c r="J113" s="6">
        <f t="shared" si="9"/>
        <v>24319.645555192314</v>
      </c>
      <c r="K113" s="6">
        <f t="shared" si="9"/>
        <v>5842.7764441538529</v>
      </c>
      <c r="L113" s="6">
        <f t="shared" si="9"/>
        <v>7136.2764441538529</v>
      </c>
      <c r="M113" s="6">
        <f t="shared" si="9"/>
        <v>11491.345555192311</v>
      </c>
      <c r="N113" s="6">
        <f t="shared" si="9"/>
        <v>18098.776444153853</v>
      </c>
      <c r="O113" s="6">
        <f t="shared" si="9"/>
        <v>13586.538700153847</v>
      </c>
      <c r="Q113" s="6">
        <f>IFERROR(+Q38-Q41+Q111, 0)</f>
        <v>61336.945435307774</v>
      </c>
    </row>
    <row r="114" spans="1:17" s="8" customFormat="1" x14ac:dyDescent="0.25">
      <c r="B114" s="16"/>
      <c r="C114" s="16"/>
      <c r="D114" s="4">
        <f t="shared" ref="D114:O114" si="10">IFERROR(D113/D10, 0)</f>
        <v>-0.24411034767038559</v>
      </c>
      <c r="E114" s="4">
        <f t="shared" si="10"/>
        <v>-0.168333383046779</v>
      </c>
      <c r="F114" s="4">
        <f t="shared" si="10"/>
        <v>-0.55396936613246306</v>
      </c>
      <c r="G114" s="4">
        <f t="shared" si="10"/>
        <v>-0.60261700140270646</v>
      </c>
      <c r="H114" s="4">
        <f t="shared" si="10"/>
        <v>0.11172980583338517</v>
      </c>
      <c r="I114" s="4">
        <f t="shared" si="10"/>
        <v>0.19733931138613631</v>
      </c>
      <c r="J114" s="4">
        <f t="shared" si="10"/>
        <v>0.344679367764814</v>
      </c>
      <c r="K114" s="4">
        <f t="shared" si="10"/>
        <v>0.14273546742350188</v>
      </c>
      <c r="L114" s="4">
        <f t="shared" si="10"/>
        <v>0.18117526921748955</v>
      </c>
      <c r="M114" s="4">
        <f t="shared" si="10"/>
        <v>0.23282098902267784</v>
      </c>
      <c r="N114" s="4">
        <f t="shared" si="10"/>
        <v>0.31403876722174634</v>
      </c>
      <c r="O114" s="4">
        <f t="shared" si="10"/>
        <v>0.25246281217767669</v>
      </c>
      <c r="P114" s="18"/>
      <c r="Q114" s="4">
        <f>IFERROR(Q113/Q10, 0)</f>
        <v>0.12655827829605154</v>
      </c>
    </row>
    <row r="115" spans="1:17" x14ac:dyDescent="0.25">
      <c r="A115" s="5"/>
      <c r="B115" s="8"/>
      <c r="C115" s="5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Q115" s="3"/>
    </row>
    <row r="116" spans="1:17" s="14" customFormat="1" x14ac:dyDescent="0.25">
      <c r="A116" s="25"/>
      <c r="B116" s="8" t="s">
        <v>8</v>
      </c>
      <c r="C116" s="8"/>
      <c r="D116" s="3">
        <v>13096.23</v>
      </c>
      <c r="E116" s="3">
        <v>-4708.91</v>
      </c>
      <c r="F116" s="3">
        <v>4514.5600000000004</v>
      </c>
      <c r="G116" s="3">
        <v>6252.2</v>
      </c>
      <c r="H116" s="3">
        <v>9114</v>
      </c>
      <c r="I116" s="3">
        <v>11884</v>
      </c>
      <c r="J116" s="3">
        <v>8006</v>
      </c>
      <c r="K116" s="3">
        <v>6577</v>
      </c>
      <c r="L116" s="3">
        <v>8896</v>
      </c>
      <c r="M116" s="3">
        <v>10851</v>
      </c>
      <c r="N116" s="3">
        <v>12386</v>
      </c>
      <c r="O116" s="3">
        <v>1807</v>
      </c>
      <c r="Q116" s="2">
        <f>SUM(OSRRefD28_0x)+IFERROR(SUM(OSRRefE28_0x),0)</f>
        <v>88675.08</v>
      </c>
    </row>
    <row r="117" spans="1:17" x14ac:dyDescent="0.25">
      <c r="A117" s="5"/>
      <c r="B117" s="8"/>
      <c r="C117" s="8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4" customFormat="1" ht="15.75" thickBot="1" x14ac:dyDescent="0.3">
      <c r="A118" s="8"/>
      <c r="B118" s="17" t="s">
        <v>4</v>
      </c>
      <c r="C118" s="17"/>
      <c r="D118" s="7">
        <f t="shared" ref="D118:O118" si="11">IFERROR(+D113-D116, 0)</f>
        <v>-19657.86</v>
      </c>
      <c r="E118" s="7">
        <f t="shared" si="11"/>
        <v>871.36000000000422</v>
      </c>
      <c r="F118" s="7">
        <f t="shared" si="11"/>
        <v>-15575.550000000003</v>
      </c>
      <c r="G118" s="7">
        <f t="shared" si="11"/>
        <v>-17568.129999999997</v>
      </c>
      <c r="H118" s="7">
        <f t="shared" si="11"/>
        <v>-5137.8490538461556</v>
      </c>
      <c r="I118" s="7">
        <f t="shared" si="11"/>
        <v>-2222.4646538461529</v>
      </c>
      <c r="J118" s="7">
        <f t="shared" si="11"/>
        <v>16313.645555192314</v>
      </c>
      <c r="K118" s="7">
        <f t="shared" si="11"/>
        <v>-734.22355584614706</v>
      </c>
      <c r="L118" s="7">
        <f t="shared" si="11"/>
        <v>-1759.7235558461471</v>
      </c>
      <c r="M118" s="7">
        <f t="shared" si="11"/>
        <v>640.34555519231071</v>
      </c>
      <c r="N118" s="7">
        <f t="shared" si="11"/>
        <v>5712.7764441538529</v>
      </c>
      <c r="O118" s="7">
        <f t="shared" si="11"/>
        <v>11779.538700153847</v>
      </c>
      <c r="Q118" s="7">
        <f>IFERROR(+Q113-Q116, 0)</f>
        <v>-27338.134564692227</v>
      </c>
    </row>
    <row r="119" spans="1:17" ht="15.75" thickTop="1" x14ac:dyDescent="0.25">
      <c r="A119" s="5"/>
      <c r="B119" s="5"/>
      <c r="C119" s="5"/>
      <c r="D119" s="4">
        <f t="shared" ref="D119:O119" si="12">IFERROR(D118/D10, 0)</f>
        <v>-0.73132545404964389</v>
      </c>
      <c r="E119" s="4">
        <f t="shared" si="12"/>
        <v>3.8222036625357905E-2</v>
      </c>
      <c r="F119" s="4">
        <f t="shared" si="12"/>
        <v>-0.78007281090250391</v>
      </c>
      <c r="G119" s="4">
        <f t="shared" si="12"/>
        <v>-0.9355708121959867</v>
      </c>
      <c r="H119" s="4">
        <f t="shared" si="12"/>
        <v>-0.14437351221355307</v>
      </c>
      <c r="I119" s="4">
        <f t="shared" si="12"/>
        <v>-4.5394404580284584E-2</v>
      </c>
      <c r="J119" s="4">
        <f t="shared" si="12"/>
        <v>0.23121130705387413</v>
      </c>
      <c r="K119" s="4">
        <f t="shared" si="12"/>
        <v>-1.7936633968240499E-2</v>
      </c>
      <c r="L119" s="4">
        <f t="shared" si="12"/>
        <v>-4.4675734113406522E-2</v>
      </c>
      <c r="M119" s="4">
        <f t="shared" si="12"/>
        <v>1.2973753574818378E-2</v>
      </c>
      <c r="N119" s="4">
        <f t="shared" si="12"/>
        <v>9.9124561125512128E-2</v>
      </c>
      <c r="O119" s="4">
        <f t="shared" si="12"/>
        <v>0.21888543741924052</v>
      </c>
      <c r="P119" s="18"/>
      <c r="Q119" s="4">
        <f>IFERROR(Q118/Q10, 0)</f>
        <v>-5.6407556942697036E-2</v>
      </c>
    </row>
    <row r="120" spans="1:17" x14ac:dyDescent="0.25">
      <c r="A120" s="5"/>
      <c r="B120" s="5"/>
      <c r="C120" s="5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</row>
    <row r="121" spans="1:17" x14ac:dyDescent="0.25">
      <c r="A121" s="5"/>
      <c r="B121" s="5"/>
      <c r="C121" s="5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s="14" customFormat="1" ht="15.75" thickBot="1" x14ac:dyDescent="0.3">
      <c r="A122" s="8"/>
      <c r="B122" s="17" t="s">
        <v>5</v>
      </c>
      <c r="C122" s="17"/>
      <c r="D122" s="7">
        <f t="shared" ref="D122:O122" si="13">IFERROR(SUM(D118:D121), 0)</f>
        <v>-19658.59132545405</v>
      </c>
      <c r="E122" s="7">
        <f t="shared" si="13"/>
        <v>871.39822203662959</v>
      </c>
      <c r="F122" s="7">
        <f t="shared" si="13"/>
        <v>-15576.330072810906</v>
      </c>
      <c r="G122" s="7">
        <f t="shared" si="13"/>
        <v>-17569.065570812192</v>
      </c>
      <c r="H122" s="7">
        <f t="shared" si="13"/>
        <v>-5137.9934273583694</v>
      </c>
      <c r="I122" s="7">
        <f t="shared" si="13"/>
        <v>-2222.5100482507332</v>
      </c>
      <c r="J122" s="7">
        <f t="shared" si="13"/>
        <v>16313.876766499368</v>
      </c>
      <c r="K122" s="7">
        <f t="shared" si="13"/>
        <v>-734.24149248011531</v>
      </c>
      <c r="L122" s="7">
        <f t="shared" si="13"/>
        <v>-1759.7682315802604</v>
      </c>
      <c r="M122" s="7">
        <f t="shared" si="13"/>
        <v>640.3585289458855</v>
      </c>
      <c r="N122" s="7">
        <f t="shared" si="13"/>
        <v>5712.8755687149787</v>
      </c>
      <c r="O122" s="7">
        <f t="shared" si="13"/>
        <v>11779.757585591267</v>
      </c>
      <c r="Q122" s="7">
        <f>IFERROR(SUM(Q118:Q121), 0)</f>
        <v>-27338.190972249169</v>
      </c>
    </row>
    <row r="123" spans="1:17" ht="15.75" thickTop="1" x14ac:dyDescent="0.25">
      <c r="A123" s="5"/>
      <c r="C123" s="5"/>
      <c r="D123" s="4">
        <f t="shared" ref="D123:O123" si="14">IFERROR(D122/D10, 0)</f>
        <v>-0.73135266133058607</v>
      </c>
      <c r="E123" s="4">
        <f t="shared" si="14"/>
        <v>3.8223713227547342E-2</v>
      </c>
      <c r="F123" s="4">
        <f t="shared" si="14"/>
        <v>-0.78011187941631621</v>
      </c>
      <c r="G123" s="4">
        <f t="shared" si="14"/>
        <v>-0.93562063495712477</v>
      </c>
      <c r="H123" s="4">
        <f t="shared" si="14"/>
        <v>-0.14437756910794808</v>
      </c>
      <c r="I123" s="4">
        <f t="shared" si="14"/>
        <v>-4.5395331772518498E-2</v>
      </c>
      <c r="J123" s="4">
        <f t="shared" si="14"/>
        <v>0.23121458398350514</v>
      </c>
      <c r="K123" s="4">
        <f t="shared" si="14"/>
        <v>-1.7937072149276163E-2</v>
      </c>
      <c r="L123" s="4">
        <f t="shared" si="14"/>
        <v>-4.4676868337706663E-2</v>
      </c>
      <c r="M123" s="4">
        <f t="shared" si="14"/>
        <v>1.2974016430210213E-2</v>
      </c>
      <c r="N123" s="4">
        <f t="shared" si="14"/>
        <v>9.9126281073546929E-2</v>
      </c>
      <c r="O123" s="4">
        <f t="shared" si="14"/>
        <v>0.21888950471219093</v>
      </c>
      <c r="P123" s="18"/>
      <c r="Q123" s="4">
        <f>IFERROR(Q122/Q10, 0)</f>
        <v>-5.6407673330026706E-2</v>
      </c>
    </row>
    <row r="124" spans="1:17" x14ac:dyDescent="0.25">
      <c r="A124" s="5"/>
      <c r="B124" s="26">
        <v>44151.56492827546</v>
      </c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Q124" s="12"/>
    </row>
    <row r="125" spans="1:17" x14ac:dyDescent="0.25">
      <c r="A125" s="5"/>
      <c r="B125" s="30" t="s">
        <v>311</v>
      </c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Q125" s="12"/>
    </row>
    <row r="126" spans="1:17" x14ac:dyDescent="0.25">
      <c r="A126" s="5"/>
      <c r="B126" s="31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Q126" s="12"/>
    </row>
    <row r="127" spans="1:17" x14ac:dyDescent="0.25"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Q12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">
        <v>294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18"/>
      <c r="Q16" s="4"/>
    </row>
    <row r="17" spans="1:17" s="14" customFormat="1" x14ac:dyDescent="0.25">
      <c r="A17" s="8"/>
      <c r="B17" s="16" t="s">
        <v>291</v>
      </c>
      <c r="C17" s="8"/>
      <c r="D17" s="10">
        <f t="shared" ref="D17:O17" si="4">SUM(0)</f>
        <v>0</v>
      </c>
      <c r="E17" s="10">
        <f t="shared" si="4"/>
        <v>0</v>
      </c>
      <c r="F17" s="10">
        <f t="shared" si="4"/>
        <v>0</v>
      </c>
      <c r="G17" s="10">
        <f t="shared" si="4"/>
        <v>0</v>
      </c>
      <c r="H17" s="10">
        <f t="shared" si="4"/>
        <v>0</v>
      </c>
      <c r="I17" s="10">
        <f t="shared" si="4"/>
        <v>0</v>
      </c>
      <c r="J17" s="10">
        <f t="shared" si="4"/>
        <v>0</v>
      </c>
      <c r="K17" s="10">
        <f t="shared" si="4"/>
        <v>0</v>
      </c>
      <c r="L17" s="10">
        <f t="shared" si="4"/>
        <v>0</v>
      </c>
      <c r="M17" s="10">
        <f t="shared" si="4"/>
        <v>0</v>
      </c>
      <c r="N17" s="10">
        <f t="shared" si="4"/>
        <v>0</v>
      </c>
      <c r="O17" s="10">
        <f t="shared" si="4"/>
        <v>0</v>
      </c>
      <c r="Q17" s="10">
        <f>SUM(0)</f>
        <v>0</v>
      </c>
    </row>
    <row r="18" spans="1:17" s="28" customFormat="1" x14ac:dyDescent="0.25">
      <c r="A18" s="20"/>
      <c r="B18" s="20"/>
      <c r="C18" s="2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25">
      <c r="A19" s="22"/>
      <c r="B19" s="16" t="s">
        <v>0</v>
      </c>
      <c r="C19" s="23"/>
      <c r="D19" s="3">
        <f t="shared" ref="D19:G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/>
      <c r="I19" s="3"/>
      <c r="J19" s="3"/>
      <c r="K19" s="3"/>
      <c r="L19" s="3"/>
      <c r="M19" s="3"/>
      <c r="N19" s="3"/>
      <c r="O19" s="3"/>
      <c r="Q19" s="2">
        <f>SUM(OSRRefD23_0x)+IFERROR(SUM(OSRRefE23_0x),0)</f>
        <v>0</v>
      </c>
    </row>
    <row r="20" spans="1:17" x14ac:dyDescent="0.2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25">
      <c r="A21" s="8"/>
      <c r="B21" s="17" t="s">
        <v>3</v>
      </c>
      <c r="C21" s="17"/>
      <c r="D21" s="6">
        <f t="shared" ref="D21:O21" si="6">IFERROR(+D14-D17+D19, 0)</f>
        <v>0</v>
      </c>
      <c r="E21" s="6">
        <f t="shared" si="6"/>
        <v>0</v>
      </c>
      <c r="F21" s="6">
        <f t="shared" si="6"/>
        <v>0</v>
      </c>
      <c r="G21" s="6">
        <f t="shared" si="6"/>
        <v>0</v>
      </c>
      <c r="H21" s="6">
        <f t="shared" si="6"/>
        <v>0</v>
      </c>
      <c r="I21" s="6">
        <f t="shared" si="6"/>
        <v>0</v>
      </c>
      <c r="J21" s="6">
        <f t="shared" si="6"/>
        <v>0</v>
      </c>
      <c r="K21" s="6">
        <f t="shared" si="6"/>
        <v>0</v>
      </c>
      <c r="L21" s="6">
        <f t="shared" si="6"/>
        <v>0</v>
      </c>
      <c r="M21" s="6">
        <f t="shared" si="6"/>
        <v>0</v>
      </c>
      <c r="N21" s="6">
        <f t="shared" si="6"/>
        <v>0</v>
      </c>
      <c r="O21" s="6">
        <f t="shared" si="6"/>
        <v>0</v>
      </c>
      <c r="Q21" s="6">
        <f>IFERROR(+Q14-Q17+Q19, 0)</f>
        <v>0</v>
      </c>
    </row>
    <row r="22" spans="1:17" s="8" customFormat="1" x14ac:dyDescent="0.25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25">
      <c r="A23" s="5"/>
      <c r="B23" s="8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4" customFormat="1" x14ac:dyDescent="0.25">
      <c r="A24" s="25"/>
      <c r="B24" s="8" t="s">
        <v>8</v>
      </c>
      <c r="C24" s="8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25">
      <c r="A25" s="5"/>
      <c r="B25" s="8"/>
      <c r="C25" s="8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4" customFormat="1" ht="15.75" thickBot="1" x14ac:dyDescent="0.3">
      <c r="A26" s="8"/>
      <c r="B26" s="17" t="s">
        <v>4</v>
      </c>
      <c r="C26" s="17"/>
      <c r="D26" s="7">
        <f t="shared" ref="D26:O26" si="8">IFERROR(+D21-D24, 0)</f>
        <v>0</v>
      </c>
      <c r="E26" s="7">
        <f t="shared" si="8"/>
        <v>0</v>
      </c>
      <c r="F26" s="7">
        <f t="shared" si="8"/>
        <v>0</v>
      </c>
      <c r="G26" s="7">
        <f t="shared" si="8"/>
        <v>0</v>
      </c>
      <c r="H26" s="7">
        <f t="shared" si="8"/>
        <v>0</v>
      </c>
      <c r="I26" s="7">
        <f t="shared" si="8"/>
        <v>0</v>
      </c>
      <c r="J26" s="7">
        <f t="shared" si="8"/>
        <v>0</v>
      </c>
      <c r="K26" s="7">
        <f t="shared" si="8"/>
        <v>0</v>
      </c>
      <c r="L26" s="7">
        <f t="shared" si="8"/>
        <v>0</v>
      </c>
      <c r="M26" s="7">
        <f t="shared" si="8"/>
        <v>0</v>
      </c>
      <c r="N26" s="7">
        <f t="shared" si="8"/>
        <v>0</v>
      </c>
      <c r="O26" s="7">
        <f t="shared" si="8"/>
        <v>0</v>
      </c>
      <c r="Q26" s="7">
        <f>IFERROR(+Q21-Q24, 0)</f>
        <v>0</v>
      </c>
    </row>
    <row r="27" spans="1:17" s="8" customFormat="1" ht="15.75" thickTop="1" x14ac:dyDescent="0.25">
      <c r="B27" s="16"/>
      <c r="C27" s="16"/>
      <c r="D27" s="4">
        <f t="shared" ref="D27:O27" si="9">IFERROR(D26/D10, 0)</f>
        <v>0</v>
      </c>
      <c r="E27" s="4">
        <f t="shared" si="9"/>
        <v>0</v>
      </c>
      <c r="F27" s="4">
        <f t="shared" si="9"/>
        <v>0</v>
      </c>
      <c r="G27" s="4">
        <f t="shared" si="9"/>
        <v>0</v>
      </c>
      <c r="H27" s="4">
        <f t="shared" si="9"/>
        <v>0</v>
      </c>
      <c r="I27" s="4">
        <f t="shared" si="9"/>
        <v>0</v>
      </c>
      <c r="J27" s="4">
        <f t="shared" si="9"/>
        <v>0</v>
      </c>
      <c r="K27" s="4">
        <f t="shared" si="9"/>
        <v>0</v>
      </c>
      <c r="L27" s="4">
        <f t="shared" si="9"/>
        <v>0</v>
      </c>
      <c r="M27" s="4">
        <f t="shared" si="9"/>
        <v>0</v>
      </c>
      <c r="N27" s="4">
        <f t="shared" si="9"/>
        <v>0</v>
      </c>
      <c r="O27" s="4">
        <f t="shared" si="9"/>
        <v>0</v>
      </c>
      <c r="P27" s="18"/>
      <c r="Q27" s="4">
        <f>IFERROR(Q26/Q10, 0)</f>
        <v>0</v>
      </c>
    </row>
    <row r="28" spans="1:17" x14ac:dyDescent="0.2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4" customFormat="1" x14ac:dyDescent="0.25">
      <c r="A29" s="25"/>
      <c r="B29" s="8" t="s">
        <v>2</v>
      </c>
      <c r="C29" s="8"/>
      <c r="D29" s="3">
        <f>--463883.16</f>
        <v>463883.16</v>
      </c>
      <c r="E29" s="3">
        <f>--487459.55</f>
        <v>487459.55</v>
      </c>
      <c r="F29" s="3">
        <f>-231583.65</f>
        <v>-231583.65</v>
      </c>
      <c r="G29" s="3">
        <f>-139066.28</f>
        <v>-139066.28</v>
      </c>
      <c r="H29" s="3">
        <f t="shared" ref="H29:O30" si="10">--15000</f>
        <v>15000</v>
      </c>
      <c r="I29" s="3">
        <f t="shared" si="10"/>
        <v>15000</v>
      </c>
      <c r="J29" s="3">
        <f t="shared" si="10"/>
        <v>15000</v>
      </c>
      <c r="K29" s="3">
        <f t="shared" si="10"/>
        <v>15000</v>
      </c>
      <c r="L29" s="3">
        <f t="shared" si="10"/>
        <v>15000</v>
      </c>
      <c r="M29" s="3">
        <f t="shared" si="10"/>
        <v>15000</v>
      </c>
      <c r="N29" s="3">
        <f t="shared" si="10"/>
        <v>15000</v>
      </c>
      <c r="O29" s="3">
        <f t="shared" si="10"/>
        <v>15000</v>
      </c>
      <c r="Q29" s="2">
        <f>SUM(OSRRefD33_0x)+IFERROR(SUM(OSRRefE33_0x),0)</f>
        <v>700692.77999999991</v>
      </c>
    </row>
    <row r="30" spans="1:17" s="14" customFormat="1" x14ac:dyDescent="0.25">
      <c r="A30" s="25"/>
      <c r="B30" s="8" t="s">
        <v>1</v>
      </c>
      <c r="C30" s="8"/>
      <c r="D30" s="3">
        <f>-81628.27</f>
        <v>-81628.27</v>
      </c>
      <c r="E30" s="3">
        <f>--25064.99</f>
        <v>25064.99</v>
      </c>
      <c r="F30" s="3">
        <f>--23302.32</f>
        <v>23302.32</v>
      </c>
      <c r="G30" s="3">
        <f>--10141.14</f>
        <v>10141.14</v>
      </c>
      <c r="H30" s="3">
        <f t="shared" si="10"/>
        <v>15000</v>
      </c>
      <c r="I30" s="3">
        <f t="shared" si="10"/>
        <v>15000</v>
      </c>
      <c r="J30" s="3">
        <f t="shared" si="10"/>
        <v>15000</v>
      </c>
      <c r="K30" s="3">
        <f t="shared" si="10"/>
        <v>15000</v>
      </c>
      <c r="L30" s="3">
        <f t="shared" si="10"/>
        <v>15000</v>
      </c>
      <c r="M30" s="3">
        <f t="shared" si="10"/>
        <v>15000</v>
      </c>
      <c r="N30" s="3">
        <f t="shared" si="10"/>
        <v>15000</v>
      </c>
      <c r="O30" s="3">
        <f t="shared" si="10"/>
        <v>15000</v>
      </c>
      <c r="Q30" s="2">
        <f>SUM(OSRRefD34_0x)+IFERROR(SUM(OSRRefE34_0x),0)</f>
        <v>96880.18</v>
      </c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4" customFormat="1" ht="15.75" thickBot="1" x14ac:dyDescent="0.3">
      <c r="A32" s="8"/>
      <c r="B32" s="17" t="s">
        <v>5</v>
      </c>
      <c r="C32" s="17"/>
      <c r="D32" s="7">
        <f t="shared" ref="D32:O32" si="11">IFERROR(SUM(D26:D31), 0)</f>
        <v>382254.88999999996</v>
      </c>
      <c r="E32" s="7">
        <f t="shared" si="11"/>
        <v>512524.54</v>
      </c>
      <c r="F32" s="7">
        <f t="shared" si="11"/>
        <v>-208281.33</v>
      </c>
      <c r="G32" s="7">
        <f t="shared" si="11"/>
        <v>-128925.14</v>
      </c>
      <c r="H32" s="7">
        <f t="shared" si="11"/>
        <v>30000</v>
      </c>
      <c r="I32" s="7">
        <f t="shared" si="11"/>
        <v>30000</v>
      </c>
      <c r="J32" s="7">
        <f t="shared" si="11"/>
        <v>30000</v>
      </c>
      <c r="K32" s="7">
        <f t="shared" si="11"/>
        <v>30000</v>
      </c>
      <c r="L32" s="7">
        <f t="shared" si="11"/>
        <v>30000</v>
      </c>
      <c r="M32" s="7">
        <f t="shared" si="11"/>
        <v>30000</v>
      </c>
      <c r="N32" s="7">
        <f t="shared" si="11"/>
        <v>30000</v>
      </c>
      <c r="O32" s="7">
        <f t="shared" si="11"/>
        <v>30000</v>
      </c>
      <c r="Q32" s="7">
        <f>IFERROR(SUM(Q26:Q31), 0)</f>
        <v>797572.96</v>
      </c>
    </row>
    <row r="33" spans="1:17" ht="15.75" thickTop="1" x14ac:dyDescent="0.25">
      <c r="A33" s="5"/>
      <c r="C33" s="5"/>
      <c r="D33" s="4">
        <f t="shared" ref="D33:O33" si="12">IFERROR(D32/D10, 0)</f>
        <v>0</v>
      </c>
      <c r="E33" s="4">
        <f t="shared" si="12"/>
        <v>0</v>
      </c>
      <c r="F33" s="4">
        <f t="shared" si="12"/>
        <v>0</v>
      </c>
      <c r="G33" s="4">
        <f t="shared" si="12"/>
        <v>0</v>
      </c>
      <c r="H33" s="4">
        <f t="shared" si="12"/>
        <v>0</v>
      </c>
      <c r="I33" s="4">
        <f t="shared" si="12"/>
        <v>0</v>
      </c>
      <c r="J33" s="4">
        <f t="shared" si="12"/>
        <v>0</v>
      </c>
      <c r="K33" s="4">
        <f t="shared" si="12"/>
        <v>0</v>
      </c>
      <c r="L33" s="4">
        <f t="shared" si="12"/>
        <v>0</v>
      </c>
      <c r="M33" s="4">
        <f t="shared" si="12"/>
        <v>0</v>
      </c>
      <c r="N33" s="4">
        <f t="shared" si="12"/>
        <v>0</v>
      </c>
      <c r="O33" s="4">
        <f t="shared" si="12"/>
        <v>0</v>
      </c>
      <c r="P33" s="18"/>
      <c r="Q33" s="4">
        <f>IFERROR(Q32/Q10, 0)</f>
        <v>0</v>
      </c>
    </row>
    <row r="34" spans="1:17" x14ac:dyDescent="0.25">
      <c r="A34" s="5"/>
      <c r="B34" s="26">
        <v>44151.564527395836</v>
      </c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Q34" s="12"/>
    </row>
    <row r="35" spans="1:17" x14ac:dyDescent="0.25">
      <c r="A35" s="5"/>
      <c r="B35" s="30" t="s">
        <v>311</v>
      </c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Q35" s="12"/>
    </row>
    <row r="36" spans="1:17" x14ac:dyDescent="0.25">
      <c r="A36" s="5"/>
      <c r="B36" s="3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Q36" s="12"/>
    </row>
    <row r="37" spans="1:17" x14ac:dyDescent="0.25"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Q3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92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">
        <v>302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4847.87</v>
      </c>
      <c r="E10" s="3">
        <f>SUM(OSRRefD11x_1)</f>
        <v>47524.27</v>
      </c>
      <c r="F10" s="3">
        <f>SUM(OSRRefD11x_2)</f>
        <v>9104.9600000000009</v>
      </c>
      <c r="G10" s="3">
        <f>SUM(OSRRefD11x_3)</f>
        <v>10497.909999999998</v>
      </c>
      <c r="H10" s="3">
        <f>SUM(OSRRefE11x_0)</f>
        <v>1200</v>
      </c>
      <c r="I10" s="3">
        <f>SUM(OSRRefE11x_1)</f>
        <v>2200</v>
      </c>
      <c r="J10" s="3">
        <f>SUM(OSRRefE11x_2)</f>
        <v>40200</v>
      </c>
      <c r="K10" s="3">
        <f>SUM(OSRRefE11x_3)</f>
        <v>3200</v>
      </c>
      <c r="L10" s="3">
        <f>SUM(OSRRefE11x_4)</f>
        <v>1700</v>
      </c>
      <c r="M10" s="3">
        <f>SUM(OSRRefE11x_5)</f>
        <v>1700</v>
      </c>
      <c r="N10" s="3">
        <f>SUM(OSRRefE11x_6)</f>
        <v>3200</v>
      </c>
      <c r="O10" s="3">
        <f>SUM(OSRRefE11x_7)</f>
        <v>1700</v>
      </c>
      <c r="P10" s="24"/>
      <c r="Q10" s="3">
        <f>SUM(OSRRefG11x)</f>
        <v>127075.01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0</f>
        <v>0</v>
      </c>
      <c r="E11" s="2">
        <f>-7.3</f>
        <v>-7.3</v>
      </c>
      <c r="F11" s="2">
        <f>0</f>
        <v>0</v>
      </c>
      <c r="G11" s="2">
        <f>-1.35</f>
        <v>-1.35</v>
      </c>
      <c r="H11" s="2">
        <v>1000</v>
      </c>
      <c r="I11" s="2">
        <v>2000</v>
      </c>
      <c r="J11" s="2">
        <v>40000</v>
      </c>
      <c r="K11" s="2">
        <v>3000</v>
      </c>
      <c r="L11" s="2">
        <v>1500</v>
      </c>
      <c r="M11" s="2">
        <v>1500</v>
      </c>
      <c r="N11" s="2">
        <v>3000</v>
      </c>
      <c r="O11" s="2">
        <v>1500</v>
      </c>
      <c r="Q11" s="2">
        <f>SUM(OSRRefD11_0x)+IFERROR(SUM(OSRRefE11_0x),0)</f>
        <v>53491.35</v>
      </c>
    </row>
    <row r="12" spans="1:18" s="9" customFormat="1" hidden="1" outlineLevel="1" x14ac:dyDescent="0.25">
      <c r="A12" s="22"/>
      <c r="B12" s="13" t="str">
        <f>CONCATENATE("          ","4041", " - ","TAXABLE SALES-LOGO GIFTS")</f>
        <v xml:space="preserve">          4041 - TAXABLE SALES-LOGO GIFTS</v>
      </c>
      <c r="C12" s="23"/>
      <c r="D12" s="2">
        <f>--1085.6</f>
        <v>1085.5999999999999</v>
      </c>
      <c r="E12" s="2">
        <f>--42350.45</f>
        <v>42350.45</v>
      </c>
      <c r="F12" s="2">
        <f>--8785.72</f>
        <v>8785.7199999999993</v>
      </c>
      <c r="G12" s="2">
        <f>--8147.55</f>
        <v>8147.55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60369.32</v>
      </c>
    </row>
    <row r="13" spans="1:18" s="9" customFormat="1" hidden="1" outlineLevel="1" x14ac:dyDescent="0.25">
      <c r="A13" s="22"/>
      <c r="B13" s="13" t="str">
        <f>CONCATENATE("          ","4042", " - ","TAXABLE SALES-EVERYDAY GIFTS")</f>
        <v xml:space="preserve">          4042 - TAXABLE SALES-EVERYDAY GIFTS</v>
      </c>
      <c r="C13" s="23"/>
      <c r="D13" s="2">
        <f>--3750.52</f>
        <v>3750.52</v>
      </c>
      <c r="E13" s="2">
        <f>--5206.35</f>
        <v>5206.3500000000004</v>
      </c>
      <c r="F13" s="2">
        <f>--476.85</f>
        <v>476.85</v>
      </c>
      <c r="G13" s="2">
        <f>--2053.86</f>
        <v>2053.86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11487.580000000002</v>
      </c>
    </row>
    <row r="14" spans="1:18" s="9" customFormat="1" hidden="1" outlineLevel="1" x14ac:dyDescent="0.25">
      <c r="A14" s="22"/>
      <c r="B14" s="13" t="str">
        <f>CONCATENATE("          ","4043", " - ","TAXABLE SALES-CARDS")</f>
        <v xml:space="preserve">          4043 - TAXABLE SALES-CARDS</v>
      </c>
      <c r="C14" s="23"/>
      <c r="D14" s="2">
        <f t="shared" ref="D14:D15" si="0">0</f>
        <v>0</v>
      </c>
      <c r="E14" s="2">
        <f>--4.99</f>
        <v>4.99</v>
      </c>
      <c r="F14" s="2">
        <f>--2.99</f>
        <v>2.99</v>
      </c>
      <c r="G14" s="2">
        <f t="shared" ref="G14:G15" si="1">0</f>
        <v>0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7.98</v>
      </c>
    </row>
    <row r="15" spans="1:18" s="9" customFormat="1" hidden="1" outlineLevel="1" x14ac:dyDescent="0.25">
      <c r="A15" s="22"/>
      <c r="B15" s="13" t="str">
        <f>CONCATENATE("          ","4100", " - ","NON-TAXABLE SALES")</f>
        <v xml:space="preserve">          4100 - NON-TAXABLE SALES</v>
      </c>
      <c r="C15" s="23"/>
      <c r="D15" s="2">
        <f t="shared" si="0"/>
        <v>0</v>
      </c>
      <c r="E15" s="2">
        <f t="shared" ref="E15:F15" si="2">0</f>
        <v>0</v>
      </c>
      <c r="F15" s="2">
        <f t="shared" si="2"/>
        <v>0</v>
      </c>
      <c r="G15" s="2">
        <f t="shared" si="1"/>
        <v>0</v>
      </c>
      <c r="H15" s="2">
        <v>200</v>
      </c>
      <c r="I15" s="2">
        <v>200</v>
      </c>
      <c r="J15" s="2">
        <v>200</v>
      </c>
      <c r="K15" s="2">
        <v>200</v>
      </c>
      <c r="L15" s="2">
        <v>200</v>
      </c>
      <c r="M15" s="2">
        <v>200</v>
      </c>
      <c r="N15" s="2">
        <v>200</v>
      </c>
      <c r="O15" s="2">
        <v>200</v>
      </c>
      <c r="Q15" s="2">
        <f>SUM(OSRRefD11_4x)+IFERROR(SUM(OSRRefE11_4x),0)</f>
        <v>1600</v>
      </c>
    </row>
    <row r="16" spans="1:18" s="9" customFormat="1" hidden="1" outlineLevel="1" x14ac:dyDescent="0.25">
      <c r="A16" s="22"/>
      <c r="B16" s="13" t="str">
        <f>CONCATENATE("          ","4141", " - ","NON-TAXABLE SALES-LOGO GIFTS")</f>
        <v xml:space="preserve">          4141 - NON-TAXABLE SALES-LOGO GIFTS</v>
      </c>
      <c r="C16" s="23"/>
      <c r="D16" s="2">
        <f>--10.75</f>
        <v>10.75</v>
      </c>
      <c r="E16" s="2">
        <f>--446.75</f>
        <v>446.75</v>
      </c>
      <c r="F16" s="2">
        <f t="shared" ref="F16:F17" si="3">0</f>
        <v>0</v>
      </c>
      <c r="G16" s="2">
        <f>--54</f>
        <v>54</v>
      </c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511.5</v>
      </c>
    </row>
    <row r="17" spans="1:17" s="9" customFormat="1" hidden="1" outlineLevel="1" x14ac:dyDescent="0.25">
      <c r="A17" s="22"/>
      <c r="B17" s="13" t="str">
        <f>CONCATENATE("          ","4142", " - ","NON-TAXABLE SALES-EVERYDAY GIF")</f>
        <v xml:space="preserve">          4142 - NON-TAXABLE SALES-EVERYDAY GIF</v>
      </c>
      <c r="C17" s="23"/>
      <c r="D17" s="2">
        <f t="shared" ref="D17:D18" si="4">0</f>
        <v>0</v>
      </c>
      <c r="E17" s="2">
        <f>--5.98</f>
        <v>5.98</v>
      </c>
      <c r="F17" s="2">
        <f t="shared" si="3"/>
        <v>0</v>
      </c>
      <c r="G17" s="2">
        <f>--245</f>
        <v>245</v>
      </c>
      <c r="H17" s="2"/>
      <c r="I17" s="2"/>
      <c r="J17" s="2"/>
      <c r="K17" s="2"/>
      <c r="L17" s="2"/>
      <c r="M17" s="2"/>
      <c r="N17" s="2"/>
      <c r="O17" s="2"/>
      <c r="Q17" s="2">
        <f>SUM(OSRRefD11_6x)+IFERROR(SUM(OSRRefE11_6x),0)</f>
        <v>250.98</v>
      </c>
    </row>
    <row r="18" spans="1:17" s="9" customFormat="1" hidden="1" outlineLevel="1" x14ac:dyDescent="0.25">
      <c r="A18" s="22"/>
      <c r="B18" s="13" t="str">
        <f>CONCATENATE("          ","4146", " - ","NON-TAXABLE SALES-COIN OP MACH")</f>
        <v xml:space="preserve">          4146 - NON-TAXABLE SALES-COIN OP MACH</v>
      </c>
      <c r="C18" s="23"/>
      <c r="D18" s="2">
        <f t="shared" si="4"/>
        <v>0</v>
      </c>
      <c r="E18" s="2">
        <f>--15.5</f>
        <v>15.5</v>
      </c>
      <c r="F18" s="2">
        <f>--49.7</f>
        <v>49.7</v>
      </c>
      <c r="G18" s="2">
        <f>--21.3</f>
        <v>21.3</v>
      </c>
      <c r="H18" s="2"/>
      <c r="I18" s="2"/>
      <c r="J18" s="2"/>
      <c r="K18" s="2"/>
      <c r="L18" s="2"/>
      <c r="M18" s="2"/>
      <c r="N18" s="2"/>
      <c r="O18" s="2"/>
      <c r="Q18" s="2">
        <f>SUM(OSRRefD11_7x)+IFERROR(SUM(OSRRefE11_7x),0)</f>
        <v>86.5</v>
      </c>
    </row>
    <row r="19" spans="1:17" s="9" customFormat="1" hidden="1" outlineLevel="1" x14ac:dyDescent="0.25">
      <c r="A19" s="22"/>
      <c r="B19" s="13" t="str">
        <f>CONCATENATE("          ","4147", " - ","NON-TAXABLE SALES-MISC")</f>
        <v xml:space="preserve">          4147 - NON-TAXABLE SALES-MISC</v>
      </c>
      <c r="C19" s="23"/>
      <c r="D19" s="2">
        <f>--1</f>
        <v>1</v>
      </c>
      <c r="E19" s="2">
        <f>--23</f>
        <v>23</v>
      </c>
      <c r="F19" s="2">
        <f>--24</f>
        <v>24</v>
      </c>
      <c r="G19" s="2">
        <f>--38.5</f>
        <v>38.5</v>
      </c>
      <c r="H19" s="2"/>
      <c r="I19" s="2"/>
      <c r="J19" s="2"/>
      <c r="K19" s="2"/>
      <c r="L19" s="2"/>
      <c r="M19" s="2"/>
      <c r="N19" s="2"/>
      <c r="O19" s="2"/>
      <c r="Q19" s="2">
        <f>SUM(OSRRefD11_8x)+IFERROR(SUM(OSRRefE11_8x),0)</f>
        <v>86.5</v>
      </c>
    </row>
    <row r="20" spans="1:17" s="9" customFormat="1" hidden="1" outlineLevel="1" x14ac:dyDescent="0.25">
      <c r="A20" s="22"/>
      <c r="B20" s="13" t="str">
        <f>CONCATENATE("          ","4241", " - ","SALES RETURN TAXABLE-LOGO GIFT")</f>
        <v xml:space="preserve">          4241 - SALES RETURN TAXABLE-LOGO GIFT</v>
      </c>
      <c r="C20" s="23"/>
      <c r="D20" s="2">
        <f>0</f>
        <v>0</v>
      </c>
      <c r="E20" s="2">
        <f>-521.45</f>
        <v>-521.45000000000005</v>
      </c>
      <c r="F20" s="2">
        <f>-234.3</f>
        <v>-234.3</v>
      </c>
      <c r="G20" s="2">
        <f>-60.95</f>
        <v>-60.95</v>
      </c>
      <c r="H20" s="2"/>
      <c r="I20" s="2"/>
      <c r="J20" s="2"/>
      <c r="K20" s="2"/>
      <c r="L20" s="2"/>
      <c r="M20" s="2"/>
      <c r="N20" s="2"/>
      <c r="O20" s="2"/>
      <c r="Q20" s="2">
        <f>SUM(OSRRefD11_9x)+IFERROR(SUM(OSRRefE11_9x),0)</f>
        <v>-816.7</v>
      </c>
    </row>
    <row r="21" spans="1:17" x14ac:dyDescent="0.25">
      <c r="A21" s="5"/>
      <c r="B21" s="8"/>
      <c r="C21" s="5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Q21" s="3"/>
    </row>
    <row r="22" spans="1:17" s="9" customFormat="1" x14ac:dyDescent="0.25">
      <c r="A22" s="22"/>
      <c r="B22" s="16" t="s">
        <v>290</v>
      </c>
      <c r="C22" s="23"/>
      <c r="D22" s="3">
        <f t="shared" ref="D22:O22" si="5">SUM(0)</f>
        <v>0</v>
      </c>
      <c r="E22" s="3">
        <f t="shared" si="5"/>
        <v>0</v>
      </c>
      <c r="F22" s="3">
        <f t="shared" si="5"/>
        <v>0</v>
      </c>
      <c r="G22" s="3">
        <f t="shared" si="5"/>
        <v>0</v>
      </c>
      <c r="H22" s="3">
        <f t="shared" si="5"/>
        <v>0</v>
      </c>
      <c r="I22" s="3">
        <f t="shared" si="5"/>
        <v>0</v>
      </c>
      <c r="J22" s="3">
        <f t="shared" si="5"/>
        <v>0</v>
      </c>
      <c r="K22" s="3">
        <f t="shared" si="5"/>
        <v>0</v>
      </c>
      <c r="L22" s="3">
        <f t="shared" si="5"/>
        <v>0</v>
      </c>
      <c r="M22" s="3">
        <f t="shared" si="5"/>
        <v>0</v>
      </c>
      <c r="N22" s="3">
        <f t="shared" si="5"/>
        <v>0</v>
      </c>
      <c r="O22" s="3">
        <f t="shared" si="5"/>
        <v>0</v>
      </c>
      <c r="Q22" s="3">
        <f>SUM(0)</f>
        <v>0</v>
      </c>
    </row>
    <row r="23" spans="1:17" x14ac:dyDescent="0.25">
      <c r="A23" s="5"/>
      <c r="B23" s="8"/>
      <c r="C23" s="8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4" customFormat="1" x14ac:dyDescent="0.25">
      <c r="A24" s="8"/>
      <c r="B24" s="17" t="s">
        <v>6</v>
      </c>
      <c r="C24" s="17"/>
      <c r="D24" s="6">
        <f t="shared" ref="D24:O24" si="6">IFERROR(+D10-D22, 0)</f>
        <v>4847.87</v>
      </c>
      <c r="E24" s="6">
        <f t="shared" si="6"/>
        <v>47524.27</v>
      </c>
      <c r="F24" s="6">
        <f t="shared" si="6"/>
        <v>9104.9600000000009</v>
      </c>
      <c r="G24" s="6">
        <f t="shared" si="6"/>
        <v>10497.909999999998</v>
      </c>
      <c r="H24" s="6">
        <f t="shared" si="6"/>
        <v>1200</v>
      </c>
      <c r="I24" s="6">
        <f t="shared" si="6"/>
        <v>2200</v>
      </c>
      <c r="J24" s="6">
        <f t="shared" si="6"/>
        <v>40200</v>
      </c>
      <c r="K24" s="6">
        <f t="shared" si="6"/>
        <v>3200</v>
      </c>
      <c r="L24" s="6">
        <f t="shared" si="6"/>
        <v>1700</v>
      </c>
      <c r="M24" s="6">
        <f t="shared" si="6"/>
        <v>1700</v>
      </c>
      <c r="N24" s="6">
        <f t="shared" si="6"/>
        <v>3200</v>
      </c>
      <c r="O24" s="6">
        <f t="shared" si="6"/>
        <v>1700</v>
      </c>
      <c r="Q24" s="6">
        <f>IFERROR(+Q10-Q22, 0)</f>
        <v>127075.01</v>
      </c>
    </row>
    <row r="25" spans="1:17" s="8" customFormat="1" x14ac:dyDescent="0.25">
      <c r="B25" s="16"/>
      <c r="C25" s="16"/>
      <c r="D25" s="4">
        <f t="shared" ref="D25:O25" si="7">IFERROR(D24/D10, 0)</f>
        <v>1</v>
      </c>
      <c r="E25" s="4">
        <f t="shared" si="7"/>
        <v>1</v>
      </c>
      <c r="F25" s="4">
        <f t="shared" si="7"/>
        <v>1</v>
      </c>
      <c r="G25" s="4">
        <f t="shared" si="7"/>
        <v>1</v>
      </c>
      <c r="H25" s="4">
        <f t="shared" si="7"/>
        <v>1</v>
      </c>
      <c r="I25" s="4">
        <f t="shared" si="7"/>
        <v>1</v>
      </c>
      <c r="J25" s="4">
        <f t="shared" si="7"/>
        <v>1</v>
      </c>
      <c r="K25" s="4">
        <f t="shared" si="7"/>
        <v>1</v>
      </c>
      <c r="L25" s="4">
        <f t="shared" si="7"/>
        <v>1</v>
      </c>
      <c r="M25" s="4">
        <f t="shared" si="7"/>
        <v>1</v>
      </c>
      <c r="N25" s="4">
        <f t="shared" si="7"/>
        <v>1</v>
      </c>
      <c r="O25" s="4">
        <f t="shared" si="7"/>
        <v>1</v>
      </c>
      <c r="P25" s="18"/>
      <c r="Q25" s="4">
        <f>IFERROR(Q24/Q10, 0)</f>
        <v>1</v>
      </c>
    </row>
    <row r="26" spans="1:17" x14ac:dyDescent="0.25">
      <c r="A26" s="5"/>
      <c r="B26" s="8"/>
      <c r="C26" s="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</row>
    <row r="27" spans="1:17" s="14" customFormat="1" x14ac:dyDescent="0.25">
      <c r="A27" s="8"/>
      <c r="B27" s="16" t="s">
        <v>291</v>
      </c>
      <c r="C27" s="8"/>
      <c r="D27" s="10">
        <f>SUM(OSRRefD20x_0)</f>
        <v>49153.950000000004</v>
      </c>
      <c r="E27" s="10">
        <f>SUM(OSRRefD20x_1)</f>
        <v>-50410.61</v>
      </c>
      <c r="F27" s="10">
        <f>SUM(OSRRefD20x_2)</f>
        <v>38313.039999999994</v>
      </c>
      <c r="G27" s="10">
        <f>SUM(OSRRefD20x_3)</f>
        <v>83949.309999999983</v>
      </c>
      <c r="H27" s="10">
        <f>SUM(OSRRefE20x_0)</f>
        <v>31284.770657961551</v>
      </c>
      <c r="I27" s="10">
        <f>SUM(OSRRefE20x_1)</f>
        <v>31184.770657961551</v>
      </c>
      <c r="J27" s="10">
        <f>SUM(OSRRefE20x_2)</f>
        <v>25797.514490922083</v>
      </c>
      <c r="K27" s="10">
        <f>SUM(OSRRefE20x_3)</f>
        <v>31971.698732737706</v>
      </c>
      <c r="L27" s="10">
        <f>SUM(OSRRefE20x_4)</f>
        <v>16721.698732737706</v>
      </c>
      <c r="M27" s="10">
        <f>SUM(OSRRefE20x_5)</f>
        <v>35134.873415922084</v>
      </c>
      <c r="N27" s="10">
        <f>SUM(OSRRefE20x_6)</f>
        <v>28971.698732737706</v>
      </c>
      <c r="O27" s="10">
        <f>SUM(OSRRefE20x_7)</f>
        <v>30864.479002737709</v>
      </c>
      <c r="Q27" s="10">
        <f>SUM(OSRRefG20x)</f>
        <v>352937.19442371815</v>
      </c>
    </row>
    <row r="28" spans="1:17" s="34" customFormat="1" collapsed="1" x14ac:dyDescent="0.25">
      <c r="A28" s="35"/>
      <c r="B28" s="15" t="str">
        <f>CONCATENATE("     ","*Benefits                                         ")</f>
        <v xml:space="preserve">     *Benefits                                         </v>
      </c>
      <c r="C28" s="15"/>
      <c r="D28" s="1">
        <f>SUM(OSRRefD21_0x_0)</f>
        <v>7930.28</v>
      </c>
      <c r="E28" s="1">
        <f>SUM(OSRRefD21_0x_1)</f>
        <v>8903.2699999999986</v>
      </c>
      <c r="F28" s="1">
        <f>SUM(OSRRefD21_0x_2)</f>
        <v>9025.3599999999988</v>
      </c>
      <c r="G28" s="1">
        <f>SUM(OSRRefD21_0x_3)</f>
        <v>10414.129999999999</v>
      </c>
      <c r="H28" s="1">
        <f>SUM(OSRRefE21_0x_0)</f>
        <v>7972.5529733461526</v>
      </c>
      <c r="I28" s="1">
        <f>SUM(OSRRefE21_0x_1)</f>
        <v>7972.5529733461526</v>
      </c>
      <c r="J28" s="1">
        <f>SUM(OSRRefE21_0x_2)</f>
        <v>9304.2461226528831</v>
      </c>
      <c r="K28" s="1">
        <f>SUM(OSRRefE21_0x_3)</f>
        <v>8088.8840381223063</v>
      </c>
      <c r="L28" s="1">
        <f>SUM(OSRRefE21_0x_4)</f>
        <v>8088.8840381223063</v>
      </c>
      <c r="M28" s="1">
        <f>SUM(OSRRefE21_0x_5)</f>
        <v>9283.6050476528835</v>
      </c>
      <c r="N28" s="1">
        <f>SUM(OSRRefE21_0x_6)</f>
        <v>8088.8840381223063</v>
      </c>
      <c r="O28" s="1">
        <f>SUM(OSRRefE21_0x_7)</f>
        <v>8131.6643081223074</v>
      </c>
      <c r="Q28" s="2">
        <f>SUM(OSRRefD20_0x)+IFERROR(SUM(OSRRefE20_0x),0)</f>
        <v>103204.31353948728</v>
      </c>
    </row>
    <row r="29" spans="1:17" s="34" customFormat="1" hidden="1" outlineLevel="1" x14ac:dyDescent="0.25">
      <c r="A29" s="35"/>
      <c r="B29" s="13" t="str">
        <f>CONCATENATE("          ","6111", " - ","F.I.C.A.")</f>
        <v xml:space="preserve">          6111 - F.I.C.A.</v>
      </c>
      <c r="C29" s="15"/>
      <c r="D29" s="2">
        <v>1043.3599999999999</v>
      </c>
      <c r="E29" s="2">
        <v>1290.1199999999999</v>
      </c>
      <c r="F29" s="2">
        <v>1220.78</v>
      </c>
      <c r="G29" s="2">
        <v>2004</v>
      </c>
      <c r="H29" s="2">
        <v>1234.38445373077</v>
      </c>
      <c r="I29" s="2">
        <v>1234.38445373077</v>
      </c>
      <c r="J29" s="2">
        <v>1581.93906877788</v>
      </c>
      <c r="K29" s="2">
        <v>1265.55125502231</v>
      </c>
      <c r="L29" s="2">
        <v>1265.55125502231</v>
      </c>
      <c r="M29" s="2">
        <v>1581.93906877788</v>
      </c>
      <c r="N29" s="2">
        <v>1265.55125502231</v>
      </c>
      <c r="O29" s="2">
        <v>1308.33152502231</v>
      </c>
      <c r="P29" s="9"/>
      <c r="Q29" s="2">
        <f>SUM(OSRRefD21_0_0x)+IFERROR(SUM(OSRRefE21_0_0x),0)</f>
        <v>16295.892335106539</v>
      </c>
    </row>
    <row r="30" spans="1:17" s="34" customFormat="1" hidden="1" outlineLevel="1" x14ac:dyDescent="0.25">
      <c r="A30" s="35"/>
      <c r="B30" s="13" t="str">
        <f>CONCATENATE("          ","6112", " - ","COMPENSATION INSURANCE")</f>
        <v xml:space="preserve">          6112 - COMPENSATION INSURANCE</v>
      </c>
      <c r="C30" s="15"/>
      <c r="D30" s="2">
        <v>293.61</v>
      </c>
      <c r="E30" s="2">
        <v>311.95999999999998</v>
      </c>
      <c r="F30" s="2">
        <v>316.77</v>
      </c>
      <c r="G30" s="2">
        <v>308.31</v>
      </c>
      <c r="H30" s="2">
        <v>308.014255769231</v>
      </c>
      <c r="I30" s="2">
        <v>308.014255769231</v>
      </c>
      <c r="J30" s="2">
        <v>413.43496350961499</v>
      </c>
      <c r="K30" s="2">
        <v>316.26987080769197</v>
      </c>
      <c r="L30" s="2">
        <v>316.26987080769197</v>
      </c>
      <c r="M30" s="2">
        <v>395.33733850961499</v>
      </c>
      <c r="N30" s="2">
        <v>316.26987080769197</v>
      </c>
      <c r="O30" s="2">
        <v>316.26987080769197</v>
      </c>
      <c r="P30" s="9"/>
      <c r="Q30" s="2">
        <f>SUM(OSRRefD21_0_1x)+IFERROR(SUM(OSRRefE21_0_1x),0)</f>
        <v>3920.53029678846</v>
      </c>
    </row>
    <row r="31" spans="1:17" s="34" customFormat="1" hidden="1" outlineLevel="1" x14ac:dyDescent="0.25">
      <c r="A31" s="35"/>
      <c r="B31" s="13" t="str">
        <f>CONCATENATE("          ","6113", " - ","GROUP INSURANCE")</f>
        <v xml:space="preserve">          6113 - GROUP INSURANCE</v>
      </c>
      <c r="C31" s="15"/>
      <c r="D31" s="2">
        <v>2724.48</v>
      </c>
      <c r="E31" s="2">
        <v>3321.73</v>
      </c>
      <c r="F31" s="2">
        <v>3423.78</v>
      </c>
      <c r="G31" s="2">
        <v>3423.78</v>
      </c>
      <c r="H31" s="2">
        <v>3310</v>
      </c>
      <c r="I31" s="2">
        <v>3310</v>
      </c>
      <c r="J31" s="2">
        <v>3310</v>
      </c>
      <c r="K31" s="2">
        <v>3310</v>
      </c>
      <c r="L31" s="2">
        <v>3310</v>
      </c>
      <c r="M31" s="2">
        <v>3310</v>
      </c>
      <c r="N31" s="2">
        <v>3310</v>
      </c>
      <c r="O31" s="2">
        <v>3310</v>
      </c>
      <c r="P31" s="9"/>
      <c r="Q31" s="2">
        <f>SUM(OSRRefD21_0_2x)+IFERROR(SUM(OSRRefE21_0_2x),0)</f>
        <v>39373.770000000004</v>
      </c>
    </row>
    <row r="32" spans="1:17" s="34" customFormat="1" hidden="1" outlineLevel="1" x14ac:dyDescent="0.25">
      <c r="A32" s="35"/>
      <c r="B32" s="13" t="str">
        <f>CONCATENATE("          ","6114", " - ","STATE UNEMPLOYMENT INSURANCE")</f>
        <v xml:space="preserve">          6114 - STATE UNEMPLOYMENT INSURANCE</v>
      </c>
      <c r="C32" s="15"/>
      <c r="D32" s="2">
        <v>41.26</v>
      </c>
      <c r="E32" s="2">
        <v>43.84</v>
      </c>
      <c r="F32" s="2">
        <v>44.52</v>
      </c>
      <c r="G32" s="2">
        <v>43.33</v>
      </c>
      <c r="H32" s="2">
        <v>43.288490000000003</v>
      </c>
      <c r="I32" s="2">
        <v>43.288490000000003</v>
      </c>
      <c r="J32" s="2">
        <v>58.104373250000002</v>
      </c>
      <c r="K32" s="2">
        <v>44.448738599999999</v>
      </c>
      <c r="L32" s="2">
        <v>44.448738599999999</v>
      </c>
      <c r="M32" s="2">
        <v>55.560923250000002</v>
      </c>
      <c r="N32" s="2">
        <v>44.448738599999999</v>
      </c>
      <c r="O32" s="2">
        <v>44.448738599999999</v>
      </c>
      <c r="P32" s="9"/>
      <c r="Q32" s="2">
        <f>SUM(OSRRefD21_0_3x)+IFERROR(SUM(OSRRefE21_0_3x),0)</f>
        <v>550.98723089999999</v>
      </c>
    </row>
    <row r="33" spans="1:17" s="34" customFormat="1" hidden="1" outlineLevel="1" x14ac:dyDescent="0.25">
      <c r="A33" s="35"/>
      <c r="B33" s="13" t="str">
        <f>CONCATENATE("          ","6115", " - ","P.E.R.S.")</f>
        <v xml:space="preserve">          6115 - P.E.R.S.</v>
      </c>
      <c r="C33" s="15"/>
      <c r="D33" s="2">
        <v>2066.46</v>
      </c>
      <c r="E33" s="2">
        <v>1614.45</v>
      </c>
      <c r="F33" s="2">
        <v>1614.45</v>
      </c>
      <c r="G33" s="2">
        <v>1202.9100000000001</v>
      </c>
      <c r="H33" s="2">
        <v>1387.1300538461498</v>
      </c>
      <c r="I33" s="2">
        <v>1387.1300538461498</v>
      </c>
      <c r="J33" s="2">
        <v>1777.69188442308</v>
      </c>
      <c r="K33" s="2">
        <v>1422.15350753846</v>
      </c>
      <c r="L33" s="2">
        <v>1422.15350753846</v>
      </c>
      <c r="M33" s="2">
        <v>1777.69188442308</v>
      </c>
      <c r="N33" s="2">
        <v>1422.15350753846</v>
      </c>
      <c r="O33" s="2">
        <v>1422.15350753846</v>
      </c>
      <c r="P33" s="9"/>
      <c r="Q33" s="2">
        <f>SUM(OSRRefD21_0_4x)+IFERROR(SUM(OSRRefE21_0_4x),0)</f>
        <v>18516.527906692299</v>
      </c>
    </row>
    <row r="34" spans="1:17" s="34" customFormat="1" hidden="1" outlineLevel="1" x14ac:dyDescent="0.25">
      <c r="A34" s="35"/>
      <c r="B34" s="13" t="str">
        <f>CONCATENATE("          ","6116", " - ","EDUCATIONAL BENEFITS")</f>
        <v xml:space="preserve">          6116 - EDUCATIONAL BENEFITS</v>
      </c>
      <c r="C34" s="15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SUM(OSRRefD21_0_5x)+IFERROR(SUM(OSRRefE21_0_5x),0)</f>
        <v>0</v>
      </c>
    </row>
    <row r="35" spans="1:17" s="34" customFormat="1" hidden="1" outlineLevel="1" x14ac:dyDescent="0.25">
      <c r="A35" s="35"/>
      <c r="B35" s="13" t="str">
        <f>CONCATENATE("          ","6118", " - ","VACATION")</f>
        <v xml:space="preserve">          6118 - VACATION</v>
      </c>
      <c r="C35" s="15"/>
      <c r="D35" s="2">
        <v>978.88</v>
      </c>
      <c r="E35" s="2">
        <v>1216.0999999999999</v>
      </c>
      <c r="F35" s="2">
        <v>1216.0999999999999</v>
      </c>
      <c r="G35" s="2">
        <v>1824.15</v>
      </c>
      <c r="H35" s="2">
        <v>1131.2377584615399</v>
      </c>
      <c r="I35" s="2">
        <v>1131.2377584615399</v>
      </c>
      <c r="J35" s="2">
        <v>1449.68152596154</v>
      </c>
      <c r="K35" s="2">
        <v>1159.7452207692299</v>
      </c>
      <c r="L35" s="2">
        <v>1159.7452207692299</v>
      </c>
      <c r="M35" s="2">
        <v>1449.68152596154</v>
      </c>
      <c r="N35" s="2">
        <v>1159.7452207692299</v>
      </c>
      <c r="O35" s="2">
        <v>1159.7452207692299</v>
      </c>
      <c r="P35" s="9"/>
      <c r="Q35" s="2">
        <f>SUM(OSRRefD21_0_6x)+IFERROR(SUM(OSRRefE21_0_6x),0)</f>
        <v>15036.049451923078</v>
      </c>
    </row>
    <row r="36" spans="1:17" s="34" customFormat="1" hidden="1" outlineLevel="1" x14ac:dyDescent="0.25">
      <c r="A36" s="35"/>
      <c r="B36" s="13" t="str">
        <f>CONCATENATE("          ","6119", " - ","SICK LEAVE")</f>
        <v xml:space="preserve">          6119 - SICK LEAVE</v>
      </c>
      <c r="C36" s="15"/>
      <c r="D36" s="2">
        <v>632.52</v>
      </c>
      <c r="E36" s="2">
        <v>738.5</v>
      </c>
      <c r="F36" s="2">
        <v>738.5</v>
      </c>
      <c r="G36" s="2">
        <v>1107.75</v>
      </c>
      <c r="H36" s="2">
        <v>558.49796153846205</v>
      </c>
      <c r="I36" s="2">
        <v>558.49796153846205</v>
      </c>
      <c r="J36" s="2">
        <v>713.39430673076902</v>
      </c>
      <c r="K36" s="2">
        <v>570.71544538461501</v>
      </c>
      <c r="L36" s="2">
        <v>570.71544538461501</v>
      </c>
      <c r="M36" s="2">
        <v>713.39430673076902</v>
      </c>
      <c r="N36" s="2">
        <v>570.71544538461501</v>
      </c>
      <c r="O36" s="2">
        <v>570.71544538461501</v>
      </c>
      <c r="P36" s="9"/>
      <c r="Q36" s="2">
        <f>SUM(OSRRefD21_0_7x)+IFERROR(SUM(OSRRefE21_0_7x),0)</f>
        <v>8043.9163180769228</v>
      </c>
    </row>
    <row r="37" spans="1:17" s="34" customFormat="1" hidden="1" outlineLevel="1" x14ac:dyDescent="0.25">
      <c r="A37" s="35"/>
      <c r="B37" s="13" t="str">
        <f>CONCATENATE("          ","6156", " - ","EMPLOYEE MEALS")</f>
        <v xml:space="preserve">          6156 - EMPLOYEE MEALS</v>
      </c>
      <c r="C37" s="15"/>
      <c r="D37" s="2">
        <v>149.71</v>
      </c>
      <c r="E37" s="2">
        <v>366.57</v>
      </c>
      <c r="F37" s="2">
        <v>450.46</v>
      </c>
      <c r="G37" s="2">
        <v>499.9</v>
      </c>
      <c r="H37" s="2"/>
      <c r="I37" s="2"/>
      <c r="J37" s="2"/>
      <c r="K37" s="2"/>
      <c r="L37" s="2"/>
      <c r="M37" s="2"/>
      <c r="N37" s="2"/>
      <c r="O37" s="2"/>
      <c r="P37" s="9"/>
      <c r="Q37" s="2">
        <f>SUM(OSRRefD21_0_8x)+IFERROR(SUM(OSRRefE21_0_8x),0)</f>
        <v>1466.6399999999999</v>
      </c>
    </row>
    <row r="38" spans="1:17" s="34" customFormat="1" collapsed="1" x14ac:dyDescent="0.25">
      <c r="A38" s="35"/>
      <c r="B38" s="15" t="str">
        <f>CONCATENATE("     ","*Payroll                                          ")</f>
        <v xml:space="preserve">     *Payroll                                          </v>
      </c>
      <c r="C38" s="15"/>
      <c r="D38" s="1">
        <f>SUM(OSRRefD21_1x_0)</f>
        <v>15059.94</v>
      </c>
      <c r="E38" s="1">
        <f>SUM(OSRRefD21_1x_1)</f>
        <v>13505.78</v>
      </c>
      <c r="F38" s="1">
        <f>SUM(OSRRefD21_1x_2)</f>
        <v>15984.94</v>
      </c>
      <c r="G38" s="1">
        <f>SUM(OSRRefD21_1x_3)</f>
        <v>15617.39</v>
      </c>
      <c r="H38" s="1">
        <f>SUM(OSRRefE21_1x_0)</f>
        <v>14471.2176846154</v>
      </c>
      <c r="I38" s="1">
        <f>SUM(OSRRefE21_1x_1)</f>
        <v>14471.2176846154</v>
      </c>
      <c r="J38" s="1">
        <f>SUM(OSRRefE21_1x_2)</f>
        <v>18552.2683682692</v>
      </c>
      <c r="K38" s="1">
        <f>SUM(OSRRefE21_1x_3)</f>
        <v>14841.814694615401</v>
      </c>
      <c r="L38" s="1">
        <f>SUM(OSRRefE21_1x_4)</f>
        <v>14841.814694615401</v>
      </c>
      <c r="M38" s="1">
        <f>SUM(OSRRefE21_1x_5)</f>
        <v>18552.2683682692</v>
      </c>
      <c r="N38" s="1">
        <f>SUM(OSRRefE21_1x_6)</f>
        <v>14841.814694615401</v>
      </c>
      <c r="O38" s="1">
        <f>SUM(OSRRefE21_1x_7)</f>
        <v>14841.814694615401</v>
      </c>
      <c r="Q38" s="2">
        <f>SUM(OSRRefD20_1x)+IFERROR(SUM(OSRRefE20_1x),0)</f>
        <v>185582.2808842308</v>
      </c>
    </row>
    <row r="39" spans="1:17" s="34" customFormat="1" hidden="1" outlineLevel="1" x14ac:dyDescent="0.25">
      <c r="A39" s="35"/>
      <c r="B39" s="13" t="str">
        <f>CONCATENATE("          ","6001", " - ","ADMINISTRATIVE SALARIES")</f>
        <v xml:space="preserve">          6001 - ADMINISTRATIVE SALARIES</v>
      </c>
      <c r="C39" s="15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SUM(OSRRefD21_1_0x)+IFERROR(SUM(OSRRefE21_1_0x),0)</f>
        <v>0</v>
      </c>
    </row>
    <row r="40" spans="1:17" s="34" customFormat="1" hidden="1" outlineLevel="1" x14ac:dyDescent="0.25">
      <c r="A40" s="35"/>
      <c r="B40" s="13" t="str">
        <f>CONCATENATE("          ","6002", " - ","STAFF SALARIES")</f>
        <v xml:space="preserve">          6002 - STAFF SALARIES</v>
      </c>
      <c r="C40" s="15"/>
      <c r="D40" s="2">
        <v>15059.94</v>
      </c>
      <c r="E40" s="2">
        <v>12050.26</v>
      </c>
      <c r="F40" s="2">
        <v>14903.76</v>
      </c>
      <c r="G40" s="2">
        <v>14754.47</v>
      </c>
      <c r="H40" s="2">
        <v>14471.2176846154</v>
      </c>
      <c r="I40" s="2">
        <v>14471.2176846154</v>
      </c>
      <c r="J40" s="2">
        <v>18552.2683682692</v>
      </c>
      <c r="K40" s="2">
        <v>14841.814694615401</v>
      </c>
      <c r="L40" s="2">
        <v>14841.814694615401</v>
      </c>
      <c r="M40" s="2">
        <v>18552.2683682692</v>
      </c>
      <c r="N40" s="2">
        <v>14841.814694615401</v>
      </c>
      <c r="O40" s="2">
        <v>14841.814694615401</v>
      </c>
      <c r="P40" s="9"/>
      <c r="Q40" s="2">
        <f>SUM(OSRRefD21_1_1x)+IFERROR(SUM(OSRRefE21_1_1x),0)</f>
        <v>182182.66088423081</v>
      </c>
    </row>
    <row r="41" spans="1:17" s="34" customFormat="1" hidden="1" outlineLevel="1" x14ac:dyDescent="0.25">
      <c r="A41" s="35"/>
      <c r="B41" s="13" t="str">
        <f>CONCATENATE("          ","6003", " - ","STAFF HOURLY-9 MONTH")</f>
        <v xml:space="preserve">          6003 - STAFF HOURLY-9 MONTH</v>
      </c>
      <c r="C41" s="15"/>
      <c r="D41" s="2"/>
      <c r="E41" s="2"/>
      <c r="F41" s="2"/>
      <c r="G41" s="2"/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SUM(OSRRefD21_1_2x)+IFERROR(SUM(OSRRefE21_1_2x),0)</f>
        <v>0</v>
      </c>
    </row>
    <row r="42" spans="1:17" s="34" customFormat="1" hidden="1" outlineLevel="1" x14ac:dyDescent="0.25">
      <c r="A42" s="35"/>
      <c r="B42" s="13" t="str">
        <f>CONCATENATE("          ","6004", " - ","STAFF HOURLY")</f>
        <v xml:space="preserve">          6004 - STAFF HOURLY</v>
      </c>
      <c r="C42" s="15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SUM(OSRRefD21_1_3x)+IFERROR(SUM(OSRRefE21_1_3x),0)</f>
        <v>0</v>
      </c>
    </row>
    <row r="43" spans="1:17" s="34" customFormat="1" hidden="1" outlineLevel="1" x14ac:dyDescent="0.25">
      <c r="A43" s="35"/>
      <c r="B43" s="13" t="str">
        <f>CONCATENATE("          ","6005", " - ","TEMPORARY WAGES-HOURLY")</f>
        <v xml:space="preserve">          6005 - TEMPORARY WAGES-HOURLY</v>
      </c>
      <c r="C43" s="15"/>
      <c r="D43" s="2"/>
      <c r="E43" s="2">
        <v>383.25</v>
      </c>
      <c r="F43" s="2"/>
      <c r="G43" s="2"/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SUM(OSRRefD21_1_4x)+IFERROR(SUM(OSRRefE21_1_4x),0)</f>
        <v>383.25</v>
      </c>
    </row>
    <row r="44" spans="1:17" s="34" customFormat="1" hidden="1" outlineLevel="1" x14ac:dyDescent="0.25">
      <c r="A44" s="35"/>
      <c r="B44" s="13" t="str">
        <f>CONCATENATE("          ","6006", " - ","TEMPORARY PART TIME")</f>
        <v xml:space="preserve">          6006 - TEMPORARY PART TIME</v>
      </c>
      <c r="C44" s="15"/>
      <c r="D44" s="2"/>
      <c r="E44" s="2"/>
      <c r="F44" s="2"/>
      <c r="G44" s="2"/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SUM(OSRRefD21_1_5x)+IFERROR(SUM(OSRRefE21_1_5x),0)</f>
        <v>0</v>
      </c>
    </row>
    <row r="45" spans="1:17" s="34" customFormat="1" hidden="1" outlineLevel="1" x14ac:dyDescent="0.25">
      <c r="A45" s="35"/>
      <c r="B45" s="13" t="str">
        <f>CONCATENATE("          ","6007", " - ","STUDENT HOURLY")</f>
        <v xml:space="preserve">          6007 - STUDENT HOURLY</v>
      </c>
      <c r="C45" s="15"/>
      <c r="D45" s="2"/>
      <c r="E45" s="2">
        <v>1072.27</v>
      </c>
      <c r="F45" s="2">
        <v>1081.18</v>
      </c>
      <c r="G45" s="2">
        <v>862.92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SUM(OSRRefD21_1_6x)+IFERROR(SUM(OSRRefE21_1_6x),0)</f>
        <v>3016.37</v>
      </c>
    </row>
    <row r="46" spans="1:17" s="34" customFormat="1" hidden="1" outlineLevel="1" x14ac:dyDescent="0.25">
      <c r="A46" s="35"/>
      <c r="B46" s="13" t="str">
        <f>CONCATENATE("          ","6008", " - ","STUDENT HOURLY-FICA EXEMPT")</f>
        <v xml:space="preserve">          6008 - STUDENT HOURLY-FICA EXEMPT</v>
      </c>
      <c r="C46" s="15"/>
      <c r="D46" s="2"/>
      <c r="E46" s="2"/>
      <c r="F46" s="2"/>
      <c r="G46" s="2"/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SUM(OSRRefD21_1_7x)+IFERROR(SUM(OSRRefE21_1_7x),0)</f>
        <v>0</v>
      </c>
    </row>
    <row r="47" spans="1:17" s="34" customFormat="1" hidden="1" outlineLevel="1" x14ac:dyDescent="0.25">
      <c r="A47" s="35"/>
      <c r="B47" s="13" t="str">
        <f>CONCATENATE("          ","6009", " - ","TEMPORARY-SEASONAL")</f>
        <v xml:space="preserve">          6009 - TEMPORARY-SEASONAL</v>
      </c>
      <c r="C47" s="15"/>
      <c r="D47" s="2"/>
      <c r="E47" s="2"/>
      <c r="F47" s="2"/>
      <c r="G47" s="2"/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SUM(OSRRefD21_1_8x)+IFERROR(SUM(OSRRefE21_1_8x),0)</f>
        <v>0</v>
      </c>
    </row>
    <row r="48" spans="1:17" s="34" customFormat="1" hidden="1" outlineLevel="1" x14ac:dyDescent="0.25">
      <c r="A48" s="35"/>
      <c r="B48" s="13" t="str">
        <f>CONCATENATE("          ","6010", " - ","GRATUITY")</f>
        <v xml:space="preserve">          6010 - GRATUITY</v>
      </c>
      <c r="C48" s="15"/>
      <c r="D48" s="2"/>
      <c r="E48" s="2"/>
      <c r="F48" s="2"/>
      <c r="G48" s="2"/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SUM(OSRRefD21_1_9x)+IFERROR(SUM(OSRRefE21_1_9x),0)</f>
        <v>0</v>
      </c>
    </row>
    <row r="49" spans="1:17" s="34" customFormat="1" collapsed="1" x14ac:dyDescent="0.25">
      <c r="A49" s="35"/>
      <c r="B49" s="15" t="str">
        <f>CONCATENATE("     ","Advertising/Promo                                 ")</f>
        <v xml:space="preserve">     Advertising/Promo                                 </v>
      </c>
      <c r="C49" s="15"/>
      <c r="D49" s="1">
        <f>SUM(OSRRefD21_2x_0)</f>
        <v>0</v>
      </c>
      <c r="E49" s="1">
        <f>SUM(OSRRefD21_2x_1)</f>
        <v>0</v>
      </c>
      <c r="F49" s="1">
        <f>SUM(OSRRefD21_2x_2)</f>
        <v>0</v>
      </c>
      <c r="G49" s="1">
        <f>SUM(OSRRefD21_2x_3)</f>
        <v>0</v>
      </c>
      <c r="H49" s="1">
        <f>SUM(OSRRefE21_2x_0)</f>
        <v>50</v>
      </c>
      <c r="I49" s="1">
        <f>SUM(OSRRefE21_2x_1)</f>
        <v>50</v>
      </c>
      <c r="J49" s="1">
        <f>SUM(OSRRefE21_2x_2)</f>
        <v>50</v>
      </c>
      <c r="K49" s="1">
        <f>SUM(OSRRefE21_2x_3)</f>
        <v>50</v>
      </c>
      <c r="L49" s="1">
        <f>SUM(OSRRefE21_2x_4)</f>
        <v>50</v>
      </c>
      <c r="M49" s="1">
        <f>SUM(OSRRefE21_2x_5)</f>
        <v>50</v>
      </c>
      <c r="N49" s="1">
        <f>SUM(OSRRefE21_2x_6)</f>
        <v>50</v>
      </c>
      <c r="O49" s="1">
        <f>SUM(OSRRefE21_2x_7)</f>
        <v>50</v>
      </c>
      <c r="Q49" s="2">
        <f>SUM(OSRRefD20_2x)+IFERROR(SUM(OSRRefE20_2x),0)</f>
        <v>400</v>
      </c>
    </row>
    <row r="50" spans="1:17" s="34" customFormat="1" hidden="1" outlineLevel="1" x14ac:dyDescent="0.25">
      <c r="A50" s="35"/>
      <c r="B50" s="13" t="str">
        <f>CONCATENATE("          ","6362", " - ","ADVERTISING EXPENSE")</f>
        <v xml:space="preserve">          6362 - ADVERTISING EXPENSE</v>
      </c>
      <c r="C50" s="15"/>
      <c r="D50" s="2"/>
      <c r="E50" s="2"/>
      <c r="F50" s="2"/>
      <c r="G50" s="2"/>
      <c r="H50" s="2">
        <v>50</v>
      </c>
      <c r="I50" s="2">
        <v>50</v>
      </c>
      <c r="J50" s="2">
        <v>50</v>
      </c>
      <c r="K50" s="2">
        <v>50</v>
      </c>
      <c r="L50" s="2">
        <v>50</v>
      </c>
      <c r="M50" s="2">
        <v>50</v>
      </c>
      <c r="N50" s="2">
        <v>50</v>
      </c>
      <c r="O50" s="2">
        <v>50</v>
      </c>
      <c r="P50" s="9"/>
      <c r="Q50" s="2">
        <f>SUM(OSRRefD21_2_0x)+IFERROR(SUM(OSRRefE21_2_0x),0)</f>
        <v>400</v>
      </c>
    </row>
    <row r="51" spans="1:17" s="34" customFormat="1" collapsed="1" x14ac:dyDescent="0.25">
      <c r="A51" s="35"/>
      <c r="B51" s="15" t="str">
        <f>CONCATENATE("     ","Depreciation                                      ")</f>
        <v xml:space="preserve">     Depreciation                                      </v>
      </c>
      <c r="C51" s="15"/>
      <c r="D51" s="1">
        <f>SUM(OSRRefD21_3x_0)</f>
        <v>169.88</v>
      </c>
      <c r="E51" s="1">
        <f>SUM(OSRRefD21_3x_1)</f>
        <v>169.88</v>
      </c>
      <c r="F51" s="1">
        <f>SUM(OSRRefD21_3x_2)</f>
        <v>169.88</v>
      </c>
      <c r="G51" s="1">
        <f>SUM(OSRRefD21_3x_3)</f>
        <v>169.88</v>
      </c>
      <c r="H51" s="1">
        <f>SUM(OSRRefE21_3x_0)</f>
        <v>170</v>
      </c>
      <c r="I51" s="1">
        <f>SUM(OSRRefE21_3x_1)</f>
        <v>170</v>
      </c>
      <c r="J51" s="1">
        <f>SUM(OSRRefE21_3x_2)</f>
        <v>170</v>
      </c>
      <c r="K51" s="1">
        <f>SUM(OSRRefE21_3x_3)</f>
        <v>170</v>
      </c>
      <c r="L51" s="1">
        <f>SUM(OSRRefE21_3x_4)</f>
        <v>170</v>
      </c>
      <c r="M51" s="1">
        <f>SUM(OSRRefE21_3x_5)</f>
        <v>170</v>
      </c>
      <c r="N51" s="1">
        <f>SUM(OSRRefE21_3x_6)</f>
        <v>170</v>
      </c>
      <c r="O51" s="1">
        <f>SUM(OSRRefE21_3x_7)</f>
        <v>170</v>
      </c>
      <c r="Q51" s="2">
        <f>SUM(OSRRefD20_3x)+IFERROR(SUM(OSRRefE20_3x),0)</f>
        <v>2039.52</v>
      </c>
    </row>
    <row r="52" spans="1:17" s="34" customFormat="1" hidden="1" outlineLevel="1" x14ac:dyDescent="0.25">
      <c r="A52" s="35"/>
      <c r="B52" s="13" t="str">
        <f>CONCATENATE("          ","6322", " - ","EQUIPMENT DEPRECIATION EXPENSE")</f>
        <v xml:space="preserve">          6322 - EQUIPMENT DEPRECIATION EXPENSE</v>
      </c>
      <c r="C52" s="15"/>
      <c r="D52" s="2">
        <v>169.88</v>
      </c>
      <c r="E52" s="2">
        <v>169.88</v>
      </c>
      <c r="F52" s="2">
        <v>169.88</v>
      </c>
      <c r="G52" s="2">
        <v>169.88</v>
      </c>
      <c r="H52" s="2">
        <v>170</v>
      </c>
      <c r="I52" s="2">
        <v>170</v>
      </c>
      <c r="J52" s="2">
        <v>170</v>
      </c>
      <c r="K52" s="2">
        <v>170</v>
      </c>
      <c r="L52" s="2">
        <v>170</v>
      </c>
      <c r="M52" s="2">
        <v>170</v>
      </c>
      <c r="N52" s="2">
        <v>170</v>
      </c>
      <c r="O52" s="2">
        <v>170</v>
      </c>
      <c r="P52" s="9"/>
      <c r="Q52" s="2">
        <f>SUM(OSRRefD21_3_0x)+IFERROR(SUM(OSRRefE21_3_0x),0)</f>
        <v>2039.52</v>
      </c>
    </row>
    <row r="53" spans="1:17" s="34" customFormat="1" collapsed="1" x14ac:dyDescent="0.25">
      <c r="A53" s="35"/>
      <c r="B53" s="15" t="str">
        <f>CONCATENATE("     ","Discounts and Markdowns                           ")</f>
        <v xml:space="preserve">     Discounts and Markdowns                           </v>
      </c>
      <c r="C53" s="15"/>
      <c r="D53" s="1">
        <f>SUM(OSRRefD21_4x_0)</f>
        <v>0</v>
      </c>
      <c r="E53" s="1">
        <f>SUM(OSRRefD21_4x_1)</f>
        <v>0</v>
      </c>
      <c r="F53" s="1">
        <f>SUM(OSRRefD21_4x_2)</f>
        <v>0</v>
      </c>
      <c r="G53" s="1">
        <f>SUM(OSRRefD21_4x_3)</f>
        <v>0</v>
      </c>
      <c r="H53" s="1">
        <f>SUM(OSRRefE21_4x_0)</f>
        <v>50</v>
      </c>
      <c r="I53" s="1">
        <f>SUM(OSRRefE21_4x_1)</f>
        <v>50</v>
      </c>
      <c r="J53" s="1">
        <f>SUM(OSRRefE21_4x_2)</f>
        <v>50</v>
      </c>
      <c r="K53" s="1">
        <f>SUM(OSRRefE21_4x_3)</f>
        <v>50</v>
      </c>
      <c r="L53" s="1">
        <f>SUM(OSRRefE21_4x_4)</f>
        <v>50</v>
      </c>
      <c r="M53" s="1">
        <f>SUM(OSRRefE21_4x_5)</f>
        <v>50</v>
      </c>
      <c r="N53" s="1">
        <f>SUM(OSRRefE21_4x_6)</f>
        <v>50</v>
      </c>
      <c r="O53" s="1">
        <f>SUM(OSRRefE21_4x_7)</f>
        <v>50</v>
      </c>
      <c r="Q53" s="2">
        <f>SUM(OSRRefD20_4x)+IFERROR(SUM(OSRRefE20_4x),0)</f>
        <v>400</v>
      </c>
    </row>
    <row r="54" spans="1:17" s="34" customFormat="1" hidden="1" outlineLevel="1" x14ac:dyDescent="0.25">
      <c r="A54" s="35"/>
      <c r="B54" s="13" t="str">
        <f>CONCATENATE("          ","6382", " - ","DISCOUNTS/MARK DOWNS")</f>
        <v xml:space="preserve">          6382 - DISCOUNTS/MARK DOWNS</v>
      </c>
      <c r="C54" s="15"/>
      <c r="D54" s="2"/>
      <c r="E54" s="2"/>
      <c r="F54" s="2"/>
      <c r="G54" s="2"/>
      <c r="H54" s="2">
        <v>50</v>
      </c>
      <c r="I54" s="2">
        <v>50</v>
      </c>
      <c r="J54" s="2">
        <v>50</v>
      </c>
      <c r="K54" s="2">
        <v>50</v>
      </c>
      <c r="L54" s="2">
        <v>50</v>
      </c>
      <c r="M54" s="2">
        <v>50</v>
      </c>
      <c r="N54" s="2">
        <v>50</v>
      </c>
      <c r="O54" s="2">
        <v>50</v>
      </c>
      <c r="P54" s="9"/>
      <c r="Q54" s="2">
        <f>SUM(OSRRefD21_4_0x)+IFERROR(SUM(OSRRefE21_4_0x),0)</f>
        <v>400</v>
      </c>
    </row>
    <row r="55" spans="1:17" s="34" customFormat="1" collapsed="1" x14ac:dyDescent="0.25">
      <c r="A55" s="35"/>
      <c r="B55" s="15" t="str">
        <f>CONCATENATE("     ","Equipment Rental                                  ")</f>
        <v xml:space="preserve">     Equipment Rental                                  </v>
      </c>
      <c r="C55" s="15"/>
      <c r="D55" s="1">
        <f>SUM(OSRRefD21_5x_0)</f>
        <v>1205.6400000000001</v>
      </c>
      <c r="E55" s="1">
        <f>SUM(OSRRefD21_5x_1)</f>
        <v>1205.6400000000001</v>
      </c>
      <c r="F55" s="1">
        <f>SUM(OSRRefD21_5x_2)</f>
        <v>1205.6400000000001</v>
      </c>
      <c r="G55" s="1">
        <f>SUM(OSRRefD21_5x_3)</f>
        <v>1205.6400000000001</v>
      </c>
      <c r="H55" s="1">
        <f>SUM(OSRRefE21_5x_0)</f>
        <v>1206</v>
      </c>
      <c r="I55" s="1">
        <f>SUM(OSRRefE21_5x_1)</f>
        <v>1206</v>
      </c>
      <c r="J55" s="1">
        <f>SUM(OSRRefE21_5x_2)</f>
        <v>1206</v>
      </c>
      <c r="K55" s="1">
        <f>SUM(OSRRefE21_5x_3)</f>
        <v>1206</v>
      </c>
      <c r="L55" s="1">
        <f>SUM(OSRRefE21_5x_4)</f>
        <v>1206</v>
      </c>
      <c r="M55" s="1">
        <f>SUM(OSRRefE21_5x_5)</f>
        <v>1206</v>
      </c>
      <c r="N55" s="1">
        <f>SUM(OSRRefE21_5x_6)</f>
        <v>1206</v>
      </c>
      <c r="O55" s="1">
        <f>SUM(OSRRefE21_5x_7)</f>
        <v>1206</v>
      </c>
      <c r="Q55" s="2">
        <f>SUM(OSRRefD20_5x)+IFERROR(SUM(OSRRefE20_5x),0)</f>
        <v>14470.560000000001</v>
      </c>
    </row>
    <row r="56" spans="1:17" s="34" customFormat="1" hidden="1" outlineLevel="1" x14ac:dyDescent="0.25">
      <c r="A56" s="35"/>
      <c r="B56" s="13" t="str">
        <f>CONCATENATE("          ","6351", " - ","EQUIPMENT RENTAL")</f>
        <v xml:space="preserve">          6351 - EQUIPMENT RENTAL</v>
      </c>
      <c r="C56" s="15"/>
      <c r="D56" s="2">
        <v>1205.6400000000001</v>
      </c>
      <c r="E56" s="2">
        <v>1205.6400000000001</v>
      </c>
      <c r="F56" s="2">
        <v>1205.6400000000001</v>
      </c>
      <c r="G56" s="2">
        <v>1205.6400000000001</v>
      </c>
      <c r="H56" s="2">
        <v>1206</v>
      </c>
      <c r="I56" s="2">
        <v>1206</v>
      </c>
      <c r="J56" s="2">
        <v>1206</v>
      </c>
      <c r="K56" s="2">
        <v>1206</v>
      </c>
      <c r="L56" s="2">
        <v>1206</v>
      </c>
      <c r="M56" s="2">
        <v>1206</v>
      </c>
      <c r="N56" s="2">
        <v>1206</v>
      </c>
      <c r="O56" s="2">
        <v>1206</v>
      </c>
      <c r="P56" s="9"/>
      <c r="Q56" s="2">
        <f>SUM(OSRRefD21_5_0x)+IFERROR(SUM(OSRRefE21_5_0x),0)</f>
        <v>14470.560000000001</v>
      </c>
    </row>
    <row r="57" spans="1:17" s="34" customFormat="1" collapsed="1" x14ac:dyDescent="0.25">
      <c r="A57" s="35"/>
      <c r="B57" s="15" t="str">
        <f>CONCATENATE("     ","Freight out/Postage                               ")</f>
        <v xml:space="preserve">     Freight out/Postage                               </v>
      </c>
      <c r="C57" s="15"/>
      <c r="D57" s="1">
        <f>SUM(OSRRefD21_6x_0)</f>
        <v>8744.76</v>
      </c>
      <c r="E57" s="1">
        <f>SUM(OSRRefD21_6x_1)</f>
        <v>-84423.84</v>
      </c>
      <c r="F57" s="1">
        <f>SUM(OSRRefD21_6x_2)</f>
        <v>-6321.6000000000013</v>
      </c>
      <c r="G57" s="1">
        <f>SUM(OSRRefD21_6x_3)</f>
        <v>48851.520000000004</v>
      </c>
      <c r="H57" s="1">
        <f>SUM(OSRRefE21_6x_0)</f>
        <v>1500</v>
      </c>
      <c r="I57" s="1">
        <f>SUM(OSRRefE21_6x_1)</f>
        <v>-500</v>
      </c>
      <c r="J57" s="1">
        <f>SUM(OSRRefE21_6x_2)</f>
        <v>-13800</v>
      </c>
      <c r="K57" s="1">
        <f>SUM(OSRRefE21_6x_3)</f>
        <v>0</v>
      </c>
      <c r="L57" s="1">
        <f>SUM(OSRRefE21_6x_4)</f>
        <v>-18000</v>
      </c>
      <c r="M57" s="1">
        <f>SUM(OSRRefE21_6x_5)</f>
        <v>408</v>
      </c>
      <c r="N57" s="1">
        <f>SUM(OSRRefE21_6x_6)</f>
        <v>-2750</v>
      </c>
      <c r="O57" s="1">
        <f>SUM(OSRRefE21_6x_7)</f>
        <v>-1000</v>
      </c>
      <c r="Q57" s="2">
        <f>SUM(OSRRefD20_6x)+IFERROR(SUM(OSRRefE20_6x),0)</f>
        <v>-67291.16</v>
      </c>
    </row>
    <row r="58" spans="1:17" s="34" customFormat="1" hidden="1" outlineLevel="1" x14ac:dyDescent="0.25">
      <c r="A58" s="35"/>
      <c r="B58" s="13" t="str">
        <f>CONCATENATE("          ","6305", " - ","FREIGHT OUT")</f>
        <v xml:space="preserve">          6305 - FREIGHT OUT</v>
      </c>
      <c r="C58" s="15"/>
      <c r="D58" s="2">
        <v>11905.2</v>
      </c>
      <c r="E58" s="2">
        <v>7873.15</v>
      </c>
      <c r="F58" s="2">
        <v>5262.44</v>
      </c>
      <c r="G58" s="2">
        <v>60553.990000000005</v>
      </c>
      <c r="H58" s="2">
        <v>2500</v>
      </c>
      <c r="I58" s="2">
        <v>3000</v>
      </c>
      <c r="J58" s="2">
        <v>2200</v>
      </c>
      <c r="K58" s="2">
        <v>8700</v>
      </c>
      <c r="L58" s="2">
        <v>2000</v>
      </c>
      <c r="M58" s="2">
        <v>2500</v>
      </c>
      <c r="N58" s="2">
        <v>2250</v>
      </c>
      <c r="O58" s="2">
        <v>1000</v>
      </c>
      <c r="P58" s="9"/>
      <c r="Q58" s="2">
        <f>SUM(OSRRefD21_6_0x)+IFERROR(SUM(OSRRefE21_6_0x),0)</f>
        <v>109744.78</v>
      </c>
    </row>
    <row r="59" spans="1:17" s="34" customFormat="1" hidden="1" outlineLevel="1" x14ac:dyDescent="0.25">
      <c r="A59" s="35"/>
      <c r="B59" s="13" t="str">
        <f>CONCATENATE("          ","6307", " - ","POSTAGE")</f>
        <v xml:space="preserve">          6307 - POSTAGE</v>
      </c>
      <c r="C59" s="15"/>
      <c r="D59" s="2">
        <v>-3160.44</v>
      </c>
      <c r="E59" s="2">
        <v>-92296.989999999991</v>
      </c>
      <c r="F59" s="2">
        <v>-11584.04</v>
      </c>
      <c r="G59" s="2">
        <v>-11702.47</v>
      </c>
      <c r="H59" s="2">
        <v>-1000</v>
      </c>
      <c r="I59" s="2">
        <v>-3500</v>
      </c>
      <c r="J59" s="2">
        <v>-16000</v>
      </c>
      <c r="K59" s="2">
        <v>-8700</v>
      </c>
      <c r="L59" s="2">
        <v>-20000</v>
      </c>
      <c r="M59" s="2">
        <v>-2092</v>
      </c>
      <c r="N59" s="2">
        <v>-5000</v>
      </c>
      <c r="O59" s="2">
        <v>-2000</v>
      </c>
      <c r="P59" s="9"/>
      <c r="Q59" s="2">
        <f>SUM(OSRRefD21_6_1x)+IFERROR(SUM(OSRRefE21_6_1x),0)</f>
        <v>-177035.94</v>
      </c>
    </row>
    <row r="60" spans="1:17" s="34" customFormat="1" collapsed="1" x14ac:dyDescent="0.25">
      <c r="A60" s="35"/>
      <c r="B60" s="15" t="str">
        <f>CONCATENATE("     ","Repair and Maintenance                            ")</f>
        <v xml:space="preserve">     Repair and Maintenance                            </v>
      </c>
      <c r="C60" s="15"/>
      <c r="D60" s="1">
        <f>SUM(OSRRefD21_7x_0)</f>
        <v>6378.1</v>
      </c>
      <c r="E60" s="1">
        <f>SUM(OSRRefD21_7x_1)</f>
        <v>5225.0200000000004</v>
      </c>
      <c r="F60" s="1">
        <f>SUM(OSRRefD21_7x_2)</f>
        <v>7243.55</v>
      </c>
      <c r="G60" s="1">
        <f>SUM(OSRRefD21_7x_3)</f>
        <v>5274.0899999999992</v>
      </c>
      <c r="H60" s="1">
        <f>SUM(OSRRefE21_7x_0)</f>
        <v>5500</v>
      </c>
      <c r="I60" s="1">
        <f>SUM(OSRRefE21_7x_1)</f>
        <v>5500</v>
      </c>
      <c r="J60" s="1">
        <f>SUM(OSRRefE21_7x_2)</f>
        <v>8000</v>
      </c>
      <c r="K60" s="1">
        <f>SUM(OSRRefE21_7x_3)</f>
        <v>7200</v>
      </c>
      <c r="L60" s="1">
        <f>SUM(OSRRefE21_7x_4)</f>
        <v>5000</v>
      </c>
      <c r="M60" s="1">
        <f>SUM(OSRRefE21_7x_5)</f>
        <v>5000</v>
      </c>
      <c r="N60" s="1">
        <f>SUM(OSRRefE21_7x_6)</f>
        <v>5000</v>
      </c>
      <c r="O60" s="1">
        <f>SUM(OSRRefE21_7x_7)</f>
        <v>7000</v>
      </c>
      <c r="Q60" s="2">
        <f>SUM(OSRRefD20_7x)+IFERROR(SUM(OSRRefE20_7x),0)</f>
        <v>72320.760000000009</v>
      </c>
    </row>
    <row r="61" spans="1:17" s="34" customFormat="1" hidden="1" outlineLevel="1" x14ac:dyDescent="0.25">
      <c r="A61" s="35"/>
      <c r="B61" s="13" t="str">
        <f>CONCATENATE("          ","6371", " - ","COMPUTER SOFTWARE MAINTENANCE")</f>
        <v xml:space="preserve">          6371 - COMPUTER SOFTWARE MAINTENANCE</v>
      </c>
      <c r="C61" s="15"/>
      <c r="D61" s="2"/>
      <c r="E61" s="2"/>
      <c r="F61" s="2"/>
      <c r="G61" s="2">
        <v>7.69</v>
      </c>
      <c r="H61" s="2"/>
      <c r="I61" s="2"/>
      <c r="J61" s="2"/>
      <c r="K61" s="2"/>
      <c r="L61" s="2"/>
      <c r="M61" s="2"/>
      <c r="N61" s="2"/>
      <c r="O61" s="2"/>
      <c r="P61" s="9"/>
      <c r="Q61" s="2">
        <f>SUM(OSRRefD21_7_0x)+IFERROR(SUM(OSRRefE21_7_0x),0)</f>
        <v>7.69</v>
      </c>
    </row>
    <row r="62" spans="1:17" s="34" customFormat="1" hidden="1" outlineLevel="1" x14ac:dyDescent="0.25">
      <c r="A62" s="35"/>
      <c r="B62" s="13" t="str">
        <f>CONCATENATE("          ","6373", " - ","MAINTENANCE CONTRACTS")</f>
        <v xml:space="preserve">          6373 - MAINTENANCE CONTRACTS</v>
      </c>
      <c r="C62" s="15"/>
      <c r="D62" s="2">
        <v>6378.1</v>
      </c>
      <c r="E62" s="2">
        <v>5225.0200000000004</v>
      </c>
      <c r="F62" s="2">
        <v>7243.55</v>
      </c>
      <c r="G62" s="2">
        <v>5266.4</v>
      </c>
      <c r="H62" s="2">
        <v>5500</v>
      </c>
      <c r="I62" s="2">
        <v>5500</v>
      </c>
      <c r="J62" s="2">
        <v>8000</v>
      </c>
      <c r="K62" s="2">
        <v>7200</v>
      </c>
      <c r="L62" s="2">
        <v>5000</v>
      </c>
      <c r="M62" s="2">
        <v>5000</v>
      </c>
      <c r="N62" s="2">
        <v>5000</v>
      </c>
      <c r="O62" s="2">
        <v>7000</v>
      </c>
      <c r="P62" s="9"/>
      <c r="Q62" s="2">
        <f>SUM(OSRRefD21_7_1x)+IFERROR(SUM(OSRRefE21_7_1x),0)</f>
        <v>72313.070000000007</v>
      </c>
    </row>
    <row r="63" spans="1:17" s="34" customFormat="1" collapsed="1" x14ac:dyDescent="0.25">
      <c r="A63" s="35"/>
      <c r="B63" s="15" t="str">
        <f>CONCATENATE("     ","Royalty &amp; Commissions                             ")</f>
        <v xml:space="preserve">     Royalty &amp; Commissions                             </v>
      </c>
      <c r="C63" s="15"/>
      <c r="D63" s="1">
        <f>SUM(OSRRefD21_8x_0)</f>
        <v>5317.55</v>
      </c>
      <c r="E63" s="1">
        <f>SUM(OSRRefD21_8x_1)</f>
        <v>4.6500000000000004</v>
      </c>
      <c r="F63" s="1">
        <f>SUM(OSRRefD21_8x_2)</f>
        <v>62.6</v>
      </c>
      <c r="G63" s="1">
        <f>SUM(OSRRefD21_8x_3)</f>
        <v>320.39999999999998</v>
      </c>
      <c r="H63" s="1">
        <f>SUM(OSRRefE21_8x_0)</f>
        <v>50</v>
      </c>
      <c r="I63" s="1">
        <f>SUM(OSRRefE21_8x_1)</f>
        <v>50</v>
      </c>
      <c r="J63" s="1">
        <f>SUM(OSRRefE21_8x_2)</f>
        <v>50</v>
      </c>
      <c r="K63" s="1">
        <f>SUM(OSRRefE21_8x_3)</f>
        <v>50</v>
      </c>
      <c r="L63" s="1">
        <f>SUM(OSRRefE21_8x_4)</f>
        <v>5000</v>
      </c>
      <c r="M63" s="1">
        <f>SUM(OSRRefE21_8x_5)</f>
        <v>100</v>
      </c>
      <c r="N63" s="1">
        <f>SUM(OSRRefE21_8x_6)</f>
        <v>100</v>
      </c>
      <c r="O63" s="1">
        <f>SUM(OSRRefE21_8x_7)</f>
        <v>100</v>
      </c>
      <c r="Q63" s="2">
        <f>SUM(OSRRefD20_8x)+IFERROR(SUM(OSRRefE20_8x),0)</f>
        <v>11205.2</v>
      </c>
    </row>
    <row r="64" spans="1:17" s="34" customFormat="1" hidden="1" outlineLevel="1" x14ac:dyDescent="0.25">
      <c r="A64" s="35"/>
      <c r="B64" s="13" t="str">
        <f>CONCATENATE("          ","6259", " - ","ROYALTY &amp; COMMISSIONS")</f>
        <v xml:space="preserve">          6259 - ROYALTY &amp; COMMISSIONS</v>
      </c>
      <c r="C64" s="15"/>
      <c r="D64" s="2">
        <v>5317.55</v>
      </c>
      <c r="E64" s="2">
        <v>4.6500000000000004</v>
      </c>
      <c r="F64" s="2">
        <v>62.6</v>
      </c>
      <c r="G64" s="2">
        <v>320.39999999999998</v>
      </c>
      <c r="H64" s="2">
        <v>50</v>
      </c>
      <c r="I64" s="2">
        <v>50</v>
      </c>
      <c r="J64" s="2">
        <v>50</v>
      </c>
      <c r="K64" s="2">
        <v>50</v>
      </c>
      <c r="L64" s="2">
        <v>5000</v>
      </c>
      <c r="M64" s="2">
        <v>100</v>
      </c>
      <c r="N64" s="2">
        <v>100</v>
      </c>
      <c r="O64" s="2">
        <v>100</v>
      </c>
      <c r="P64" s="9"/>
      <c r="Q64" s="2">
        <f>SUM(OSRRefD21_8_0x)+IFERROR(SUM(OSRRefE21_8_0x),0)</f>
        <v>11205.2</v>
      </c>
    </row>
    <row r="65" spans="1:17" s="34" customFormat="1" collapsed="1" x14ac:dyDescent="0.25">
      <c r="A65" s="35"/>
      <c r="B65" s="15" t="str">
        <f>CONCATENATE("     ","Supplies                                          ")</f>
        <v xml:space="preserve">     Supplies                                          </v>
      </c>
      <c r="C65" s="15"/>
      <c r="D65" s="1">
        <f>SUM(OSRRefD21_9x_0)</f>
        <v>4147.8</v>
      </c>
      <c r="E65" s="1">
        <f>SUM(OSRRefD21_9x_1)</f>
        <v>4783.22</v>
      </c>
      <c r="F65" s="1">
        <f>SUM(OSRRefD21_9x_2)</f>
        <v>10677.67</v>
      </c>
      <c r="G65" s="1">
        <f>SUM(OSRRefD21_9x_3)</f>
        <v>1902.8600000000001</v>
      </c>
      <c r="H65" s="1">
        <f>SUM(OSRRefE21_9x_0)</f>
        <v>150</v>
      </c>
      <c r="I65" s="1">
        <f>SUM(OSRRefE21_9x_1)</f>
        <v>2050</v>
      </c>
      <c r="J65" s="1">
        <f>SUM(OSRRefE21_9x_2)</f>
        <v>2050</v>
      </c>
      <c r="K65" s="1">
        <f>SUM(OSRRefE21_9x_3)</f>
        <v>150</v>
      </c>
      <c r="L65" s="1">
        <f>SUM(OSRRefE21_9x_4)</f>
        <v>150</v>
      </c>
      <c r="M65" s="1">
        <f>SUM(OSRRefE21_9x_5)</f>
        <v>150</v>
      </c>
      <c r="N65" s="1">
        <f>SUM(OSRRefE21_9x_6)</f>
        <v>2050</v>
      </c>
      <c r="O65" s="1">
        <f>SUM(OSRRefE21_9x_7)</f>
        <v>150</v>
      </c>
      <c r="Q65" s="2">
        <f>SUM(OSRRefD20_9x)+IFERROR(SUM(OSRRefE20_9x),0)</f>
        <v>28411.550000000003</v>
      </c>
    </row>
    <row r="66" spans="1:17" s="34" customFormat="1" hidden="1" outlineLevel="1" x14ac:dyDescent="0.25">
      <c r="A66" s="35"/>
      <c r="B66" s="13" t="str">
        <f>CONCATENATE("          ","6235", " - ","COVID-19 EXPENSES")</f>
        <v xml:space="preserve">          6235 - COVID-19 EXPENSES</v>
      </c>
      <c r="C66" s="15"/>
      <c r="D66" s="2">
        <v>310.91000000000003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9"/>
      <c r="Q66" s="2">
        <f>SUM(OSRRefD21_9_0x)+IFERROR(SUM(OSRRefE21_9_0x),0)</f>
        <v>310.91000000000003</v>
      </c>
    </row>
    <row r="67" spans="1:17" s="34" customFormat="1" hidden="1" outlineLevel="1" x14ac:dyDescent="0.25">
      <c r="A67" s="35"/>
      <c r="B67" s="13" t="str">
        <f>CONCATENATE("          ","6241", " - ","OFFICE EXPENSE")</f>
        <v xml:space="preserve">          6241 - OFFICE EXPENSE</v>
      </c>
      <c r="C67" s="15"/>
      <c r="D67" s="2"/>
      <c r="E67" s="2"/>
      <c r="F67" s="2">
        <v>4590.26</v>
      </c>
      <c r="G67" s="2">
        <v>6.6</v>
      </c>
      <c r="H67" s="2"/>
      <c r="I67" s="2"/>
      <c r="J67" s="2"/>
      <c r="K67" s="2"/>
      <c r="L67" s="2"/>
      <c r="M67" s="2"/>
      <c r="N67" s="2"/>
      <c r="O67" s="2"/>
      <c r="P67" s="9"/>
      <c r="Q67" s="2">
        <f>SUM(OSRRefD21_9_1x)+IFERROR(SUM(OSRRefE21_9_1x),0)</f>
        <v>4596.8600000000006</v>
      </c>
    </row>
    <row r="68" spans="1:17" s="34" customFormat="1" hidden="1" outlineLevel="1" x14ac:dyDescent="0.25">
      <c r="A68" s="35"/>
      <c r="B68" s="13" t="str">
        <f>CONCATENATE("          ","6243", " - ","PAPER SUPPLIES")</f>
        <v xml:space="preserve">          6243 - PAPER SUPPLIES</v>
      </c>
      <c r="C68" s="15"/>
      <c r="D68" s="2">
        <v>1080</v>
      </c>
      <c r="E68" s="2">
        <v>2044.69</v>
      </c>
      <c r="F68" s="2"/>
      <c r="G68" s="2">
        <v>449.01</v>
      </c>
      <c r="H68" s="2">
        <v>100</v>
      </c>
      <c r="I68" s="2">
        <v>2000</v>
      </c>
      <c r="J68" s="2">
        <v>2000</v>
      </c>
      <c r="K68" s="2">
        <v>100</v>
      </c>
      <c r="L68" s="2">
        <v>100</v>
      </c>
      <c r="M68" s="2">
        <v>100</v>
      </c>
      <c r="N68" s="2">
        <v>2000</v>
      </c>
      <c r="O68" s="2">
        <v>100</v>
      </c>
      <c r="P68" s="9"/>
      <c r="Q68" s="2">
        <f>SUM(OSRRefD21_9_2x)+IFERROR(SUM(OSRRefE21_9_2x),0)</f>
        <v>10073.700000000001</v>
      </c>
    </row>
    <row r="69" spans="1:17" s="34" customFormat="1" hidden="1" outlineLevel="1" x14ac:dyDescent="0.25">
      <c r="A69" s="35"/>
      <c r="B69" s="13" t="str">
        <f>CONCATENATE("          ","6245", " - ","PRINTING")</f>
        <v xml:space="preserve">          6245 - PRINTING</v>
      </c>
      <c r="C69" s="15"/>
      <c r="D69" s="2">
        <v>-1543.5</v>
      </c>
      <c r="E69" s="2">
        <v>1248</v>
      </c>
      <c r="F69" s="2">
        <v>288.3</v>
      </c>
      <c r="G69" s="2">
        <v>353.09</v>
      </c>
      <c r="H69" s="2">
        <v>25</v>
      </c>
      <c r="I69" s="2">
        <v>25</v>
      </c>
      <c r="J69" s="2">
        <v>25</v>
      </c>
      <c r="K69" s="2">
        <v>25</v>
      </c>
      <c r="L69" s="2">
        <v>25</v>
      </c>
      <c r="M69" s="2">
        <v>25</v>
      </c>
      <c r="N69" s="2">
        <v>25</v>
      </c>
      <c r="O69" s="2">
        <v>25</v>
      </c>
      <c r="P69" s="9"/>
      <c r="Q69" s="2">
        <f>SUM(OSRRefD21_9_3x)+IFERROR(SUM(OSRRefE21_9_3x),0)</f>
        <v>545.89</v>
      </c>
    </row>
    <row r="70" spans="1:17" s="34" customFormat="1" hidden="1" outlineLevel="1" x14ac:dyDescent="0.25">
      <c r="A70" s="35"/>
      <c r="B70" s="13" t="str">
        <f>CONCATENATE("          ","6247", " - ","STORE SUPPLIES")</f>
        <v xml:space="preserve">          6247 - STORE SUPPLIES</v>
      </c>
      <c r="C70" s="15"/>
      <c r="D70" s="2">
        <v>4300.3900000000003</v>
      </c>
      <c r="E70" s="2">
        <v>1490.53</v>
      </c>
      <c r="F70" s="2">
        <v>5799.11</v>
      </c>
      <c r="G70" s="2">
        <v>1094.1600000000001</v>
      </c>
      <c r="H70" s="2">
        <v>25</v>
      </c>
      <c r="I70" s="2">
        <v>25</v>
      </c>
      <c r="J70" s="2">
        <v>25</v>
      </c>
      <c r="K70" s="2">
        <v>25</v>
      </c>
      <c r="L70" s="2">
        <v>25</v>
      </c>
      <c r="M70" s="2">
        <v>25</v>
      </c>
      <c r="N70" s="2">
        <v>25</v>
      </c>
      <c r="O70" s="2">
        <v>25</v>
      </c>
      <c r="P70" s="9"/>
      <c r="Q70" s="2">
        <f>SUM(OSRRefD21_9_4x)+IFERROR(SUM(OSRRefE21_9_4x),0)</f>
        <v>12884.189999999999</v>
      </c>
    </row>
    <row r="71" spans="1:17" s="34" customFormat="1" collapsed="1" x14ac:dyDescent="0.25">
      <c r="A71" s="35"/>
      <c r="B71" s="15" t="str">
        <f>CONCATENATE("     ","Telephone/Data Lines                              ")</f>
        <v xml:space="preserve">     Telephone/Data Lines                              </v>
      </c>
      <c r="C71" s="15"/>
      <c r="D71" s="1">
        <f>SUM(OSRRefD21_10x_0)</f>
        <v>200</v>
      </c>
      <c r="E71" s="1">
        <f>SUM(OSRRefD21_10x_1)</f>
        <v>200.75</v>
      </c>
      <c r="F71" s="1">
        <f>SUM(OSRRefD21_10x_2)</f>
        <v>265</v>
      </c>
      <c r="G71" s="1">
        <f>SUM(OSRRefD21_10x_3)</f>
        <v>193.4</v>
      </c>
      <c r="H71" s="1">
        <f>SUM(OSRRefE21_10x_0)</f>
        <v>165</v>
      </c>
      <c r="I71" s="1">
        <f>SUM(OSRRefE21_10x_1)</f>
        <v>165</v>
      </c>
      <c r="J71" s="1">
        <f>SUM(OSRRefE21_10x_2)</f>
        <v>165</v>
      </c>
      <c r="K71" s="1">
        <f>SUM(OSRRefE21_10x_3)</f>
        <v>165</v>
      </c>
      <c r="L71" s="1">
        <f>SUM(OSRRefE21_10x_4)</f>
        <v>165</v>
      </c>
      <c r="M71" s="1">
        <f>SUM(OSRRefE21_10x_5)</f>
        <v>165</v>
      </c>
      <c r="N71" s="1">
        <f>SUM(OSRRefE21_10x_6)</f>
        <v>165</v>
      </c>
      <c r="O71" s="1">
        <f>SUM(OSRRefE21_10x_7)</f>
        <v>165</v>
      </c>
      <c r="Q71" s="2">
        <f>SUM(OSRRefD20_10x)+IFERROR(SUM(OSRRefE20_10x),0)</f>
        <v>2179.15</v>
      </c>
    </row>
    <row r="72" spans="1:17" s="34" customFormat="1" hidden="1" outlineLevel="1" x14ac:dyDescent="0.25">
      <c r="A72" s="35"/>
      <c r="B72" s="13" t="str">
        <f>CONCATENATE("          ","6309", " - ","TELEPHONE")</f>
        <v xml:space="preserve">          6309 - TELEPHONE</v>
      </c>
      <c r="C72" s="15"/>
      <c r="D72" s="2">
        <v>200</v>
      </c>
      <c r="E72" s="2">
        <v>200.75</v>
      </c>
      <c r="F72" s="2">
        <v>265</v>
      </c>
      <c r="G72" s="2">
        <v>193.4</v>
      </c>
      <c r="H72" s="2">
        <v>165</v>
      </c>
      <c r="I72" s="2">
        <v>165</v>
      </c>
      <c r="J72" s="2">
        <v>165</v>
      </c>
      <c r="K72" s="2">
        <v>165</v>
      </c>
      <c r="L72" s="2">
        <v>165</v>
      </c>
      <c r="M72" s="2">
        <v>165</v>
      </c>
      <c r="N72" s="2">
        <v>165</v>
      </c>
      <c r="O72" s="2">
        <v>165</v>
      </c>
      <c r="P72" s="9"/>
      <c r="Q72" s="2">
        <f>SUM(OSRRefD21_10_0x)+IFERROR(SUM(OSRRefE21_10_0x),0)</f>
        <v>2179.15</v>
      </c>
    </row>
    <row r="73" spans="1:17" s="34" customFormat="1" collapsed="1" x14ac:dyDescent="0.25">
      <c r="A73" s="35"/>
      <c r="B73" s="15" t="str">
        <f>CONCATENATE("     ","Utilities                                         ")</f>
        <v xml:space="preserve">     Utilities                                         </v>
      </c>
      <c r="C73" s="15"/>
      <c r="D73" s="1">
        <f>SUM(OSRRefD21_11x_0)</f>
        <v>0</v>
      </c>
      <c r="E73" s="1">
        <f>SUM(OSRRefD21_11x_1)</f>
        <v>15.02</v>
      </c>
      <c r="F73" s="1">
        <f>SUM(OSRRefD21_11x_2)</f>
        <v>0</v>
      </c>
      <c r="G73" s="1">
        <f>SUM(OSRRefD21_11x_3)</f>
        <v>0</v>
      </c>
      <c r="H73" s="1">
        <f>SUM(OSRRefE21_11x_0)</f>
        <v>0</v>
      </c>
      <c r="I73" s="1">
        <f>SUM(OSRRefE21_11x_1)</f>
        <v>0</v>
      </c>
      <c r="J73" s="1">
        <f>SUM(OSRRefE21_11x_2)</f>
        <v>0</v>
      </c>
      <c r="K73" s="1">
        <f>SUM(OSRRefE21_11x_3)</f>
        <v>0</v>
      </c>
      <c r="L73" s="1">
        <f>SUM(OSRRefE21_11x_4)</f>
        <v>0</v>
      </c>
      <c r="M73" s="1">
        <f>SUM(OSRRefE21_11x_5)</f>
        <v>0</v>
      </c>
      <c r="N73" s="1">
        <f>SUM(OSRRefE21_11x_6)</f>
        <v>0</v>
      </c>
      <c r="O73" s="1">
        <f>SUM(OSRRefE21_11x_7)</f>
        <v>0</v>
      </c>
      <c r="Q73" s="2">
        <f>SUM(OSRRefD20_11x)+IFERROR(SUM(OSRRefE20_11x),0)</f>
        <v>15.02</v>
      </c>
    </row>
    <row r="74" spans="1:17" s="34" customFormat="1" hidden="1" outlineLevel="1" x14ac:dyDescent="0.25">
      <c r="A74" s="35"/>
      <c r="B74" s="13" t="str">
        <f>CONCATENATE("          ","6274", " - ","UTILITIES")</f>
        <v xml:space="preserve">          6274 - UTILITIES</v>
      </c>
      <c r="C74" s="15"/>
      <c r="D74" s="2"/>
      <c r="E74" s="2">
        <v>15.02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9"/>
      <c r="Q74" s="2">
        <f>SUM(OSRRefD21_11_0x)+IFERROR(SUM(OSRRefE21_11_0x),0)</f>
        <v>15.02</v>
      </c>
    </row>
    <row r="75" spans="1:17" s="28" customFormat="1" x14ac:dyDescent="0.25">
      <c r="A75" s="20"/>
      <c r="B75" s="20"/>
      <c r="C75" s="20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Q75" s="1"/>
    </row>
    <row r="76" spans="1:17" s="9" customFormat="1" x14ac:dyDescent="0.25">
      <c r="A76" s="22"/>
      <c r="B76" s="16" t="s">
        <v>0</v>
      </c>
      <c r="C76" s="23"/>
      <c r="D76" s="3">
        <f t="shared" ref="D76:G76" si="8">--6782</f>
        <v>6782</v>
      </c>
      <c r="E76" s="3">
        <f t="shared" si="8"/>
        <v>6782</v>
      </c>
      <c r="F76" s="3">
        <f t="shared" si="8"/>
        <v>6782</v>
      </c>
      <c r="G76" s="3">
        <f t="shared" si="8"/>
        <v>6782</v>
      </c>
      <c r="H76" s="3">
        <v>6875</v>
      </c>
      <c r="I76" s="3">
        <v>6875</v>
      </c>
      <c r="J76" s="3">
        <v>6875</v>
      </c>
      <c r="K76" s="3">
        <v>6875</v>
      </c>
      <c r="L76" s="3">
        <v>6875</v>
      </c>
      <c r="M76" s="3">
        <v>6875</v>
      </c>
      <c r="N76" s="3">
        <v>6875</v>
      </c>
      <c r="O76" s="3">
        <v>6875</v>
      </c>
      <c r="Q76" s="2">
        <f>SUM(OSRRefD23_0x)+IFERROR(SUM(OSRRefE23_0x),0)</f>
        <v>82128</v>
      </c>
    </row>
    <row r="77" spans="1:17" x14ac:dyDescent="0.25">
      <c r="A77" s="5"/>
      <c r="B77" s="8"/>
      <c r="C77" s="8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x14ac:dyDescent="0.25">
      <c r="A78" s="8"/>
      <c r="B78" s="17" t="s">
        <v>3</v>
      </c>
      <c r="C78" s="17"/>
      <c r="D78" s="6">
        <f t="shared" ref="D78:O78" si="9">IFERROR(+D24-D27+D76, 0)</f>
        <v>-37524.080000000002</v>
      </c>
      <c r="E78" s="6">
        <f t="shared" si="9"/>
        <v>104716.88</v>
      </c>
      <c r="F78" s="6">
        <f t="shared" si="9"/>
        <v>-22426.079999999994</v>
      </c>
      <c r="G78" s="6">
        <f t="shared" si="9"/>
        <v>-66669.39999999998</v>
      </c>
      <c r="H78" s="6">
        <f t="shared" si="9"/>
        <v>-23209.770657961551</v>
      </c>
      <c r="I78" s="6">
        <f t="shared" si="9"/>
        <v>-22109.770657961551</v>
      </c>
      <c r="J78" s="6">
        <f t="shared" si="9"/>
        <v>21277.485509077917</v>
      </c>
      <c r="K78" s="6">
        <f t="shared" si="9"/>
        <v>-21896.698732737706</v>
      </c>
      <c r="L78" s="6">
        <f t="shared" si="9"/>
        <v>-8146.6987327377065</v>
      </c>
      <c r="M78" s="6">
        <f t="shared" si="9"/>
        <v>-26559.873415922084</v>
      </c>
      <c r="N78" s="6">
        <f t="shared" si="9"/>
        <v>-18896.698732737706</v>
      </c>
      <c r="O78" s="6">
        <f t="shared" si="9"/>
        <v>-22289.479002737709</v>
      </c>
      <c r="Q78" s="6">
        <f>IFERROR(+Q24-Q27+Q76, 0)</f>
        <v>-143734.18442371814</v>
      </c>
    </row>
    <row r="79" spans="1:17" s="8" customFormat="1" x14ac:dyDescent="0.25">
      <c r="B79" s="16"/>
      <c r="C79" s="16"/>
      <c r="D79" s="4">
        <f t="shared" ref="D79:O79" si="10">IFERROR(D78/D10, 0)</f>
        <v>-7.7403230697192793</v>
      </c>
      <c r="E79" s="4">
        <f t="shared" si="10"/>
        <v>2.2034400528403699</v>
      </c>
      <c r="F79" s="4">
        <f t="shared" si="10"/>
        <v>-2.4630618915404341</v>
      </c>
      <c r="G79" s="4">
        <f t="shared" si="10"/>
        <v>-6.3507307645045534</v>
      </c>
      <c r="H79" s="4">
        <f t="shared" si="10"/>
        <v>-19.341475548301293</v>
      </c>
      <c r="I79" s="4">
        <f t="shared" si="10"/>
        <v>-10.049895753618888</v>
      </c>
      <c r="J79" s="4">
        <f t="shared" si="10"/>
        <v>0.52929068430542081</v>
      </c>
      <c r="K79" s="4">
        <f t="shared" si="10"/>
        <v>-6.8427183539805334</v>
      </c>
      <c r="L79" s="4">
        <f t="shared" si="10"/>
        <v>-4.7921757251398276</v>
      </c>
      <c r="M79" s="4">
        <f t="shared" si="10"/>
        <v>-15.623454950542403</v>
      </c>
      <c r="N79" s="4">
        <f t="shared" si="10"/>
        <v>-5.9052183539805334</v>
      </c>
      <c r="O79" s="4">
        <f t="shared" si="10"/>
        <v>-13.111458236904534</v>
      </c>
      <c r="P79" s="18"/>
      <c r="Q79" s="4">
        <f>IFERROR(Q78/Q10, 0)</f>
        <v>-1.1310971718492735</v>
      </c>
    </row>
    <row r="80" spans="1:17" x14ac:dyDescent="0.25">
      <c r="A80" s="5"/>
      <c r="B80" s="8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4" customFormat="1" x14ac:dyDescent="0.25">
      <c r="A81" s="25"/>
      <c r="B81" s="8" t="s">
        <v>8</v>
      </c>
      <c r="C81" s="8"/>
      <c r="D81" s="3">
        <v>2331.5700000000002</v>
      </c>
      <c r="E81" s="3">
        <v>6510.77</v>
      </c>
      <c r="F81" s="3">
        <v>2546.6</v>
      </c>
      <c r="G81" s="3">
        <v>4202.3999999999996</v>
      </c>
      <c r="H81" s="3">
        <v>3566</v>
      </c>
      <c r="I81" s="3">
        <v>4150</v>
      </c>
      <c r="J81" s="3">
        <v>14162</v>
      </c>
      <c r="K81" s="3">
        <v>8072</v>
      </c>
      <c r="L81" s="3">
        <v>5940</v>
      </c>
      <c r="M81" s="3">
        <v>9000</v>
      </c>
      <c r="N81" s="3">
        <v>9134</v>
      </c>
      <c r="O81" s="3">
        <v>-3866</v>
      </c>
      <c r="Q81" s="2">
        <f>SUM(OSRRefD28_0x)+IFERROR(SUM(OSRRefE28_0x),0)</f>
        <v>65749.34</v>
      </c>
    </row>
    <row r="82" spans="1:17" x14ac:dyDescent="0.25">
      <c r="A82" s="5"/>
      <c r="B82" s="8"/>
      <c r="C82" s="8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4" customFormat="1" ht="15.75" thickBot="1" x14ac:dyDescent="0.3">
      <c r="A83" s="8"/>
      <c r="B83" s="17" t="s">
        <v>4</v>
      </c>
      <c r="C83" s="17"/>
      <c r="D83" s="7">
        <f t="shared" ref="D83:O83" si="11">IFERROR(+D78-D81, 0)</f>
        <v>-39855.65</v>
      </c>
      <c r="E83" s="7">
        <f t="shared" si="11"/>
        <v>98206.11</v>
      </c>
      <c r="F83" s="7">
        <f t="shared" si="11"/>
        <v>-24972.679999999993</v>
      </c>
      <c r="G83" s="7">
        <f t="shared" si="11"/>
        <v>-70871.799999999974</v>
      </c>
      <c r="H83" s="7">
        <f t="shared" si="11"/>
        <v>-26775.770657961551</v>
      </c>
      <c r="I83" s="7">
        <f t="shared" si="11"/>
        <v>-26259.770657961551</v>
      </c>
      <c r="J83" s="7">
        <f t="shared" si="11"/>
        <v>7115.4855090779165</v>
      </c>
      <c r="K83" s="7">
        <f t="shared" si="11"/>
        <v>-29968.698732737706</v>
      </c>
      <c r="L83" s="7">
        <f t="shared" si="11"/>
        <v>-14086.698732737706</v>
      </c>
      <c r="M83" s="7">
        <f t="shared" si="11"/>
        <v>-35559.873415922084</v>
      </c>
      <c r="N83" s="7">
        <f t="shared" si="11"/>
        <v>-28030.698732737706</v>
      </c>
      <c r="O83" s="7">
        <f t="shared" si="11"/>
        <v>-18423.479002737709</v>
      </c>
      <c r="Q83" s="7">
        <f>IFERROR(+Q78-Q81, 0)</f>
        <v>-209483.52442371813</v>
      </c>
    </row>
    <row r="84" spans="1:17" ht="15.75" thickTop="1" x14ac:dyDescent="0.25">
      <c r="A84" s="5"/>
      <c r="B84" s="5"/>
      <c r="C84" s="5"/>
      <c r="D84" s="4">
        <f t="shared" ref="D84:O84" si="12">IFERROR(D83/D10, 0)</f>
        <v>-8.2212703723490943</v>
      </c>
      <c r="E84" s="4">
        <f t="shared" si="12"/>
        <v>2.0664412099333669</v>
      </c>
      <c r="F84" s="4">
        <f t="shared" si="12"/>
        <v>-2.7427555969493542</v>
      </c>
      <c r="G84" s="4">
        <f t="shared" si="12"/>
        <v>-6.7510390163375362</v>
      </c>
      <c r="H84" s="4">
        <f t="shared" si="12"/>
        <v>-22.313142214967961</v>
      </c>
      <c r="I84" s="4">
        <f t="shared" si="12"/>
        <v>-11.936259389982524</v>
      </c>
      <c r="J84" s="4">
        <f t="shared" si="12"/>
        <v>0.17700212709149046</v>
      </c>
      <c r="K84" s="4">
        <f t="shared" si="12"/>
        <v>-9.3652183539805325</v>
      </c>
      <c r="L84" s="4">
        <f t="shared" si="12"/>
        <v>-8.2862933721986511</v>
      </c>
      <c r="M84" s="4">
        <f t="shared" si="12"/>
        <v>-20.917572597601225</v>
      </c>
      <c r="N84" s="4">
        <f t="shared" si="12"/>
        <v>-8.7595933539805326</v>
      </c>
      <c r="O84" s="4">
        <f t="shared" si="12"/>
        <v>-10.837340589845711</v>
      </c>
      <c r="P84" s="18"/>
      <c r="Q84" s="4">
        <f>IFERROR(Q83/Q10, 0)</f>
        <v>-1.6485029151185442</v>
      </c>
    </row>
    <row r="85" spans="1:17" x14ac:dyDescent="0.25">
      <c r="A85" s="5"/>
      <c r="B85" s="5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x14ac:dyDescent="0.25">
      <c r="A86" s="5"/>
      <c r="B86" s="5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4" customFormat="1" ht="15.75" thickBot="1" x14ac:dyDescent="0.3">
      <c r="A87" s="8"/>
      <c r="B87" s="17" t="s">
        <v>5</v>
      </c>
      <c r="C87" s="17"/>
      <c r="D87" s="7">
        <f t="shared" ref="D87:O87" si="13">IFERROR(SUM(D83:D86), 0)</f>
        <v>-39863.87127037235</v>
      </c>
      <c r="E87" s="7">
        <f t="shared" si="13"/>
        <v>98208.176441209929</v>
      </c>
      <c r="F87" s="7">
        <f t="shared" si="13"/>
        <v>-24975.422755596941</v>
      </c>
      <c r="G87" s="7">
        <f t="shared" si="13"/>
        <v>-70878.551039016311</v>
      </c>
      <c r="H87" s="7">
        <f t="shared" si="13"/>
        <v>-26798.083800176519</v>
      </c>
      <c r="I87" s="7">
        <f t="shared" si="13"/>
        <v>-26271.706917351534</v>
      </c>
      <c r="J87" s="7">
        <f t="shared" si="13"/>
        <v>7115.6625112050078</v>
      </c>
      <c r="K87" s="7">
        <f t="shared" si="13"/>
        <v>-29978.063951091688</v>
      </c>
      <c r="L87" s="7">
        <f t="shared" si="13"/>
        <v>-14094.985026109905</v>
      </c>
      <c r="M87" s="7">
        <f t="shared" si="13"/>
        <v>-35580.790988519686</v>
      </c>
      <c r="N87" s="7">
        <f t="shared" si="13"/>
        <v>-28039.458326091688</v>
      </c>
      <c r="O87" s="7">
        <f t="shared" si="13"/>
        <v>-18434.316343327555</v>
      </c>
      <c r="Q87" s="7">
        <f>IFERROR(SUM(Q83:Q86), 0)</f>
        <v>-209485.17292663324</v>
      </c>
    </row>
    <row r="88" spans="1:17" ht="15.75" thickTop="1" x14ac:dyDescent="0.25">
      <c r="A88" s="5"/>
      <c r="C88" s="5"/>
      <c r="D88" s="4">
        <f t="shared" ref="D88:O88" si="14">IFERROR(D87/D10, 0)</f>
        <v>-8.2229662244186308</v>
      </c>
      <c r="E88" s="4">
        <f t="shared" si="14"/>
        <v>2.0664846917419233</v>
      </c>
      <c r="F88" s="4">
        <f t="shared" si="14"/>
        <v>-2.743056834472303</v>
      </c>
      <c r="G88" s="4">
        <f t="shared" si="14"/>
        <v>-6.75168210043869</v>
      </c>
      <c r="H88" s="4">
        <f t="shared" si="14"/>
        <v>-22.331736500147098</v>
      </c>
      <c r="I88" s="4">
        <f t="shared" si="14"/>
        <v>-11.941684962432515</v>
      </c>
      <c r="J88" s="4">
        <f t="shared" si="14"/>
        <v>0.17700653012947781</v>
      </c>
      <c r="K88" s="4">
        <f t="shared" si="14"/>
        <v>-9.3681449847161531</v>
      </c>
      <c r="L88" s="4">
        <f t="shared" si="14"/>
        <v>-8.2911676624175907</v>
      </c>
      <c r="M88" s="4">
        <f t="shared" si="14"/>
        <v>-20.929877052070402</v>
      </c>
      <c r="N88" s="4">
        <f t="shared" si="14"/>
        <v>-8.7623307269036523</v>
      </c>
      <c r="O88" s="4">
        <f t="shared" si="14"/>
        <v>-10.843715496075033</v>
      </c>
      <c r="P88" s="18"/>
      <c r="Q88" s="4">
        <f>IFERROR(Q87/Q10, 0)</f>
        <v>-1.6485158877944077</v>
      </c>
    </row>
    <row r="89" spans="1:17" x14ac:dyDescent="0.25">
      <c r="A89" s="5"/>
      <c r="B89" s="26">
        <v>44151.564627314816</v>
      </c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Q89" s="12"/>
    </row>
    <row r="90" spans="1:17" x14ac:dyDescent="0.25">
      <c r="A90" s="5"/>
      <c r="B90" s="30" t="s">
        <v>311</v>
      </c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Q90" s="12"/>
    </row>
    <row r="91" spans="1:17" x14ac:dyDescent="0.25">
      <c r="A91" s="5"/>
      <c r="B91" s="31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Q91" s="12"/>
    </row>
    <row r="92" spans="1:17" x14ac:dyDescent="0.25"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Q92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","316", " - ", "Campus Copy Center")</f>
        <v>Department 316 - Campus Copy Center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4847.87</v>
      </c>
      <c r="E10" s="3">
        <f>SUM(OSRRefD11x_1)</f>
        <v>47524.27</v>
      </c>
      <c r="F10" s="3">
        <f>SUM(OSRRefD11x_2)</f>
        <v>9104.9600000000009</v>
      </c>
      <c r="G10" s="3">
        <f>SUM(OSRRefD11x_3)</f>
        <v>10497.909999999998</v>
      </c>
      <c r="H10" s="3">
        <f>SUM(OSRRefE11x_0)</f>
        <v>1200</v>
      </c>
      <c r="I10" s="3">
        <f>SUM(OSRRefE11x_1)</f>
        <v>2200</v>
      </c>
      <c r="J10" s="3">
        <f>SUM(OSRRefE11x_2)</f>
        <v>40200</v>
      </c>
      <c r="K10" s="3">
        <f>SUM(OSRRefE11x_3)</f>
        <v>3200</v>
      </c>
      <c r="L10" s="3">
        <f>SUM(OSRRefE11x_4)</f>
        <v>1700</v>
      </c>
      <c r="M10" s="3">
        <f>SUM(OSRRefE11x_5)</f>
        <v>1700</v>
      </c>
      <c r="N10" s="3">
        <f>SUM(OSRRefE11x_6)</f>
        <v>3200</v>
      </c>
      <c r="O10" s="3">
        <f>SUM(OSRRefE11x_7)</f>
        <v>1700</v>
      </c>
      <c r="P10" s="24"/>
      <c r="Q10" s="3">
        <f>SUM(OSRRefG11x)</f>
        <v>127075.01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0</f>
        <v>0</v>
      </c>
      <c r="E11" s="2">
        <f>-7.3</f>
        <v>-7.3</v>
      </c>
      <c r="F11" s="2">
        <f>0</f>
        <v>0</v>
      </c>
      <c r="G11" s="2">
        <f>-1.35</f>
        <v>-1.35</v>
      </c>
      <c r="H11" s="2">
        <v>1000</v>
      </c>
      <c r="I11" s="2">
        <v>2000</v>
      </c>
      <c r="J11" s="2">
        <v>40000</v>
      </c>
      <c r="K11" s="2">
        <v>3000</v>
      </c>
      <c r="L11" s="2">
        <v>1500</v>
      </c>
      <c r="M11" s="2">
        <v>1500</v>
      </c>
      <c r="N11" s="2">
        <v>3000</v>
      </c>
      <c r="O11" s="2">
        <v>1500</v>
      </c>
      <c r="Q11" s="2">
        <f>SUM(OSRRefD11_0x)+IFERROR(SUM(OSRRefE11_0x),0)</f>
        <v>53491.35</v>
      </c>
    </row>
    <row r="12" spans="1:18" s="9" customFormat="1" hidden="1" outlineLevel="1" x14ac:dyDescent="0.25">
      <c r="A12" s="22"/>
      <c r="B12" s="13" t="str">
        <f>CONCATENATE("          ","4041", " - ","TAXABLE SALES-LOGO GIFTS")</f>
        <v xml:space="preserve">          4041 - TAXABLE SALES-LOGO GIFTS</v>
      </c>
      <c r="C12" s="23"/>
      <c r="D12" s="2">
        <f>--1085.6</f>
        <v>1085.5999999999999</v>
      </c>
      <c r="E12" s="2">
        <f>--42350.45</f>
        <v>42350.45</v>
      </c>
      <c r="F12" s="2">
        <f>--8785.72</f>
        <v>8785.7199999999993</v>
      </c>
      <c r="G12" s="2">
        <f>--8147.55</f>
        <v>8147.55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60369.32</v>
      </c>
    </row>
    <row r="13" spans="1:18" s="9" customFormat="1" hidden="1" outlineLevel="1" x14ac:dyDescent="0.25">
      <c r="A13" s="22"/>
      <c r="B13" s="13" t="str">
        <f>CONCATENATE("          ","4042", " - ","TAXABLE SALES-EVERYDAY GIFTS")</f>
        <v xml:space="preserve">          4042 - TAXABLE SALES-EVERYDAY GIFTS</v>
      </c>
      <c r="C13" s="23"/>
      <c r="D13" s="2">
        <f>--3750.52</f>
        <v>3750.52</v>
      </c>
      <c r="E13" s="2">
        <f>--5206.35</f>
        <v>5206.3500000000004</v>
      </c>
      <c r="F13" s="2">
        <f>--476.85</f>
        <v>476.85</v>
      </c>
      <c r="G13" s="2">
        <f>--2053.86</f>
        <v>2053.86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11487.580000000002</v>
      </c>
    </row>
    <row r="14" spans="1:18" s="9" customFormat="1" hidden="1" outlineLevel="1" x14ac:dyDescent="0.25">
      <c r="A14" s="22"/>
      <c r="B14" s="13" t="str">
        <f>CONCATENATE("          ","4043", " - ","TAXABLE SALES-CARDS")</f>
        <v xml:space="preserve">          4043 - TAXABLE SALES-CARDS</v>
      </c>
      <c r="C14" s="23"/>
      <c r="D14" s="2">
        <f t="shared" ref="D14:D15" si="0">0</f>
        <v>0</v>
      </c>
      <c r="E14" s="2">
        <f>--4.99</f>
        <v>4.99</v>
      </c>
      <c r="F14" s="2">
        <f>--2.99</f>
        <v>2.99</v>
      </c>
      <c r="G14" s="2">
        <f t="shared" ref="G14:G15" si="1">0</f>
        <v>0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7.98</v>
      </c>
    </row>
    <row r="15" spans="1:18" s="9" customFormat="1" hidden="1" outlineLevel="1" x14ac:dyDescent="0.25">
      <c r="A15" s="22"/>
      <c r="B15" s="13" t="str">
        <f>CONCATENATE("          ","4100", " - ","NON-TAXABLE SALES")</f>
        <v xml:space="preserve">          4100 - NON-TAXABLE SALES</v>
      </c>
      <c r="C15" s="23"/>
      <c r="D15" s="2">
        <f t="shared" si="0"/>
        <v>0</v>
      </c>
      <c r="E15" s="2">
        <f t="shared" ref="E15:F15" si="2">0</f>
        <v>0</v>
      </c>
      <c r="F15" s="2">
        <f t="shared" si="2"/>
        <v>0</v>
      </c>
      <c r="G15" s="2">
        <f t="shared" si="1"/>
        <v>0</v>
      </c>
      <c r="H15" s="2">
        <v>200</v>
      </c>
      <c r="I15" s="2">
        <v>200</v>
      </c>
      <c r="J15" s="2">
        <v>200</v>
      </c>
      <c r="K15" s="2">
        <v>200</v>
      </c>
      <c r="L15" s="2">
        <v>200</v>
      </c>
      <c r="M15" s="2">
        <v>200</v>
      </c>
      <c r="N15" s="2">
        <v>200</v>
      </c>
      <c r="O15" s="2">
        <v>200</v>
      </c>
      <c r="Q15" s="2">
        <f>SUM(OSRRefD11_4x)+IFERROR(SUM(OSRRefE11_4x),0)</f>
        <v>1600</v>
      </c>
    </row>
    <row r="16" spans="1:18" s="9" customFormat="1" hidden="1" outlineLevel="1" x14ac:dyDescent="0.25">
      <c r="A16" s="22"/>
      <c r="B16" s="13" t="str">
        <f>CONCATENATE("          ","4141", " - ","NON-TAXABLE SALES-LOGO GIFTS")</f>
        <v xml:space="preserve">          4141 - NON-TAXABLE SALES-LOGO GIFTS</v>
      </c>
      <c r="C16" s="23"/>
      <c r="D16" s="2">
        <f>--10.75</f>
        <v>10.75</v>
      </c>
      <c r="E16" s="2">
        <f>--446.75</f>
        <v>446.75</v>
      </c>
      <c r="F16" s="2">
        <f t="shared" ref="F16:F17" si="3">0</f>
        <v>0</v>
      </c>
      <c r="G16" s="2">
        <f>--54</f>
        <v>54</v>
      </c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511.5</v>
      </c>
    </row>
    <row r="17" spans="1:17" s="9" customFormat="1" hidden="1" outlineLevel="1" x14ac:dyDescent="0.25">
      <c r="A17" s="22"/>
      <c r="B17" s="13" t="str">
        <f>CONCATENATE("          ","4142", " - ","NON-TAXABLE SALES-EVERYDAY GIF")</f>
        <v xml:space="preserve">          4142 - NON-TAXABLE SALES-EVERYDAY GIF</v>
      </c>
      <c r="C17" s="23"/>
      <c r="D17" s="2">
        <f t="shared" ref="D17:D18" si="4">0</f>
        <v>0</v>
      </c>
      <c r="E17" s="2">
        <f>--5.98</f>
        <v>5.98</v>
      </c>
      <c r="F17" s="2">
        <f t="shared" si="3"/>
        <v>0</v>
      </c>
      <c r="G17" s="2">
        <f>--245</f>
        <v>245</v>
      </c>
      <c r="H17" s="2"/>
      <c r="I17" s="2"/>
      <c r="J17" s="2"/>
      <c r="K17" s="2"/>
      <c r="L17" s="2"/>
      <c r="M17" s="2"/>
      <c r="N17" s="2"/>
      <c r="O17" s="2"/>
      <c r="Q17" s="2">
        <f>SUM(OSRRefD11_6x)+IFERROR(SUM(OSRRefE11_6x),0)</f>
        <v>250.98</v>
      </c>
    </row>
    <row r="18" spans="1:17" s="9" customFormat="1" hidden="1" outlineLevel="1" x14ac:dyDescent="0.25">
      <c r="A18" s="22"/>
      <c r="B18" s="13" t="str">
        <f>CONCATENATE("          ","4146", " - ","NON-TAXABLE SALES-COIN OP MACH")</f>
        <v xml:space="preserve">          4146 - NON-TAXABLE SALES-COIN OP MACH</v>
      </c>
      <c r="C18" s="23"/>
      <c r="D18" s="2">
        <f t="shared" si="4"/>
        <v>0</v>
      </c>
      <c r="E18" s="2">
        <f>--15.5</f>
        <v>15.5</v>
      </c>
      <c r="F18" s="2">
        <f>--49.7</f>
        <v>49.7</v>
      </c>
      <c r="G18" s="2">
        <f>--21.3</f>
        <v>21.3</v>
      </c>
      <c r="H18" s="2"/>
      <c r="I18" s="2"/>
      <c r="J18" s="2"/>
      <c r="K18" s="2"/>
      <c r="L18" s="2"/>
      <c r="M18" s="2"/>
      <c r="N18" s="2"/>
      <c r="O18" s="2"/>
      <c r="Q18" s="2">
        <f>SUM(OSRRefD11_7x)+IFERROR(SUM(OSRRefE11_7x),0)</f>
        <v>86.5</v>
      </c>
    </row>
    <row r="19" spans="1:17" s="9" customFormat="1" hidden="1" outlineLevel="1" x14ac:dyDescent="0.25">
      <c r="A19" s="22"/>
      <c r="B19" s="13" t="str">
        <f>CONCATENATE("          ","4147", " - ","NON-TAXABLE SALES-MISC")</f>
        <v xml:space="preserve">          4147 - NON-TAXABLE SALES-MISC</v>
      </c>
      <c r="C19" s="23"/>
      <c r="D19" s="2">
        <f>--1</f>
        <v>1</v>
      </c>
      <c r="E19" s="2">
        <f>--23</f>
        <v>23</v>
      </c>
      <c r="F19" s="2">
        <f>--24</f>
        <v>24</v>
      </c>
      <c r="G19" s="2">
        <f>--38.5</f>
        <v>38.5</v>
      </c>
      <c r="H19" s="2"/>
      <c r="I19" s="2"/>
      <c r="J19" s="2"/>
      <c r="K19" s="2"/>
      <c r="L19" s="2"/>
      <c r="M19" s="2"/>
      <c r="N19" s="2"/>
      <c r="O19" s="2"/>
      <c r="Q19" s="2">
        <f>SUM(OSRRefD11_8x)+IFERROR(SUM(OSRRefE11_8x),0)</f>
        <v>86.5</v>
      </c>
    </row>
    <row r="20" spans="1:17" s="9" customFormat="1" hidden="1" outlineLevel="1" x14ac:dyDescent="0.25">
      <c r="A20" s="22"/>
      <c r="B20" s="13" t="str">
        <f>CONCATENATE("          ","4241", " - ","SALES RETURN TAXABLE-LOGO GIFT")</f>
        <v xml:space="preserve">          4241 - SALES RETURN TAXABLE-LOGO GIFT</v>
      </c>
      <c r="C20" s="23"/>
      <c r="D20" s="2">
        <f>0</f>
        <v>0</v>
      </c>
      <c r="E20" s="2">
        <f>-521.45</f>
        <v>-521.45000000000005</v>
      </c>
      <c r="F20" s="2">
        <f>-234.3</f>
        <v>-234.3</v>
      </c>
      <c r="G20" s="2">
        <f>-60.95</f>
        <v>-60.95</v>
      </c>
      <c r="H20" s="2"/>
      <c r="I20" s="2"/>
      <c r="J20" s="2"/>
      <c r="K20" s="2"/>
      <c r="L20" s="2"/>
      <c r="M20" s="2"/>
      <c r="N20" s="2"/>
      <c r="O20" s="2"/>
      <c r="Q20" s="2">
        <f>SUM(OSRRefD11_9x)+IFERROR(SUM(OSRRefE11_9x),0)</f>
        <v>-816.7</v>
      </c>
    </row>
    <row r="21" spans="1:17" x14ac:dyDescent="0.25">
      <c r="A21" s="5"/>
      <c r="B21" s="8"/>
      <c r="C21" s="5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Q21" s="3"/>
    </row>
    <row r="22" spans="1:17" s="9" customFormat="1" x14ac:dyDescent="0.25">
      <c r="A22" s="22"/>
      <c r="B22" s="16" t="s">
        <v>290</v>
      </c>
      <c r="C22" s="23"/>
      <c r="D22" s="3">
        <f t="shared" ref="D22:O22" si="5">SUM(0)</f>
        <v>0</v>
      </c>
      <c r="E22" s="3">
        <f t="shared" si="5"/>
        <v>0</v>
      </c>
      <c r="F22" s="3">
        <f t="shared" si="5"/>
        <v>0</v>
      </c>
      <c r="G22" s="3">
        <f t="shared" si="5"/>
        <v>0</v>
      </c>
      <c r="H22" s="3">
        <f t="shared" si="5"/>
        <v>0</v>
      </c>
      <c r="I22" s="3">
        <f t="shared" si="5"/>
        <v>0</v>
      </c>
      <c r="J22" s="3">
        <f t="shared" si="5"/>
        <v>0</v>
      </c>
      <c r="K22" s="3">
        <f t="shared" si="5"/>
        <v>0</v>
      </c>
      <c r="L22" s="3">
        <f t="shared" si="5"/>
        <v>0</v>
      </c>
      <c r="M22" s="3">
        <f t="shared" si="5"/>
        <v>0</v>
      </c>
      <c r="N22" s="3">
        <f t="shared" si="5"/>
        <v>0</v>
      </c>
      <c r="O22" s="3">
        <f t="shared" si="5"/>
        <v>0</v>
      </c>
      <c r="Q22" s="3">
        <f>SUM(0)</f>
        <v>0</v>
      </c>
    </row>
    <row r="23" spans="1:17" x14ac:dyDescent="0.25">
      <c r="A23" s="5"/>
      <c r="B23" s="8"/>
      <c r="C23" s="8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4" customFormat="1" x14ac:dyDescent="0.25">
      <c r="A24" s="8"/>
      <c r="B24" s="17" t="s">
        <v>6</v>
      </c>
      <c r="C24" s="17"/>
      <c r="D24" s="6">
        <f t="shared" ref="D24:O24" si="6">IFERROR(+D10-D22, 0)</f>
        <v>4847.87</v>
      </c>
      <c r="E24" s="6">
        <f t="shared" si="6"/>
        <v>47524.27</v>
      </c>
      <c r="F24" s="6">
        <f t="shared" si="6"/>
        <v>9104.9600000000009</v>
      </c>
      <c r="G24" s="6">
        <f t="shared" si="6"/>
        <v>10497.909999999998</v>
      </c>
      <c r="H24" s="6">
        <f t="shared" si="6"/>
        <v>1200</v>
      </c>
      <c r="I24" s="6">
        <f t="shared" si="6"/>
        <v>2200</v>
      </c>
      <c r="J24" s="6">
        <f t="shared" si="6"/>
        <v>40200</v>
      </c>
      <c r="K24" s="6">
        <f t="shared" si="6"/>
        <v>3200</v>
      </c>
      <c r="L24" s="6">
        <f t="shared" si="6"/>
        <v>1700</v>
      </c>
      <c r="M24" s="6">
        <f t="shared" si="6"/>
        <v>1700</v>
      </c>
      <c r="N24" s="6">
        <f t="shared" si="6"/>
        <v>3200</v>
      </c>
      <c r="O24" s="6">
        <f t="shared" si="6"/>
        <v>1700</v>
      </c>
      <c r="Q24" s="6">
        <f>IFERROR(+Q10-Q22, 0)</f>
        <v>127075.01</v>
      </c>
    </row>
    <row r="25" spans="1:17" s="8" customFormat="1" x14ac:dyDescent="0.25">
      <c r="B25" s="16"/>
      <c r="C25" s="16"/>
      <c r="D25" s="4">
        <f t="shared" ref="D25:O25" si="7">IFERROR(D24/D10, 0)</f>
        <v>1</v>
      </c>
      <c r="E25" s="4">
        <f t="shared" si="7"/>
        <v>1</v>
      </c>
      <c r="F25" s="4">
        <f t="shared" si="7"/>
        <v>1</v>
      </c>
      <c r="G25" s="4">
        <f t="shared" si="7"/>
        <v>1</v>
      </c>
      <c r="H25" s="4">
        <f t="shared" si="7"/>
        <v>1</v>
      </c>
      <c r="I25" s="4">
        <f t="shared" si="7"/>
        <v>1</v>
      </c>
      <c r="J25" s="4">
        <f t="shared" si="7"/>
        <v>1</v>
      </c>
      <c r="K25" s="4">
        <f t="shared" si="7"/>
        <v>1</v>
      </c>
      <c r="L25" s="4">
        <f t="shared" si="7"/>
        <v>1</v>
      </c>
      <c r="M25" s="4">
        <f t="shared" si="7"/>
        <v>1</v>
      </c>
      <c r="N25" s="4">
        <f t="shared" si="7"/>
        <v>1</v>
      </c>
      <c r="O25" s="4">
        <f t="shared" si="7"/>
        <v>1</v>
      </c>
      <c r="P25" s="18"/>
      <c r="Q25" s="4">
        <f>IFERROR(Q24/Q10, 0)</f>
        <v>1</v>
      </c>
    </row>
    <row r="26" spans="1:17" x14ac:dyDescent="0.25">
      <c r="A26" s="5"/>
      <c r="B26" s="8"/>
      <c r="C26" s="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</row>
    <row r="27" spans="1:17" s="14" customFormat="1" x14ac:dyDescent="0.25">
      <c r="A27" s="8"/>
      <c r="B27" s="16" t="s">
        <v>291</v>
      </c>
      <c r="C27" s="8"/>
      <c r="D27" s="10">
        <f>SUM(OSRRefD20x_0)</f>
        <v>49153.950000000004</v>
      </c>
      <c r="E27" s="10">
        <f>SUM(OSRRefD20x_1)</f>
        <v>-50410.61</v>
      </c>
      <c r="F27" s="10">
        <f>SUM(OSRRefD20x_2)</f>
        <v>38313.039999999994</v>
      </c>
      <c r="G27" s="10">
        <f>SUM(OSRRefD20x_3)</f>
        <v>83949.309999999983</v>
      </c>
      <c r="H27" s="10">
        <f>SUM(OSRRefE20x_0)</f>
        <v>31284.770657961551</v>
      </c>
      <c r="I27" s="10">
        <f>SUM(OSRRefE20x_1)</f>
        <v>31184.770657961551</v>
      </c>
      <c r="J27" s="10">
        <f>SUM(OSRRefE20x_2)</f>
        <v>25797.514490922083</v>
      </c>
      <c r="K27" s="10">
        <f>SUM(OSRRefE20x_3)</f>
        <v>31971.698732737706</v>
      </c>
      <c r="L27" s="10">
        <f>SUM(OSRRefE20x_4)</f>
        <v>16721.698732737706</v>
      </c>
      <c r="M27" s="10">
        <f>SUM(OSRRefE20x_5)</f>
        <v>35134.873415922084</v>
      </c>
      <c r="N27" s="10">
        <f>SUM(OSRRefE20x_6)</f>
        <v>28971.698732737706</v>
      </c>
      <c r="O27" s="10">
        <f>SUM(OSRRefE20x_7)</f>
        <v>30864.479002737709</v>
      </c>
      <c r="Q27" s="10">
        <f>SUM(OSRRefG20x)</f>
        <v>352937.19442371815</v>
      </c>
    </row>
    <row r="28" spans="1:17" s="34" customFormat="1" collapsed="1" x14ac:dyDescent="0.25">
      <c r="A28" s="35"/>
      <c r="B28" s="15" t="str">
        <f>CONCATENATE("     ","*Benefits                                         ")</f>
        <v xml:space="preserve">     *Benefits                                         </v>
      </c>
      <c r="C28" s="15"/>
      <c r="D28" s="1">
        <f>SUM(OSRRefD21_0x_0)</f>
        <v>7930.28</v>
      </c>
      <c r="E28" s="1">
        <f>SUM(OSRRefD21_0x_1)</f>
        <v>8903.2699999999986</v>
      </c>
      <c r="F28" s="1">
        <f>SUM(OSRRefD21_0x_2)</f>
        <v>9025.3599999999988</v>
      </c>
      <c r="G28" s="1">
        <f>SUM(OSRRefD21_0x_3)</f>
        <v>10414.129999999999</v>
      </c>
      <c r="H28" s="1">
        <f>SUM(OSRRefE21_0x_0)</f>
        <v>7972.5529733461526</v>
      </c>
      <c r="I28" s="1">
        <f>SUM(OSRRefE21_0x_1)</f>
        <v>7972.5529733461526</v>
      </c>
      <c r="J28" s="1">
        <f>SUM(OSRRefE21_0x_2)</f>
        <v>9304.2461226528831</v>
      </c>
      <c r="K28" s="1">
        <f>SUM(OSRRefE21_0x_3)</f>
        <v>8088.8840381223063</v>
      </c>
      <c r="L28" s="1">
        <f>SUM(OSRRefE21_0x_4)</f>
        <v>8088.8840381223063</v>
      </c>
      <c r="M28" s="1">
        <f>SUM(OSRRefE21_0x_5)</f>
        <v>9283.6050476528835</v>
      </c>
      <c r="N28" s="1">
        <f>SUM(OSRRefE21_0x_6)</f>
        <v>8088.8840381223063</v>
      </c>
      <c r="O28" s="1">
        <f>SUM(OSRRefE21_0x_7)</f>
        <v>8131.6643081223074</v>
      </c>
      <c r="Q28" s="2">
        <f>SUM(OSRRefD20_0x)+IFERROR(SUM(OSRRefE20_0x),0)</f>
        <v>103204.31353948728</v>
      </c>
    </row>
    <row r="29" spans="1:17" s="34" customFormat="1" hidden="1" outlineLevel="1" x14ac:dyDescent="0.25">
      <c r="A29" s="35"/>
      <c r="B29" s="13" t="str">
        <f>CONCATENATE("          ","6111", " - ","F.I.C.A.")</f>
        <v xml:space="preserve">          6111 - F.I.C.A.</v>
      </c>
      <c r="C29" s="15"/>
      <c r="D29" s="2">
        <v>1043.3599999999999</v>
      </c>
      <c r="E29" s="2">
        <v>1290.1199999999999</v>
      </c>
      <c r="F29" s="2">
        <v>1220.78</v>
      </c>
      <c r="G29" s="2">
        <v>2004</v>
      </c>
      <c r="H29" s="2">
        <v>1234.38445373077</v>
      </c>
      <c r="I29" s="2">
        <v>1234.38445373077</v>
      </c>
      <c r="J29" s="2">
        <v>1581.93906877788</v>
      </c>
      <c r="K29" s="2">
        <v>1265.55125502231</v>
      </c>
      <c r="L29" s="2">
        <v>1265.55125502231</v>
      </c>
      <c r="M29" s="2">
        <v>1581.93906877788</v>
      </c>
      <c r="N29" s="2">
        <v>1265.55125502231</v>
      </c>
      <c r="O29" s="2">
        <v>1308.33152502231</v>
      </c>
      <c r="P29" s="9"/>
      <c r="Q29" s="2">
        <f>SUM(OSRRefD21_0_0x)+IFERROR(SUM(OSRRefE21_0_0x),0)</f>
        <v>16295.892335106539</v>
      </c>
    </row>
    <row r="30" spans="1:17" s="34" customFormat="1" hidden="1" outlineLevel="1" x14ac:dyDescent="0.25">
      <c r="A30" s="35"/>
      <c r="B30" s="13" t="str">
        <f>CONCATENATE("          ","6112", " - ","COMPENSATION INSURANCE")</f>
        <v xml:space="preserve">          6112 - COMPENSATION INSURANCE</v>
      </c>
      <c r="C30" s="15"/>
      <c r="D30" s="2">
        <v>293.61</v>
      </c>
      <c r="E30" s="2">
        <v>311.95999999999998</v>
      </c>
      <c r="F30" s="2">
        <v>316.77</v>
      </c>
      <c r="G30" s="2">
        <v>308.31</v>
      </c>
      <c r="H30" s="2">
        <v>308.014255769231</v>
      </c>
      <c r="I30" s="2">
        <v>308.014255769231</v>
      </c>
      <c r="J30" s="2">
        <v>413.43496350961499</v>
      </c>
      <c r="K30" s="2">
        <v>316.26987080769197</v>
      </c>
      <c r="L30" s="2">
        <v>316.26987080769197</v>
      </c>
      <c r="M30" s="2">
        <v>395.33733850961499</v>
      </c>
      <c r="N30" s="2">
        <v>316.26987080769197</v>
      </c>
      <c r="O30" s="2">
        <v>316.26987080769197</v>
      </c>
      <c r="P30" s="9"/>
      <c r="Q30" s="2">
        <f>SUM(OSRRefD21_0_1x)+IFERROR(SUM(OSRRefE21_0_1x),0)</f>
        <v>3920.53029678846</v>
      </c>
    </row>
    <row r="31" spans="1:17" s="34" customFormat="1" hidden="1" outlineLevel="1" x14ac:dyDescent="0.25">
      <c r="A31" s="35"/>
      <c r="B31" s="13" t="str">
        <f>CONCATENATE("          ","6113", " - ","GROUP INSURANCE")</f>
        <v xml:space="preserve">          6113 - GROUP INSURANCE</v>
      </c>
      <c r="C31" s="15"/>
      <c r="D31" s="2">
        <v>2724.48</v>
      </c>
      <c r="E31" s="2">
        <v>3321.73</v>
      </c>
      <c r="F31" s="2">
        <v>3423.78</v>
      </c>
      <c r="G31" s="2">
        <v>3423.78</v>
      </c>
      <c r="H31" s="2">
        <v>3310</v>
      </c>
      <c r="I31" s="2">
        <v>3310</v>
      </c>
      <c r="J31" s="2">
        <v>3310</v>
      </c>
      <c r="K31" s="2">
        <v>3310</v>
      </c>
      <c r="L31" s="2">
        <v>3310</v>
      </c>
      <c r="M31" s="2">
        <v>3310</v>
      </c>
      <c r="N31" s="2">
        <v>3310</v>
      </c>
      <c r="O31" s="2">
        <v>3310</v>
      </c>
      <c r="P31" s="9"/>
      <c r="Q31" s="2">
        <f>SUM(OSRRefD21_0_2x)+IFERROR(SUM(OSRRefE21_0_2x),0)</f>
        <v>39373.770000000004</v>
      </c>
    </row>
    <row r="32" spans="1:17" s="34" customFormat="1" hidden="1" outlineLevel="1" x14ac:dyDescent="0.25">
      <c r="A32" s="35"/>
      <c r="B32" s="13" t="str">
        <f>CONCATENATE("          ","6114", " - ","STATE UNEMPLOYMENT INSURANCE")</f>
        <v xml:space="preserve">          6114 - STATE UNEMPLOYMENT INSURANCE</v>
      </c>
      <c r="C32" s="15"/>
      <c r="D32" s="2">
        <v>41.26</v>
      </c>
      <c r="E32" s="2">
        <v>43.84</v>
      </c>
      <c r="F32" s="2">
        <v>44.52</v>
      </c>
      <c r="G32" s="2">
        <v>43.33</v>
      </c>
      <c r="H32" s="2">
        <v>43.288490000000003</v>
      </c>
      <c r="I32" s="2">
        <v>43.288490000000003</v>
      </c>
      <c r="J32" s="2">
        <v>58.104373250000002</v>
      </c>
      <c r="K32" s="2">
        <v>44.448738599999999</v>
      </c>
      <c r="L32" s="2">
        <v>44.448738599999999</v>
      </c>
      <c r="M32" s="2">
        <v>55.560923250000002</v>
      </c>
      <c r="N32" s="2">
        <v>44.448738599999999</v>
      </c>
      <c r="O32" s="2">
        <v>44.448738599999999</v>
      </c>
      <c r="P32" s="9"/>
      <c r="Q32" s="2">
        <f>SUM(OSRRefD21_0_3x)+IFERROR(SUM(OSRRefE21_0_3x),0)</f>
        <v>550.98723089999999</v>
      </c>
    </row>
    <row r="33" spans="1:17" s="34" customFormat="1" hidden="1" outlineLevel="1" x14ac:dyDescent="0.25">
      <c r="A33" s="35"/>
      <c r="B33" s="13" t="str">
        <f>CONCATENATE("          ","6115", " - ","P.E.R.S.")</f>
        <v xml:space="preserve">          6115 - P.E.R.S.</v>
      </c>
      <c r="C33" s="15"/>
      <c r="D33" s="2">
        <v>2066.46</v>
      </c>
      <c r="E33" s="2">
        <v>1614.45</v>
      </c>
      <c r="F33" s="2">
        <v>1614.45</v>
      </c>
      <c r="G33" s="2">
        <v>1202.9100000000001</v>
      </c>
      <c r="H33" s="2">
        <v>1387.1300538461498</v>
      </c>
      <c r="I33" s="2">
        <v>1387.1300538461498</v>
      </c>
      <c r="J33" s="2">
        <v>1777.69188442308</v>
      </c>
      <c r="K33" s="2">
        <v>1422.15350753846</v>
      </c>
      <c r="L33" s="2">
        <v>1422.15350753846</v>
      </c>
      <c r="M33" s="2">
        <v>1777.69188442308</v>
      </c>
      <c r="N33" s="2">
        <v>1422.15350753846</v>
      </c>
      <c r="O33" s="2">
        <v>1422.15350753846</v>
      </c>
      <c r="P33" s="9"/>
      <c r="Q33" s="2">
        <f>SUM(OSRRefD21_0_4x)+IFERROR(SUM(OSRRefE21_0_4x),0)</f>
        <v>18516.527906692299</v>
      </c>
    </row>
    <row r="34" spans="1:17" s="34" customFormat="1" hidden="1" outlineLevel="1" x14ac:dyDescent="0.25">
      <c r="A34" s="35"/>
      <c r="B34" s="13" t="str">
        <f>CONCATENATE("          ","6116", " - ","EDUCATIONAL BENEFITS")</f>
        <v xml:space="preserve">          6116 - EDUCATIONAL BENEFITS</v>
      </c>
      <c r="C34" s="15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SUM(OSRRefD21_0_5x)+IFERROR(SUM(OSRRefE21_0_5x),0)</f>
        <v>0</v>
      </c>
    </row>
    <row r="35" spans="1:17" s="34" customFormat="1" hidden="1" outlineLevel="1" x14ac:dyDescent="0.25">
      <c r="A35" s="35"/>
      <c r="B35" s="13" t="str">
        <f>CONCATENATE("          ","6118", " - ","VACATION")</f>
        <v xml:space="preserve">          6118 - VACATION</v>
      </c>
      <c r="C35" s="15"/>
      <c r="D35" s="2">
        <v>978.88</v>
      </c>
      <c r="E35" s="2">
        <v>1216.0999999999999</v>
      </c>
      <c r="F35" s="2">
        <v>1216.0999999999999</v>
      </c>
      <c r="G35" s="2">
        <v>1824.15</v>
      </c>
      <c r="H35" s="2">
        <v>1131.2377584615399</v>
      </c>
      <c r="I35" s="2">
        <v>1131.2377584615399</v>
      </c>
      <c r="J35" s="2">
        <v>1449.68152596154</v>
      </c>
      <c r="K35" s="2">
        <v>1159.7452207692299</v>
      </c>
      <c r="L35" s="2">
        <v>1159.7452207692299</v>
      </c>
      <c r="M35" s="2">
        <v>1449.68152596154</v>
      </c>
      <c r="N35" s="2">
        <v>1159.7452207692299</v>
      </c>
      <c r="O35" s="2">
        <v>1159.7452207692299</v>
      </c>
      <c r="P35" s="9"/>
      <c r="Q35" s="2">
        <f>SUM(OSRRefD21_0_6x)+IFERROR(SUM(OSRRefE21_0_6x),0)</f>
        <v>15036.049451923078</v>
      </c>
    </row>
    <row r="36" spans="1:17" s="34" customFormat="1" hidden="1" outlineLevel="1" x14ac:dyDescent="0.25">
      <c r="A36" s="35"/>
      <c r="B36" s="13" t="str">
        <f>CONCATENATE("          ","6119", " - ","SICK LEAVE")</f>
        <v xml:space="preserve">          6119 - SICK LEAVE</v>
      </c>
      <c r="C36" s="15"/>
      <c r="D36" s="2">
        <v>632.52</v>
      </c>
      <c r="E36" s="2">
        <v>738.5</v>
      </c>
      <c r="F36" s="2">
        <v>738.5</v>
      </c>
      <c r="G36" s="2">
        <v>1107.75</v>
      </c>
      <c r="H36" s="2">
        <v>558.49796153846205</v>
      </c>
      <c r="I36" s="2">
        <v>558.49796153846205</v>
      </c>
      <c r="J36" s="2">
        <v>713.39430673076902</v>
      </c>
      <c r="K36" s="2">
        <v>570.71544538461501</v>
      </c>
      <c r="L36" s="2">
        <v>570.71544538461501</v>
      </c>
      <c r="M36" s="2">
        <v>713.39430673076902</v>
      </c>
      <c r="N36" s="2">
        <v>570.71544538461501</v>
      </c>
      <c r="O36" s="2">
        <v>570.71544538461501</v>
      </c>
      <c r="P36" s="9"/>
      <c r="Q36" s="2">
        <f>SUM(OSRRefD21_0_7x)+IFERROR(SUM(OSRRefE21_0_7x),0)</f>
        <v>8043.9163180769228</v>
      </c>
    </row>
    <row r="37" spans="1:17" s="34" customFormat="1" hidden="1" outlineLevel="1" x14ac:dyDescent="0.25">
      <c r="A37" s="35"/>
      <c r="B37" s="13" t="str">
        <f>CONCATENATE("          ","6156", " - ","EMPLOYEE MEALS")</f>
        <v xml:space="preserve">          6156 - EMPLOYEE MEALS</v>
      </c>
      <c r="C37" s="15"/>
      <c r="D37" s="2">
        <v>149.71</v>
      </c>
      <c r="E37" s="2">
        <v>366.57</v>
      </c>
      <c r="F37" s="2">
        <v>450.46</v>
      </c>
      <c r="G37" s="2">
        <v>499.9</v>
      </c>
      <c r="H37" s="2"/>
      <c r="I37" s="2"/>
      <c r="J37" s="2"/>
      <c r="K37" s="2"/>
      <c r="L37" s="2"/>
      <c r="M37" s="2"/>
      <c r="N37" s="2"/>
      <c r="O37" s="2"/>
      <c r="P37" s="9"/>
      <c r="Q37" s="2">
        <f>SUM(OSRRefD21_0_8x)+IFERROR(SUM(OSRRefE21_0_8x),0)</f>
        <v>1466.6399999999999</v>
      </c>
    </row>
    <row r="38" spans="1:17" s="34" customFormat="1" collapsed="1" x14ac:dyDescent="0.25">
      <c r="A38" s="35"/>
      <c r="B38" s="15" t="str">
        <f>CONCATENATE("     ","*Payroll                                          ")</f>
        <v xml:space="preserve">     *Payroll                                          </v>
      </c>
      <c r="C38" s="15"/>
      <c r="D38" s="1">
        <f>SUM(OSRRefD21_1x_0)</f>
        <v>15059.94</v>
      </c>
      <c r="E38" s="1">
        <f>SUM(OSRRefD21_1x_1)</f>
        <v>13505.78</v>
      </c>
      <c r="F38" s="1">
        <f>SUM(OSRRefD21_1x_2)</f>
        <v>15984.94</v>
      </c>
      <c r="G38" s="1">
        <f>SUM(OSRRefD21_1x_3)</f>
        <v>15617.39</v>
      </c>
      <c r="H38" s="1">
        <f>SUM(OSRRefE21_1x_0)</f>
        <v>14471.2176846154</v>
      </c>
      <c r="I38" s="1">
        <f>SUM(OSRRefE21_1x_1)</f>
        <v>14471.2176846154</v>
      </c>
      <c r="J38" s="1">
        <f>SUM(OSRRefE21_1x_2)</f>
        <v>18552.2683682692</v>
      </c>
      <c r="K38" s="1">
        <f>SUM(OSRRefE21_1x_3)</f>
        <v>14841.814694615401</v>
      </c>
      <c r="L38" s="1">
        <f>SUM(OSRRefE21_1x_4)</f>
        <v>14841.814694615401</v>
      </c>
      <c r="M38" s="1">
        <f>SUM(OSRRefE21_1x_5)</f>
        <v>18552.2683682692</v>
      </c>
      <c r="N38" s="1">
        <f>SUM(OSRRefE21_1x_6)</f>
        <v>14841.814694615401</v>
      </c>
      <c r="O38" s="1">
        <f>SUM(OSRRefE21_1x_7)</f>
        <v>14841.814694615401</v>
      </c>
      <c r="Q38" s="2">
        <f>SUM(OSRRefD20_1x)+IFERROR(SUM(OSRRefE20_1x),0)</f>
        <v>185582.2808842308</v>
      </c>
    </row>
    <row r="39" spans="1:17" s="34" customFormat="1" hidden="1" outlineLevel="1" x14ac:dyDescent="0.25">
      <c r="A39" s="35"/>
      <c r="B39" s="13" t="str">
        <f>CONCATENATE("          ","6001", " - ","ADMINISTRATIVE SALARIES")</f>
        <v xml:space="preserve">          6001 - ADMINISTRATIVE SALARIES</v>
      </c>
      <c r="C39" s="15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SUM(OSRRefD21_1_0x)+IFERROR(SUM(OSRRefE21_1_0x),0)</f>
        <v>0</v>
      </c>
    </row>
    <row r="40" spans="1:17" s="34" customFormat="1" hidden="1" outlineLevel="1" x14ac:dyDescent="0.25">
      <c r="A40" s="35"/>
      <c r="B40" s="13" t="str">
        <f>CONCATENATE("          ","6002", " - ","STAFF SALARIES")</f>
        <v xml:space="preserve">          6002 - STAFF SALARIES</v>
      </c>
      <c r="C40" s="15"/>
      <c r="D40" s="2">
        <v>15059.94</v>
      </c>
      <c r="E40" s="2">
        <v>12050.26</v>
      </c>
      <c r="F40" s="2">
        <v>14903.76</v>
      </c>
      <c r="G40" s="2">
        <v>14754.47</v>
      </c>
      <c r="H40" s="2">
        <v>14471.2176846154</v>
      </c>
      <c r="I40" s="2">
        <v>14471.2176846154</v>
      </c>
      <c r="J40" s="2">
        <v>18552.2683682692</v>
      </c>
      <c r="K40" s="2">
        <v>14841.814694615401</v>
      </c>
      <c r="L40" s="2">
        <v>14841.814694615401</v>
      </c>
      <c r="M40" s="2">
        <v>18552.2683682692</v>
      </c>
      <c r="N40" s="2">
        <v>14841.814694615401</v>
      </c>
      <c r="O40" s="2">
        <v>14841.814694615401</v>
      </c>
      <c r="P40" s="9"/>
      <c r="Q40" s="2">
        <f>SUM(OSRRefD21_1_1x)+IFERROR(SUM(OSRRefE21_1_1x),0)</f>
        <v>182182.66088423081</v>
      </c>
    </row>
    <row r="41" spans="1:17" s="34" customFormat="1" hidden="1" outlineLevel="1" x14ac:dyDescent="0.25">
      <c r="A41" s="35"/>
      <c r="B41" s="13" t="str">
        <f>CONCATENATE("          ","6003", " - ","STAFF HOURLY-9 MONTH")</f>
        <v xml:space="preserve">          6003 - STAFF HOURLY-9 MONTH</v>
      </c>
      <c r="C41" s="15"/>
      <c r="D41" s="2"/>
      <c r="E41" s="2"/>
      <c r="F41" s="2"/>
      <c r="G41" s="2"/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SUM(OSRRefD21_1_2x)+IFERROR(SUM(OSRRefE21_1_2x),0)</f>
        <v>0</v>
      </c>
    </row>
    <row r="42" spans="1:17" s="34" customFormat="1" hidden="1" outlineLevel="1" x14ac:dyDescent="0.25">
      <c r="A42" s="35"/>
      <c r="B42" s="13" t="str">
        <f>CONCATENATE("          ","6004", " - ","STAFF HOURLY")</f>
        <v xml:space="preserve">          6004 - STAFF HOURLY</v>
      </c>
      <c r="C42" s="15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SUM(OSRRefD21_1_3x)+IFERROR(SUM(OSRRefE21_1_3x),0)</f>
        <v>0</v>
      </c>
    </row>
    <row r="43" spans="1:17" s="34" customFormat="1" hidden="1" outlineLevel="1" x14ac:dyDescent="0.25">
      <c r="A43" s="35"/>
      <c r="B43" s="13" t="str">
        <f>CONCATENATE("          ","6005", " - ","TEMPORARY WAGES-HOURLY")</f>
        <v xml:space="preserve">          6005 - TEMPORARY WAGES-HOURLY</v>
      </c>
      <c r="C43" s="15"/>
      <c r="D43" s="2"/>
      <c r="E43" s="2">
        <v>383.25</v>
      </c>
      <c r="F43" s="2"/>
      <c r="G43" s="2"/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SUM(OSRRefD21_1_4x)+IFERROR(SUM(OSRRefE21_1_4x),0)</f>
        <v>383.25</v>
      </c>
    </row>
    <row r="44" spans="1:17" s="34" customFormat="1" hidden="1" outlineLevel="1" x14ac:dyDescent="0.25">
      <c r="A44" s="35"/>
      <c r="B44" s="13" t="str">
        <f>CONCATENATE("          ","6006", " - ","TEMPORARY PART TIME")</f>
        <v xml:space="preserve">          6006 - TEMPORARY PART TIME</v>
      </c>
      <c r="C44" s="15"/>
      <c r="D44" s="2"/>
      <c r="E44" s="2"/>
      <c r="F44" s="2"/>
      <c r="G44" s="2"/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SUM(OSRRefD21_1_5x)+IFERROR(SUM(OSRRefE21_1_5x),0)</f>
        <v>0</v>
      </c>
    </row>
    <row r="45" spans="1:17" s="34" customFormat="1" hidden="1" outlineLevel="1" x14ac:dyDescent="0.25">
      <c r="A45" s="35"/>
      <c r="B45" s="13" t="str">
        <f>CONCATENATE("          ","6007", " - ","STUDENT HOURLY")</f>
        <v xml:space="preserve">          6007 - STUDENT HOURLY</v>
      </c>
      <c r="C45" s="15"/>
      <c r="D45" s="2"/>
      <c r="E45" s="2">
        <v>1072.27</v>
      </c>
      <c r="F45" s="2">
        <v>1081.18</v>
      </c>
      <c r="G45" s="2">
        <v>862.92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SUM(OSRRefD21_1_6x)+IFERROR(SUM(OSRRefE21_1_6x),0)</f>
        <v>3016.37</v>
      </c>
    </row>
    <row r="46" spans="1:17" s="34" customFormat="1" hidden="1" outlineLevel="1" x14ac:dyDescent="0.25">
      <c r="A46" s="35"/>
      <c r="B46" s="13" t="str">
        <f>CONCATENATE("          ","6008", " - ","STUDENT HOURLY-FICA EXEMPT")</f>
        <v xml:space="preserve">          6008 - STUDENT HOURLY-FICA EXEMPT</v>
      </c>
      <c r="C46" s="15"/>
      <c r="D46" s="2"/>
      <c r="E46" s="2"/>
      <c r="F46" s="2"/>
      <c r="G46" s="2"/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SUM(OSRRefD21_1_7x)+IFERROR(SUM(OSRRefE21_1_7x),0)</f>
        <v>0</v>
      </c>
    </row>
    <row r="47" spans="1:17" s="34" customFormat="1" hidden="1" outlineLevel="1" x14ac:dyDescent="0.25">
      <c r="A47" s="35"/>
      <c r="B47" s="13" t="str">
        <f>CONCATENATE("          ","6009", " - ","TEMPORARY-SEASONAL")</f>
        <v xml:space="preserve">          6009 - TEMPORARY-SEASONAL</v>
      </c>
      <c r="C47" s="15"/>
      <c r="D47" s="2"/>
      <c r="E47" s="2"/>
      <c r="F47" s="2"/>
      <c r="G47" s="2"/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SUM(OSRRefD21_1_8x)+IFERROR(SUM(OSRRefE21_1_8x),0)</f>
        <v>0</v>
      </c>
    </row>
    <row r="48" spans="1:17" s="34" customFormat="1" hidden="1" outlineLevel="1" x14ac:dyDescent="0.25">
      <c r="A48" s="35"/>
      <c r="B48" s="13" t="str">
        <f>CONCATENATE("          ","6010", " - ","GRATUITY")</f>
        <v xml:space="preserve">          6010 - GRATUITY</v>
      </c>
      <c r="C48" s="15"/>
      <c r="D48" s="2"/>
      <c r="E48" s="2"/>
      <c r="F48" s="2"/>
      <c r="G48" s="2"/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SUM(OSRRefD21_1_9x)+IFERROR(SUM(OSRRefE21_1_9x),0)</f>
        <v>0</v>
      </c>
    </row>
    <row r="49" spans="1:17" s="34" customFormat="1" collapsed="1" x14ac:dyDescent="0.25">
      <c r="A49" s="35"/>
      <c r="B49" s="15" t="str">
        <f>CONCATENATE("     ","Advertising/Promo                                 ")</f>
        <v xml:space="preserve">     Advertising/Promo                                 </v>
      </c>
      <c r="C49" s="15"/>
      <c r="D49" s="1">
        <f>SUM(OSRRefD21_2x_0)</f>
        <v>0</v>
      </c>
      <c r="E49" s="1">
        <f>SUM(OSRRefD21_2x_1)</f>
        <v>0</v>
      </c>
      <c r="F49" s="1">
        <f>SUM(OSRRefD21_2x_2)</f>
        <v>0</v>
      </c>
      <c r="G49" s="1">
        <f>SUM(OSRRefD21_2x_3)</f>
        <v>0</v>
      </c>
      <c r="H49" s="1">
        <f>SUM(OSRRefE21_2x_0)</f>
        <v>50</v>
      </c>
      <c r="I49" s="1">
        <f>SUM(OSRRefE21_2x_1)</f>
        <v>50</v>
      </c>
      <c r="J49" s="1">
        <f>SUM(OSRRefE21_2x_2)</f>
        <v>50</v>
      </c>
      <c r="K49" s="1">
        <f>SUM(OSRRefE21_2x_3)</f>
        <v>50</v>
      </c>
      <c r="L49" s="1">
        <f>SUM(OSRRefE21_2x_4)</f>
        <v>50</v>
      </c>
      <c r="M49" s="1">
        <f>SUM(OSRRefE21_2x_5)</f>
        <v>50</v>
      </c>
      <c r="N49" s="1">
        <f>SUM(OSRRefE21_2x_6)</f>
        <v>50</v>
      </c>
      <c r="O49" s="1">
        <f>SUM(OSRRefE21_2x_7)</f>
        <v>50</v>
      </c>
      <c r="Q49" s="2">
        <f>SUM(OSRRefD20_2x)+IFERROR(SUM(OSRRefE20_2x),0)</f>
        <v>400</v>
      </c>
    </row>
    <row r="50" spans="1:17" s="34" customFormat="1" hidden="1" outlineLevel="1" x14ac:dyDescent="0.25">
      <c r="A50" s="35"/>
      <c r="B50" s="13" t="str">
        <f>CONCATENATE("          ","6362", " - ","ADVERTISING EXPENSE")</f>
        <v xml:space="preserve">          6362 - ADVERTISING EXPENSE</v>
      </c>
      <c r="C50" s="15"/>
      <c r="D50" s="2"/>
      <c r="E50" s="2"/>
      <c r="F50" s="2"/>
      <c r="G50" s="2"/>
      <c r="H50" s="2">
        <v>50</v>
      </c>
      <c r="I50" s="2">
        <v>50</v>
      </c>
      <c r="J50" s="2">
        <v>50</v>
      </c>
      <c r="K50" s="2">
        <v>50</v>
      </c>
      <c r="L50" s="2">
        <v>50</v>
      </c>
      <c r="M50" s="2">
        <v>50</v>
      </c>
      <c r="N50" s="2">
        <v>50</v>
      </c>
      <c r="O50" s="2">
        <v>50</v>
      </c>
      <c r="P50" s="9"/>
      <c r="Q50" s="2">
        <f>SUM(OSRRefD21_2_0x)+IFERROR(SUM(OSRRefE21_2_0x),0)</f>
        <v>400</v>
      </c>
    </row>
    <row r="51" spans="1:17" s="34" customFormat="1" collapsed="1" x14ac:dyDescent="0.25">
      <c r="A51" s="35"/>
      <c r="B51" s="15" t="str">
        <f>CONCATENATE("     ","Depreciation                                      ")</f>
        <v xml:space="preserve">     Depreciation                                      </v>
      </c>
      <c r="C51" s="15"/>
      <c r="D51" s="1">
        <f>SUM(OSRRefD21_3x_0)</f>
        <v>169.88</v>
      </c>
      <c r="E51" s="1">
        <f>SUM(OSRRefD21_3x_1)</f>
        <v>169.88</v>
      </c>
      <c r="F51" s="1">
        <f>SUM(OSRRefD21_3x_2)</f>
        <v>169.88</v>
      </c>
      <c r="G51" s="1">
        <f>SUM(OSRRefD21_3x_3)</f>
        <v>169.88</v>
      </c>
      <c r="H51" s="1">
        <f>SUM(OSRRefE21_3x_0)</f>
        <v>170</v>
      </c>
      <c r="I51" s="1">
        <f>SUM(OSRRefE21_3x_1)</f>
        <v>170</v>
      </c>
      <c r="J51" s="1">
        <f>SUM(OSRRefE21_3x_2)</f>
        <v>170</v>
      </c>
      <c r="K51" s="1">
        <f>SUM(OSRRefE21_3x_3)</f>
        <v>170</v>
      </c>
      <c r="L51" s="1">
        <f>SUM(OSRRefE21_3x_4)</f>
        <v>170</v>
      </c>
      <c r="M51" s="1">
        <f>SUM(OSRRefE21_3x_5)</f>
        <v>170</v>
      </c>
      <c r="N51" s="1">
        <f>SUM(OSRRefE21_3x_6)</f>
        <v>170</v>
      </c>
      <c r="O51" s="1">
        <f>SUM(OSRRefE21_3x_7)</f>
        <v>170</v>
      </c>
      <c r="Q51" s="2">
        <f>SUM(OSRRefD20_3x)+IFERROR(SUM(OSRRefE20_3x),0)</f>
        <v>2039.52</v>
      </c>
    </row>
    <row r="52" spans="1:17" s="34" customFormat="1" hidden="1" outlineLevel="1" x14ac:dyDescent="0.25">
      <c r="A52" s="35"/>
      <c r="B52" s="13" t="str">
        <f>CONCATENATE("          ","6322", " - ","EQUIPMENT DEPRECIATION EXPENSE")</f>
        <v xml:space="preserve">          6322 - EQUIPMENT DEPRECIATION EXPENSE</v>
      </c>
      <c r="C52" s="15"/>
      <c r="D52" s="2">
        <v>169.88</v>
      </c>
      <c r="E52" s="2">
        <v>169.88</v>
      </c>
      <c r="F52" s="2">
        <v>169.88</v>
      </c>
      <c r="G52" s="2">
        <v>169.88</v>
      </c>
      <c r="H52" s="2">
        <v>170</v>
      </c>
      <c r="I52" s="2">
        <v>170</v>
      </c>
      <c r="J52" s="2">
        <v>170</v>
      </c>
      <c r="K52" s="2">
        <v>170</v>
      </c>
      <c r="L52" s="2">
        <v>170</v>
      </c>
      <c r="M52" s="2">
        <v>170</v>
      </c>
      <c r="N52" s="2">
        <v>170</v>
      </c>
      <c r="O52" s="2">
        <v>170</v>
      </c>
      <c r="P52" s="9"/>
      <c r="Q52" s="2">
        <f>SUM(OSRRefD21_3_0x)+IFERROR(SUM(OSRRefE21_3_0x),0)</f>
        <v>2039.52</v>
      </c>
    </row>
    <row r="53" spans="1:17" s="34" customFormat="1" collapsed="1" x14ac:dyDescent="0.25">
      <c r="A53" s="35"/>
      <c r="B53" s="15" t="str">
        <f>CONCATENATE("     ","Discounts and Markdowns                           ")</f>
        <v xml:space="preserve">     Discounts and Markdowns                           </v>
      </c>
      <c r="C53" s="15"/>
      <c r="D53" s="1">
        <f>SUM(OSRRefD21_4x_0)</f>
        <v>0</v>
      </c>
      <c r="E53" s="1">
        <f>SUM(OSRRefD21_4x_1)</f>
        <v>0</v>
      </c>
      <c r="F53" s="1">
        <f>SUM(OSRRefD21_4x_2)</f>
        <v>0</v>
      </c>
      <c r="G53" s="1">
        <f>SUM(OSRRefD21_4x_3)</f>
        <v>0</v>
      </c>
      <c r="H53" s="1">
        <f>SUM(OSRRefE21_4x_0)</f>
        <v>50</v>
      </c>
      <c r="I53" s="1">
        <f>SUM(OSRRefE21_4x_1)</f>
        <v>50</v>
      </c>
      <c r="J53" s="1">
        <f>SUM(OSRRefE21_4x_2)</f>
        <v>50</v>
      </c>
      <c r="K53" s="1">
        <f>SUM(OSRRefE21_4x_3)</f>
        <v>50</v>
      </c>
      <c r="L53" s="1">
        <f>SUM(OSRRefE21_4x_4)</f>
        <v>50</v>
      </c>
      <c r="M53" s="1">
        <f>SUM(OSRRefE21_4x_5)</f>
        <v>50</v>
      </c>
      <c r="N53" s="1">
        <f>SUM(OSRRefE21_4x_6)</f>
        <v>50</v>
      </c>
      <c r="O53" s="1">
        <f>SUM(OSRRefE21_4x_7)</f>
        <v>50</v>
      </c>
      <c r="Q53" s="2">
        <f>SUM(OSRRefD20_4x)+IFERROR(SUM(OSRRefE20_4x),0)</f>
        <v>400</v>
      </c>
    </row>
    <row r="54" spans="1:17" s="34" customFormat="1" hidden="1" outlineLevel="1" x14ac:dyDescent="0.25">
      <c r="A54" s="35"/>
      <c r="B54" s="13" t="str">
        <f>CONCATENATE("          ","6382", " - ","DISCOUNTS/MARK DOWNS")</f>
        <v xml:space="preserve">          6382 - DISCOUNTS/MARK DOWNS</v>
      </c>
      <c r="C54" s="15"/>
      <c r="D54" s="2"/>
      <c r="E54" s="2"/>
      <c r="F54" s="2"/>
      <c r="G54" s="2"/>
      <c r="H54" s="2">
        <v>50</v>
      </c>
      <c r="I54" s="2">
        <v>50</v>
      </c>
      <c r="J54" s="2">
        <v>50</v>
      </c>
      <c r="K54" s="2">
        <v>50</v>
      </c>
      <c r="L54" s="2">
        <v>50</v>
      </c>
      <c r="M54" s="2">
        <v>50</v>
      </c>
      <c r="N54" s="2">
        <v>50</v>
      </c>
      <c r="O54" s="2">
        <v>50</v>
      </c>
      <c r="P54" s="9"/>
      <c r="Q54" s="2">
        <f>SUM(OSRRefD21_4_0x)+IFERROR(SUM(OSRRefE21_4_0x),0)</f>
        <v>400</v>
      </c>
    </row>
    <row r="55" spans="1:17" s="34" customFormat="1" collapsed="1" x14ac:dyDescent="0.25">
      <c r="A55" s="35"/>
      <c r="B55" s="15" t="str">
        <f>CONCATENATE("     ","Equipment Rental                                  ")</f>
        <v xml:space="preserve">     Equipment Rental                                  </v>
      </c>
      <c r="C55" s="15"/>
      <c r="D55" s="1">
        <f>SUM(OSRRefD21_5x_0)</f>
        <v>1205.6400000000001</v>
      </c>
      <c r="E55" s="1">
        <f>SUM(OSRRefD21_5x_1)</f>
        <v>1205.6400000000001</v>
      </c>
      <c r="F55" s="1">
        <f>SUM(OSRRefD21_5x_2)</f>
        <v>1205.6400000000001</v>
      </c>
      <c r="G55" s="1">
        <f>SUM(OSRRefD21_5x_3)</f>
        <v>1205.6400000000001</v>
      </c>
      <c r="H55" s="1">
        <f>SUM(OSRRefE21_5x_0)</f>
        <v>1206</v>
      </c>
      <c r="I55" s="1">
        <f>SUM(OSRRefE21_5x_1)</f>
        <v>1206</v>
      </c>
      <c r="J55" s="1">
        <f>SUM(OSRRefE21_5x_2)</f>
        <v>1206</v>
      </c>
      <c r="K55" s="1">
        <f>SUM(OSRRefE21_5x_3)</f>
        <v>1206</v>
      </c>
      <c r="L55" s="1">
        <f>SUM(OSRRefE21_5x_4)</f>
        <v>1206</v>
      </c>
      <c r="M55" s="1">
        <f>SUM(OSRRefE21_5x_5)</f>
        <v>1206</v>
      </c>
      <c r="N55" s="1">
        <f>SUM(OSRRefE21_5x_6)</f>
        <v>1206</v>
      </c>
      <c r="O55" s="1">
        <f>SUM(OSRRefE21_5x_7)</f>
        <v>1206</v>
      </c>
      <c r="Q55" s="2">
        <f>SUM(OSRRefD20_5x)+IFERROR(SUM(OSRRefE20_5x),0)</f>
        <v>14470.560000000001</v>
      </c>
    </row>
    <row r="56" spans="1:17" s="34" customFormat="1" hidden="1" outlineLevel="1" x14ac:dyDescent="0.25">
      <c r="A56" s="35"/>
      <c r="B56" s="13" t="str">
        <f>CONCATENATE("          ","6351", " - ","EQUIPMENT RENTAL")</f>
        <v xml:space="preserve">          6351 - EQUIPMENT RENTAL</v>
      </c>
      <c r="C56" s="15"/>
      <c r="D56" s="2">
        <v>1205.6400000000001</v>
      </c>
      <c r="E56" s="2">
        <v>1205.6400000000001</v>
      </c>
      <c r="F56" s="2">
        <v>1205.6400000000001</v>
      </c>
      <c r="G56" s="2">
        <v>1205.6400000000001</v>
      </c>
      <c r="H56" s="2">
        <v>1206</v>
      </c>
      <c r="I56" s="2">
        <v>1206</v>
      </c>
      <c r="J56" s="2">
        <v>1206</v>
      </c>
      <c r="K56" s="2">
        <v>1206</v>
      </c>
      <c r="L56" s="2">
        <v>1206</v>
      </c>
      <c r="M56" s="2">
        <v>1206</v>
      </c>
      <c r="N56" s="2">
        <v>1206</v>
      </c>
      <c r="O56" s="2">
        <v>1206</v>
      </c>
      <c r="P56" s="9"/>
      <c r="Q56" s="2">
        <f>SUM(OSRRefD21_5_0x)+IFERROR(SUM(OSRRefE21_5_0x),0)</f>
        <v>14470.560000000001</v>
      </c>
    </row>
    <row r="57" spans="1:17" s="34" customFormat="1" collapsed="1" x14ac:dyDescent="0.25">
      <c r="A57" s="35"/>
      <c r="B57" s="15" t="str">
        <f>CONCATENATE("     ","Freight out/Postage                               ")</f>
        <v xml:space="preserve">     Freight out/Postage                               </v>
      </c>
      <c r="C57" s="15"/>
      <c r="D57" s="1">
        <f>SUM(OSRRefD21_6x_0)</f>
        <v>8744.76</v>
      </c>
      <c r="E57" s="1">
        <f>SUM(OSRRefD21_6x_1)</f>
        <v>-84423.84</v>
      </c>
      <c r="F57" s="1">
        <f>SUM(OSRRefD21_6x_2)</f>
        <v>-6321.6000000000013</v>
      </c>
      <c r="G57" s="1">
        <f>SUM(OSRRefD21_6x_3)</f>
        <v>48851.520000000004</v>
      </c>
      <c r="H57" s="1">
        <f>SUM(OSRRefE21_6x_0)</f>
        <v>1500</v>
      </c>
      <c r="I57" s="1">
        <f>SUM(OSRRefE21_6x_1)</f>
        <v>-500</v>
      </c>
      <c r="J57" s="1">
        <f>SUM(OSRRefE21_6x_2)</f>
        <v>-13800</v>
      </c>
      <c r="K57" s="1">
        <f>SUM(OSRRefE21_6x_3)</f>
        <v>0</v>
      </c>
      <c r="L57" s="1">
        <f>SUM(OSRRefE21_6x_4)</f>
        <v>-18000</v>
      </c>
      <c r="M57" s="1">
        <f>SUM(OSRRefE21_6x_5)</f>
        <v>408</v>
      </c>
      <c r="N57" s="1">
        <f>SUM(OSRRefE21_6x_6)</f>
        <v>-2750</v>
      </c>
      <c r="O57" s="1">
        <f>SUM(OSRRefE21_6x_7)</f>
        <v>-1000</v>
      </c>
      <c r="Q57" s="2">
        <f>SUM(OSRRefD20_6x)+IFERROR(SUM(OSRRefE20_6x),0)</f>
        <v>-67291.16</v>
      </c>
    </row>
    <row r="58" spans="1:17" s="34" customFormat="1" hidden="1" outlineLevel="1" x14ac:dyDescent="0.25">
      <c r="A58" s="35"/>
      <c r="B58" s="13" t="str">
        <f>CONCATENATE("          ","6305", " - ","FREIGHT OUT")</f>
        <v xml:space="preserve">          6305 - FREIGHT OUT</v>
      </c>
      <c r="C58" s="15"/>
      <c r="D58" s="2">
        <v>11905.2</v>
      </c>
      <c r="E58" s="2">
        <v>7873.15</v>
      </c>
      <c r="F58" s="2">
        <v>5262.44</v>
      </c>
      <c r="G58" s="2">
        <v>60553.990000000005</v>
      </c>
      <c r="H58" s="2">
        <v>2500</v>
      </c>
      <c r="I58" s="2">
        <v>3000</v>
      </c>
      <c r="J58" s="2">
        <v>2200</v>
      </c>
      <c r="K58" s="2">
        <v>8700</v>
      </c>
      <c r="L58" s="2">
        <v>2000</v>
      </c>
      <c r="M58" s="2">
        <v>2500</v>
      </c>
      <c r="N58" s="2">
        <v>2250</v>
      </c>
      <c r="O58" s="2">
        <v>1000</v>
      </c>
      <c r="P58" s="9"/>
      <c r="Q58" s="2">
        <f>SUM(OSRRefD21_6_0x)+IFERROR(SUM(OSRRefE21_6_0x),0)</f>
        <v>109744.78</v>
      </c>
    </row>
    <row r="59" spans="1:17" s="34" customFormat="1" hidden="1" outlineLevel="1" x14ac:dyDescent="0.25">
      <c r="A59" s="35"/>
      <c r="B59" s="13" t="str">
        <f>CONCATENATE("          ","6307", " - ","POSTAGE")</f>
        <v xml:space="preserve">          6307 - POSTAGE</v>
      </c>
      <c r="C59" s="15"/>
      <c r="D59" s="2">
        <v>-3160.44</v>
      </c>
      <c r="E59" s="2">
        <v>-92296.989999999991</v>
      </c>
      <c r="F59" s="2">
        <v>-11584.04</v>
      </c>
      <c r="G59" s="2">
        <v>-11702.47</v>
      </c>
      <c r="H59" s="2">
        <v>-1000</v>
      </c>
      <c r="I59" s="2">
        <v>-3500</v>
      </c>
      <c r="J59" s="2">
        <v>-16000</v>
      </c>
      <c r="K59" s="2">
        <v>-8700</v>
      </c>
      <c r="L59" s="2">
        <v>-20000</v>
      </c>
      <c r="M59" s="2">
        <v>-2092</v>
      </c>
      <c r="N59" s="2">
        <v>-5000</v>
      </c>
      <c r="O59" s="2">
        <v>-2000</v>
      </c>
      <c r="P59" s="9"/>
      <c r="Q59" s="2">
        <f>SUM(OSRRefD21_6_1x)+IFERROR(SUM(OSRRefE21_6_1x),0)</f>
        <v>-177035.94</v>
      </c>
    </row>
    <row r="60" spans="1:17" s="34" customFormat="1" collapsed="1" x14ac:dyDescent="0.25">
      <c r="A60" s="35"/>
      <c r="B60" s="15" t="str">
        <f>CONCATENATE("     ","Repair and Maintenance                            ")</f>
        <v xml:space="preserve">     Repair and Maintenance                            </v>
      </c>
      <c r="C60" s="15"/>
      <c r="D60" s="1">
        <f>SUM(OSRRefD21_7x_0)</f>
        <v>6378.1</v>
      </c>
      <c r="E60" s="1">
        <f>SUM(OSRRefD21_7x_1)</f>
        <v>5225.0200000000004</v>
      </c>
      <c r="F60" s="1">
        <f>SUM(OSRRefD21_7x_2)</f>
        <v>7243.55</v>
      </c>
      <c r="G60" s="1">
        <f>SUM(OSRRefD21_7x_3)</f>
        <v>5274.0899999999992</v>
      </c>
      <c r="H60" s="1">
        <f>SUM(OSRRefE21_7x_0)</f>
        <v>5500</v>
      </c>
      <c r="I60" s="1">
        <f>SUM(OSRRefE21_7x_1)</f>
        <v>5500</v>
      </c>
      <c r="J60" s="1">
        <f>SUM(OSRRefE21_7x_2)</f>
        <v>8000</v>
      </c>
      <c r="K60" s="1">
        <f>SUM(OSRRefE21_7x_3)</f>
        <v>7200</v>
      </c>
      <c r="L60" s="1">
        <f>SUM(OSRRefE21_7x_4)</f>
        <v>5000</v>
      </c>
      <c r="M60" s="1">
        <f>SUM(OSRRefE21_7x_5)</f>
        <v>5000</v>
      </c>
      <c r="N60" s="1">
        <f>SUM(OSRRefE21_7x_6)</f>
        <v>5000</v>
      </c>
      <c r="O60" s="1">
        <f>SUM(OSRRefE21_7x_7)</f>
        <v>7000</v>
      </c>
      <c r="Q60" s="2">
        <f>SUM(OSRRefD20_7x)+IFERROR(SUM(OSRRefE20_7x),0)</f>
        <v>72320.760000000009</v>
      </c>
    </row>
    <row r="61" spans="1:17" s="34" customFormat="1" hidden="1" outlineLevel="1" x14ac:dyDescent="0.25">
      <c r="A61" s="35"/>
      <c r="B61" s="13" t="str">
        <f>CONCATENATE("          ","6371", " - ","COMPUTER SOFTWARE MAINTENANCE")</f>
        <v xml:space="preserve">          6371 - COMPUTER SOFTWARE MAINTENANCE</v>
      </c>
      <c r="C61" s="15"/>
      <c r="D61" s="2"/>
      <c r="E61" s="2"/>
      <c r="F61" s="2"/>
      <c r="G61" s="2">
        <v>7.69</v>
      </c>
      <c r="H61" s="2"/>
      <c r="I61" s="2"/>
      <c r="J61" s="2"/>
      <c r="K61" s="2"/>
      <c r="L61" s="2"/>
      <c r="M61" s="2"/>
      <c r="N61" s="2"/>
      <c r="O61" s="2"/>
      <c r="P61" s="9"/>
      <c r="Q61" s="2">
        <f>SUM(OSRRefD21_7_0x)+IFERROR(SUM(OSRRefE21_7_0x),0)</f>
        <v>7.69</v>
      </c>
    </row>
    <row r="62" spans="1:17" s="34" customFormat="1" hidden="1" outlineLevel="1" x14ac:dyDescent="0.25">
      <c r="A62" s="35"/>
      <c r="B62" s="13" t="str">
        <f>CONCATENATE("          ","6373", " - ","MAINTENANCE CONTRACTS")</f>
        <v xml:space="preserve">          6373 - MAINTENANCE CONTRACTS</v>
      </c>
      <c r="C62" s="15"/>
      <c r="D62" s="2">
        <v>6378.1</v>
      </c>
      <c r="E62" s="2">
        <v>5225.0200000000004</v>
      </c>
      <c r="F62" s="2">
        <v>7243.55</v>
      </c>
      <c r="G62" s="2">
        <v>5266.4</v>
      </c>
      <c r="H62" s="2">
        <v>5500</v>
      </c>
      <c r="I62" s="2">
        <v>5500</v>
      </c>
      <c r="J62" s="2">
        <v>8000</v>
      </c>
      <c r="K62" s="2">
        <v>7200</v>
      </c>
      <c r="L62" s="2">
        <v>5000</v>
      </c>
      <c r="M62" s="2">
        <v>5000</v>
      </c>
      <c r="N62" s="2">
        <v>5000</v>
      </c>
      <c r="O62" s="2">
        <v>7000</v>
      </c>
      <c r="P62" s="9"/>
      <c r="Q62" s="2">
        <f>SUM(OSRRefD21_7_1x)+IFERROR(SUM(OSRRefE21_7_1x),0)</f>
        <v>72313.070000000007</v>
      </c>
    </row>
    <row r="63" spans="1:17" s="34" customFormat="1" collapsed="1" x14ac:dyDescent="0.25">
      <c r="A63" s="35"/>
      <c r="B63" s="15" t="str">
        <f>CONCATENATE("     ","Royalty &amp; Commissions                             ")</f>
        <v xml:space="preserve">     Royalty &amp; Commissions                             </v>
      </c>
      <c r="C63" s="15"/>
      <c r="D63" s="1">
        <f>SUM(OSRRefD21_8x_0)</f>
        <v>5317.55</v>
      </c>
      <c r="E63" s="1">
        <f>SUM(OSRRefD21_8x_1)</f>
        <v>4.6500000000000004</v>
      </c>
      <c r="F63" s="1">
        <f>SUM(OSRRefD21_8x_2)</f>
        <v>62.6</v>
      </c>
      <c r="G63" s="1">
        <f>SUM(OSRRefD21_8x_3)</f>
        <v>320.39999999999998</v>
      </c>
      <c r="H63" s="1">
        <f>SUM(OSRRefE21_8x_0)</f>
        <v>50</v>
      </c>
      <c r="I63" s="1">
        <f>SUM(OSRRefE21_8x_1)</f>
        <v>50</v>
      </c>
      <c r="J63" s="1">
        <f>SUM(OSRRefE21_8x_2)</f>
        <v>50</v>
      </c>
      <c r="K63" s="1">
        <f>SUM(OSRRefE21_8x_3)</f>
        <v>50</v>
      </c>
      <c r="L63" s="1">
        <f>SUM(OSRRefE21_8x_4)</f>
        <v>5000</v>
      </c>
      <c r="M63" s="1">
        <f>SUM(OSRRefE21_8x_5)</f>
        <v>100</v>
      </c>
      <c r="N63" s="1">
        <f>SUM(OSRRefE21_8x_6)</f>
        <v>100</v>
      </c>
      <c r="O63" s="1">
        <f>SUM(OSRRefE21_8x_7)</f>
        <v>100</v>
      </c>
      <c r="Q63" s="2">
        <f>SUM(OSRRefD20_8x)+IFERROR(SUM(OSRRefE20_8x),0)</f>
        <v>11205.2</v>
      </c>
    </row>
    <row r="64" spans="1:17" s="34" customFormat="1" hidden="1" outlineLevel="1" x14ac:dyDescent="0.25">
      <c r="A64" s="35"/>
      <c r="B64" s="13" t="str">
        <f>CONCATENATE("          ","6259", " - ","ROYALTY &amp; COMMISSIONS")</f>
        <v xml:space="preserve">          6259 - ROYALTY &amp; COMMISSIONS</v>
      </c>
      <c r="C64" s="15"/>
      <c r="D64" s="2">
        <v>5317.55</v>
      </c>
      <c r="E64" s="2">
        <v>4.6500000000000004</v>
      </c>
      <c r="F64" s="2">
        <v>62.6</v>
      </c>
      <c r="G64" s="2">
        <v>320.39999999999998</v>
      </c>
      <c r="H64" s="2">
        <v>50</v>
      </c>
      <c r="I64" s="2">
        <v>50</v>
      </c>
      <c r="J64" s="2">
        <v>50</v>
      </c>
      <c r="K64" s="2">
        <v>50</v>
      </c>
      <c r="L64" s="2">
        <v>5000</v>
      </c>
      <c r="M64" s="2">
        <v>100</v>
      </c>
      <c r="N64" s="2">
        <v>100</v>
      </c>
      <c r="O64" s="2">
        <v>100</v>
      </c>
      <c r="P64" s="9"/>
      <c r="Q64" s="2">
        <f>SUM(OSRRefD21_8_0x)+IFERROR(SUM(OSRRefE21_8_0x),0)</f>
        <v>11205.2</v>
      </c>
    </row>
    <row r="65" spans="1:17" s="34" customFormat="1" collapsed="1" x14ac:dyDescent="0.25">
      <c r="A65" s="35"/>
      <c r="B65" s="15" t="str">
        <f>CONCATENATE("     ","Supplies                                          ")</f>
        <v xml:space="preserve">     Supplies                                          </v>
      </c>
      <c r="C65" s="15"/>
      <c r="D65" s="1">
        <f>SUM(OSRRefD21_9x_0)</f>
        <v>4147.8</v>
      </c>
      <c r="E65" s="1">
        <f>SUM(OSRRefD21_9x_1)</f>
        <v>4783.22</v>
      </c>
      <c r="F65" s="1">
        <f>SUM(OSRRefD21_9x_2)</f>
        <v>10677.67</v>
      </c>
      <c r="G65" s="1">
        <f>SUM(OSRRefD21_9x_3)</f>
        <v>1902.8600000000001</v>
      </c>
      <c r="H65" s="1">
        <f>SUM(OSRRefE21_9x_0)</f>
        <v>150</v>
      </c>
      <c r="I65" s="1">
        <f>SUM(OSRRefE21_9x_1)</f>
        <v>2050</v>
      </c>
      <c r="J65" s="1">
        <f>SUM(OSRRefE21_9x_2)</f>
        <v>2050</v>
      </c>
      <c r="K65" s="1">
        <f>SUM(OSRRefE21_9x_3)</f>
        <v>150</v>
      </c>
      <c r="L65" s="1">
        <f>SUM(OSRRefE21_9x_4)</f>
        <v>150</v>
      </c>
      <c r="M65" s="1">
        <f>SUM(OSRRefE21_9x_5)</f>
        <v>150</v>
      </c>
      <c r="N65" s="1">
        <f>SUM(OSRRefE21_9x_6)</f>
        <v>2050</v>
      </c>
      <c r="O65" s="1">
        <f>SUM(OSRRefE21_9x_7)</f>
        <v>150</v>
      </c>
      <c r="Q65" s="2">
        <f>SUM(OSRRefD20_9x)+IFERROR(SUM(OSRRefE20_9x),0)</f>
        <v>28411.550000000003</v>
      </c>
    </row>
    <row r="66" spans="1:17" s="34" customFormat="1" hidden="1" outlineLevel="1" x14ac:dyDescent="0.25">
      <c r="A66" s="35"/>
      <c r="B66" s="13" t="str">
        <f>CONCATENATE("          ","6235", " - ","COVID-19 EXPENSES")</f>
        <v xml:space="preserve">          6235 - COVID-19 EXPENSES</v>
      </c>
      <c r="C66" s="15"/>
      <c r="D66" s="2">
        <v>310.91000000000003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9"/>
      <c r="Q66" s="2">
        <f>SUM(OSRRefD21_9_0x)+IFERROR(SUM(OSRRefE21_9_0x),0)</f>
        <v>310.91000000000003</v>
      </c>
    </row>
    <row r="67" spans="1:17" s="34" customFormat="1" hidden="1" outlineLevel="1" x14ac:dyDescent="0.25">
      <c r="A67" s="35"/>
      <c r="B67" s="13" t="str">
        <f>CONCATENATE("          ","6241", " - ","OFFICE EXPENSE")</f>
        <v xml:space="preserve">          6241 - OFFICE EXPENSE</v>
      </c>
      <c r="C67" s="15"/>
      <c r="D67" s="2"/>
      <c r="E67" s="2"/>
      <c r="F67" s="2">
        <v>4590.26</v>
      </c>
      <c r="G67" s="2">
        <v>6.6</v>
      </c>
      <c r="H67" s="2"/>
      <c r="I67" s="2"/>
      <c r="J67" s="2"/>
      <c r="K67" s="2"/>
      <c r="L67" s="2"/>
      <c r="M67" s="2"/>
      <c r="N67" s="2"/>
      <c r="O67" s="2"/>
      <c r="P67" s="9"/>
      <c r="Q67" s="2">
        <f>SUM(OSRRefD21_9_1x)+IFERROR(SUM(OSRRefE21_9_1x),0)</f>
        <v>4596.8600000000006</v>
      </c>
    </row>
    <row r="68" spans="1:17" s="34" customFormat="1" hidden="1" outlineLevel="1" x14ac:dyDescent="0.25">
      <c r="A68" s="35"/>
      <c r="B68" s="13" t="str">
        <f>CONCATENATE("          ","6243", " - ","PAPER SUPPLIES")</f>
        <v xml:space="preserve">          6243 - PAPER SUPPLIES</v>
      </c>
      <c r="C68" s="15"/>
      <c r="D68" s="2">
        <v>1080</v>
      </c>
      <c r="E68" s="2">
        <v>2044.69</v>
      </c>
      <c r="F68" s="2"/>
      <c r="G68" s="2">
        <v>449.01</v>
      </c>
      <c r="H68" s="2">
        <v>100</v>
      </c>
      <c r="I68" s="2">
        <v>2000</v>
      </c>
      <c r="J68" s="2">
        <v>2000</v>
      </c>
      <c r="K68" s="2">
        <v>100</v>
      </c>
      <c r="L68" s="2">
        <v>100</v>
      </c>
      <c r="M68" s="2">
        <v>100</v>
      </c>
      <c r="N68" s="2">
        <v>2000</v>
      </c>
      <c r="O68" s="2">
        <v>100</v>
      </c>
      <c r="P68" s="9"/>
      <c r="Q68" s="2">
        <f>SUM(OSRRefD21_9_2x)+IFERROR(SUM(OSRRefE21_9_2x),0)</f>
        <v>10073.700000000001</v>
      </c>
    </row>
    <row r="69" spans="1:17" s="34" customFormat="1" hidden="1" outlineLevel="1" x14ac:dyDescent="0.25">
      <c r="A69" s="35"/>
      <c r="B69" s="13" t="str">
        <f>CONCATENATE("          ","6245", " - ","PRINTING")</f>
        <v xml:space="preserve">          6245 - PRINTING</v>
      </c>
      <c r="C69" s="15"/>
      <c r="D69" s="2">
        <v>-1543.5</v>
      </c>
      <c r="E69" s="2">
        <v>1248</v>
      </c>
      <c r="F69" s="2">
        <v>288.3</v>
      </c>
      <c r="G69" s="2">
        <v>353.09</v>
      </c>
      <c r="H69" s="2">
        <v>25</v>
      </c>
      <c r="I69" s="2">
        <v>25</v>
      </c>
      <c r="J69" s="2">
        <v>25</v>
      </c>
      <c r="K69" s="2">
        <v>25</v>
      </c>
      <c r="L69" s="2">
        <v>25</v>
      </c>
      <c r="M69" s="2">
        <v>25</v>
      </c>
      <c r="N69" s="2">
        <v>25</v>
      </c>
      <c r="O69" s="2">
        <v>25</v>
      </c>
      <c r="P69" s="9"/>
      <c r="Q69" s="2">
        <f>SUM(OSRRefD21_9_3x)+IFERROR(SUM(OSRRefE21_9_3x),0)</f>
        <v>545.89</v>
      </c>
    </row>
    <row r="70" spans="1:17" s="34" customFormat="1" hidden="1" outlineLevel="1" x14ac:dyDescent="0.25">
      <c r="A70" s="35"/>
      <c r="B70" s="13" t="str">
        <f>CONCATENATE("          ","6247", " - ","STORE SUPPLIES")</f>
        <v xml:space="preserve">          6247 - STORE SUPPLIES</v>
      </c>
      <c r="C70" s="15"/>
      <c r="D70" s="2">
        <v>4300.3900000000003</v>
      </c>
      <c r="E70" s="2">
        <v>1490.53</v>
      </c>
      <c r="F70" s="2">
        <v>5799.11</v>
      </c>
      <c r="G70" s="2">
        <v>1094.1600000000001</v>
      </c>
      <c r="H70" s="2">
        <v>25</v>
      </c>
      <c r="I70" s="2">
        <v>25</v>
      </c>
      <c r="J70" s="2">
        <v>25</v>
      </c>
      <c r="K70" s="2">
        <v>25</v>
      </c>
      <c r="L70" s="2">
        <v>25</v>
      </c>
      <c r="M70" s="2">
        <v>25</v>
      </c>
      <c r="N70" s="2">
        <v>25</v>
      </c>
      <c r="O70" s="2">
        <v>25</v>
      </c>
      <c r="P70" s="9"/>
      <c r="Q70" s="2">
        <f>SUM(OSRRefD21_9_4x)+IFERROR(SUM(OSRRefE21_9_4x),0)</f>
        <v>12884.189999999999</v>
      </c>
    </row>
    <row r="71" spans="1:17" s="34" customFormat="1" collapsed="1" x14ac:dyDescent="0.25">
      <c r="A71" s="35"/>
      <c r="B71" s="15" t="str">
        <f>CONCATENATE("     ","Telephone/Data Lines                              ")</f>
        <v xml:space="preserve">     Telephone/Data Lines                              </v>
      </c>
      <c r="C71" s="15"/>
      <c r="D71" s="1">
        <f>SUM(OSRRefD21_10x_0)</f>
        <v>200</v>
      </c>
      <c r="E71" s="1">
        <f>SUM(OSRRefD21_10x_1)</f>
        <v>200.75</v>
      </c>
      <c r="F71" s="1">
        <f>SUM(OSRRefD21_10x_2)</f>
        <v>265</v>
      </c>
      <c r="G71" s="1">
        <f>SUM(OSRRefD21_10x_3)</f>
        <v>193.4</v>
      </c>
      <c r="H71" s="1">
        <f>SUM(OSRRefE21_10x_0)</f>
        <v>165</v>
      </c>
      <c r="I71" s="1">
        <f>SUM(OSRRefE21_10x_1)</f>
        <v>165</v>
      </c>
      <c r="J71" s="1">
        <f>SUM(OSRRefE21_10x_2)</f>
        <v>165</v>
      </c>
      <c r="K71" s="1">
        <f>SUM(OSRRefE21_10x_3)</f>
        <v>165</v>
      </c>
      <c r="L71" s="1">
        <f>SUM(OSRRefE21_10x_4)</f>
        <v>165</v>
      </c>
      <c r="M71" s="1">
        <f>SUM(OSRRefE21_10x_5)</f>
        <v>165</v>
      </c>
      <c r="N71" s="1">
        <f>SUM(OSRRefE21_10x_6)</f>
        <v>165</v>
      </c>
      <c r="O71" s="1">
        <f>SUM(OSRRefE21_10x_7)</f>
        <v>165</v>
      </c>
      <c r="Q71" s="2">
        <f>SUM(OSRRefD20_10x)+IFERROR(SUM(OSRRefE20_10x),0)</f>
        <v>2179.15</v>
      </c>
    </row>
    <row r="72" spans="1:17" s="34" customFormat="1" hidden="1" outlineLevel="1" x14ac:dyDescent="0.25">
      <c r="A72" s="35"/>
      <c r="B72" s="13" t="str">
        <f>CONCATENATE("          ","6309", " - ","TELEPHONE")</f>
        <v xml:space="preserve">          6309 - TELEPHONE</v>
      </c>
      <c r="C72" s="15"/>
      <c r="D72" s="2">
        <v>200</v>
      </c>
      <c r="E72" s="2">
        <v>200.75</v>
      </c>
      <c r="F72" s="2">
        <v>265</v>
      </c>
      <c r="G72" s="2">
        <v>193.4</v>
      </c>
      <c r="H72" s="2">
        <v>165</v>
      </c>
      <c r="I72" s="2">
        <v>165</v>
      </c>
      <c r="J72" s="2">
        <v>165</v>
      </c>
      <c r="K72" s="2">
        <v>165</v>
      </c>
      <c r="L72" s="2">
        <v>165</v>
      </c>
      <c r="M72" s="2">
        <v>165</v>
      </c>
      <c r="N72" s="2">
        <v>165</v>
      </c>
      <c r="O72" s="2">
        <v>165</v>
      </c>
      <c r="P72" s="9"/>
      <c r="Q72" s="2">
        <f>SUM(OSRRefD21_10_0x)+IFERROR(SUM(OSRRefE21_10_0x),0)</f>
        <v>2179.15</v>
      </c>
    </row>
    <row r="73" spans="1:17" s="34" customFormat="1" collapsed="1" x14ac:dyDescent="0.25">
      <c r="A73" s="35"/>
      <c r="B73" s="15" t="str">
        <f>CONCATENATE("     ","Utilities                                         ")</f>
        <v xml:space="preserve">     Utilities                                         </v>
      </c>
      <c r="C73" s="15"/>
      <c r="D73" s="1">
        <f>SUM(OSRRefD21_11x_0)</f>
        <v>0</v>
      </c>
      <c r="E73" s="1">
        <f>SUM(OSRRefD21_11x_1)</f>
        <v>15.02</v>
      </c>
      <c r="F73" s="1">
        <f>SUM(OSRRefD21_11x_2)</f>
        <v>0</v>
      </c>
      <c r="G73" s="1">
        <f>SUM(OSRRefD21_11x_3)</f>
        <v>0</v>
      </c>
      <c r="H73" s="1">
        <f>SUM(OSRRefE21_11x_0)</f>
        <v>0</v>
      </c>
      <c r="I73" s="1">
        <f>SUM(OSRRefE21_11x_1)</f>
        <v>0</v>
      </c>
      <c r="J73" s="1">
        <f>SUM(OSRRefE21_11x_2)</f>
        <v>0</v>
      </c>
      <c r="K73" s="1">
        <f>SUM(OSRRefE21_11x_3)</f>
        <v>0</v>
      </c>
      <c r="L73" s="1">
        <f>SUM(OSRRefE21_11x_4)</f>
        <v>0</v>
      </c>
      <c r="M73" s="1">
        <f>SUM(OSRRefE21_11x_5)</f>
        <v>0</v>
      </c>
      <c r="N73" s="1">
        <f>SUM(OSRRefE21_11x_6)</f>
        <v>0</v>
      </c>
      <c r="O73" s="1">
        <f>SUM(OSRRefE21_11x_7)</f>
        <v>0</v>
      </c>
      <c r="Q73" s="2">
        <f>SUM(OSRRefD20_11x)+IFERROR(SUM(OSRRefE20_11x),0)</f>
        <v>15.02</v>
      </c>
    </row>
    <row r="74" spans="1:17" s="34" customFormat="1" hidden="1" outlineLevel="1" x14ac:dyDescent="0.25">
      <c r="A74" s="35"/>
      <c r="B74" s="13" t="str">
        <f>CONCATENATE("          ","6274", " - ","UTILITIES")</f>
        <v xml:space="preserve">          6274 - UTILITIES</v>
      </c>
      <c r="C74" s="15"/>
      <c r="D74" s="2"/>
      <c r="E74" s="2">
        <v>15.02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9"/>
      <c r="Q74" s="2">
        <f>SUM(OSRRefD21_11_0x)+IFERROR(SUM(OSRRefE21_11_0x),0)</f>
        <v>15.02</v>
      </c>
    </row>
    <row r="75" spans="1:17" s="28" customFormat="1" x14ac:dyDescent="0.25">
      <c r="A75" s="20"/>
      <c r="B75" s="20"/>
      <c r="C75" s="20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Q75" s="1"/>
    </row>
    <row r="76" spans="1:17" s="9" customFormat="1" x14ac:dyDescent="0.25">
      <c r="A76" s="22"/>
      <c r="B76" s="16" t="s">
        <v>0</v>
      </c>
      <c r="C76" s="23"/>
      <c r="D76" s="3">
        <f t="shared" ref="D76:G76" si="8">--6782</f>
        <v>6782</v>
      </c>
      <c r="E76" s="3">
        <f t="shared" si="8"/>
        <v>6782</v>
      </c>
      <c r="F76" s="3">
        <f t="shared" si="8"/>
        <v>6782</v>
      </c>
      <c r="G76" s="3">
        <f t="shared" si="8"/>
        <v>6782</v>
      </c>
      <c r="H76" s="3">
        <v>6875</v>
      </c>
      <c r="I76" s="3">
        <v>6875</v>
      </c>
      <c r="J76" s="3">
        <v>6875</v>
      </c>
      <c r="K76" s="3">
        <v>6875</v>
      </c>
      <c r="L76" s="3">
        <v>6875</v>
      </c>
      <c r="M76" s="3">
        <v>6875</v>
      </c>
      <c r="N76" s="3">
        <v>6875</v>
      </c>
      <c r="O76" s="3">
        <v>6875</v>
      </c>
      <c r="Q76" s="2">
        <f>SUM(OSRRefD23_0x)+IFERROR(SUM(OSRRefE23_0x),0)</f>
        <v>82128</v>
      </c>
    </row>
    <row r="77" spans="1:17" x14ac:dyDescent="0.25">
      <c r="A77" s="5"/>
      <c r="B77" s="8"/>
      <c r="C77" s="8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x14ac:dyDescent="0.25">
      <c r="A78" s="8"/>
      <c r="B78" s="17" t="s">
        <v>3</v>
      </c>
      <c r="C78" s="17"/>
      <c r="D78" s="6">
        <f t="shared" ref="D78:O78" si="9">IFERROR(+D24-D27+D76, 0)</f>
        <v>-37524.080000000002</v>
      </c>
      <c r="E78" s="6">
        <f t="shared" si="9"/>
        <v>104716.88</v>
      </c>
      <c r="F78" s="6">
        <f t="shared" si="9"/>
        <v>-22426.079999999994</v>
      </c>
      <c r="G78" s="6">
        <f t="shared" si="9"/>
        <v>-66669.39999999998</v>
      </c>
      <c r="H78" s="6">
        <f t="shared" si="9"/>
        <v>-23209.770657961551</v>
      </c>
      <c r="I78" s="6">
        <f t="shared" si="9"/>
        <v>-22109.770657961551</v>
      </c>
      <c r="J78" s="6">
        <f t="shared" si="9"/>
        <v>21277.485509077917</v>
      </c>
      <c r="K78" s="6">
        <f t="shared" si="9"/>
        <v>-21896.698732737706</v>
      </c>
      <c r="L78" s="6">
        <f t="shared" si="9"/>
        <v>-8146.6987327377065</v>
      </c>
      <c r="M78" s="6">
        <f t="shared" si="9"/>
        <v>-26559.873415922084</v>
      </c>
      <c r="N78" s="6">
        <f t="shared" si="9"/>
        <v>-18896.698732737706</v>
      </c>
      <c r="O78" s="6">
        <f t="shared" si="9"/>
        <v>-22289.479002737709</v>
      </c>
      <c r="Q78" s="6">
        <f>IFERROR(+Q24-Q27+Q76, 0)</f>
        <v>-143734.18442371814</v>
      </c>
    </row>
    <row r="79" spans="1:17" s="8" customFormat="1" x14ac:dyDescent="0.25">
      <c r="B79" s="16"/>
      <c r="C79" s="16"/>
      <c r="D79" s="4">
        <f t="shared" ref="D79:O79" si="10">IFERROR(D78/D10, 0)</f>
        <v>-7.7403230697192793</v>
      </c>
      <c r="E79" s="4">
        <f t="shared" si="10"/>
        <v>2.2034400528403699</v>
      </c>
      <c r="F79" s="4">
        <f t="shared" si="10"/>
        <v>-2.4630618915404341</v>
      </c>
      <c r="G79" s="4">
        <f t="shared" si="10"/>
        <v>-6.3507307645045534</v>
      </c>
      <c r="H79" s="4">
        <f t="shared" si="10"/>
        <v>-19.341475548301293</v>
      </c>
      <c r="I79" s="4">
        <f t="shared" si="10"/>
        <v>-10.049895753618888</v>
      </c>
      <c r="J79" s="4">
        <f t="shared" si="10"/>
        <v>0.52929068430542081</v>
      </c>
      <c r="K79" s="4">
        <f t="shared" si="10"/>
        <v>-6.8427183539805334</v>
      </c>
      <c r="L79" s="4">
        <f t="shared" si="10"/>
        <v>-4.7921757251398276</v>
      </c>
      <c r="M79" s="4">
        <f t="shared" si="10"/>
        <v>-15.623454950542403</v>
      </c>
      <c r="N79" s="4">
        <f t="shared" si="10"/>
        <v>-5.9052183539805334</v>
      </c>
      <c r="O79" s="4">
        <f t="shared" si="10"/>
        <v>-13.111458236904534</v>
      </c>
      <c r="P79" s="18"/>
      <c r="Q79" s="4">
        <f>IFERROR(Q78/Q10, 0)</f>
        <v>-1.1310971718492735</v>
      </c>
    </row>
    <row r="80" spans="1:17" x14ac:dyDescent="0.25">
      <c r="A80" s="5"/>
      <c r="B80" s="8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4" customFormat="1" x14ac:dyDescent="0.25">
      <c r="A81" s="25"/>
      <c r="B81" s="8" t="s">
        <v>8</v>
      </c>
      <c r="C81" s="8"/>
      <c r="D81" s="3">
        <v>2331.5700000000002</v>
      </c>
      <c r="E81" s="3">
        <v>6510.77</v>
      </c>
      <c r="F81" s="3">
        <v>2546.6</v>
      </c>
      <c r="G81" s="3">
        <v>4202.3999999999996</v>
      </c>
      <c r="H81" s="3">
        <v>3566</v>
      </c>
      <c r="I81" s="3">
        <v>4150</v>
      </c>
      <c r="J81" s="3">
        <v>14162</v>
      </c>
      <c r="K81" s="3">
        <v>8072</v>
      </c>
      <c r="L81" s="3">
        <v>5940</v>
      </c>
      <c r="M81" s="3">
        <v>9000</v>
      </c>
      <c r="N81" s="3">
        <v>9134</v>
      </c>
      <c r="O81" s="3">
        <v>-3866</v>
      </c>
      <c r="Q81" s="2">
        <f>SUM(OSRRefD28_0x)+IFERROR(SUM(OSRRefE28_0x),0)</f>
        <v>65749.34</v>
      </c>
    </row>
    <row r="82" spans="1:17" x14ac:dyDescent="0.25">
      <c r="A82" s="5"/>
      <c r="B82" s="8"/>
      <c r="C82" s="8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4" customFormat="1" ht="15.75" thickBot="1" x14ac:dyDescent="0.3">
      <c r="A83" s="8"/>
      <c r="B83" s="17" t="s">
        <v>4</v>
      </c>
      <c r="C83" s="17"/>
      <c r="D83" s="7">
        <f t="shared" ref="D83:O83" si="11">IFERROR(+D78-D81, 0)</f>
        <v>-39855.65</v>
      </c>
      <c r="E83" s="7">
        <f t="shared" si="11"/>
        <v>98206.11</v>
      </c>
      <c r="F83" s="7">
        <f t="shared" si="11"/>
        <v>-24972.679999999993</v>
      </c>
      <c r="G83" s="7">
        <f t="shared" si="11"/>
        <v>-70871.799999999974</v>
      </c>
      <c r="H83" s="7">
        <f t="shared" si="11"/>
        <v>-26775.770657961551</v>
      </c>
      <c r="I83" s="7">
        <f t="shared" si="11"/>
        <v>-26259.770657961551</v>
      </c>
      <c r="J83" s="7">
        <f t="shared" si="11"/>
        <v>7115.4855090779165</v>
      </c>
      <c r="K83" s="7">
        <f t="shared" si="11"/>
        <v>-29968.698732737706</v>
      </c>
      <c r="L83" s="7">
        <f t="shared" si="11"/>
        <v>-14086.698732737706</v>
      </c>
      <c r="M83" s="7">
        <f t="shared" si="11"/>
        <v>-35559.873415922084</v>
      </c>
      <c r="N83" s="7">
        <f t="shared" si="11"/>
        <v>-28030.698732737706</v>
      </c>
      <c r="O83" s="7">
        <f t="shared" si="11"/>
        <v>-18423.479002737709</v>
      </c>
      <c r="Q83" s="7">
        <f>IFERROR(+Q78-Q81, 0)</f>
        <v>-209483.52442371813</v>
      </c>
    </row>
    <row r="84" spans="1:17" ht="15.75" thickTop="1" x14ac:dyDescent="0.25">
      <c r="A84" s="5"/>
      <c r="B84" s="5"/>
      <c r="C84" s="5"/>
      <c r="D84" s="4">
        <f t="shared" ref="D84:O84" si="12">IFERROR(D83/D10, 0)</f>
        <v>-8.2212703723490943</v>
      </c>
      <c r="E84" s="4">
        <f t="shared" si="12"/>
        <v>2.0664412099333669</v>
      </c>
      <c r="F84" s="4">
        <f t="shared" si="12"/>
        <v>-2.7427555969493542</v>
      </c>
      <c r="G84" s="4">
        <f t="shared" si="12"/>
        <v>-6.7510390163375362</v>
      </c>
      <c r="H84" s="4">
        <f t="shared" si="12"/>
        <v>-22.313142214967961</v>
      </c>
      <c r="I84" s="4">
        <f t="shared" si="12"/>
        <v>-11.936259389982524</v>
      </c>
      <c r="J84" s="4">
        <f t="shared" si="12"/>
        <v>0.17700212709149046</v>
      </c>
      <c r="K84" s="4">
        <f t="shared" si="12"/>
        <v>-9.3652183539805325</v>
      </c>
      <c r="L84" s="4">
        <f t="shared" si="12"/>
        <v>-8.2862933721986511</v>
      </c>
      <c r="M84" s="4">
        <f t="shared" si="12"/>
        <v>-20.917572597601225</v>
      </c>
      <c r="N84" s="4">
        <f t="shared" si="12"/>
        <v>-8.7595933539805326</v>
      </c>
      <c r="O84" s="4">
        <f t="shared" si="12"/>
        <v>-10.837340589845711</v>
      </c>
      <c r="P84" s="18"/>
      <c r="Q84" s="4">
        <f>IFERROR(Q83/Q10, 0)</f>
        <v>-1.6485029151185442</v>
      </c>
    </row>
    <row r="85" spans="1:17" x14ac:dyDescent="0.25">
      <c r="A85" s="5"/>
      <c r="B85" s="5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x14ac:dyDescent="0.25">
      <c r="A86" s="5"/>
      <c r="B86" s="5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4" customFormat="1" ht="15.75" thickBot="1" x14ac:dyDescent="0.3">
      <c r="A87" s="8"/>
      <c r="B87" s="17" t="s">
        <v>5</v>
      </c>
      <c r="C87" s="17"/>
      <c r="D87" s="7">
        <f t="shared" ref="D87:O87" si="13">IFERROR(SUM(D83:D86), 0)</f>
        <v>-39863.87127037235</v>
      </c>
      <c r="E87" s="7">
        <f t="shared" si="13"/>
        <v>98208.176441209929</v>
      </c>
      <c r="F87" s="7">
        <f t="shared" si="13"/>
        <v>-24975.422755596941</v>
      </c>
      <c r="G87" s="7">
        <f t="shared" si="13"/>
        <v>-70878.551039016311</v>
      </c>
      <c r="H87" s="7">
        <f t="shared" si="13"/>
        <v>-26798.083800176519</v>
      </c>
      <c r="I87" s="7">
        <f t="shared" si="13"/>
        <v>-26271.706917351534</v>
      </c>
      <c r="J87" s="7">
        <f t="shared" si="13"/>
        <v>7115.6625112050078</v>
      </c>
      <c r="K87" s="7">
        <f t="shared" si="13"/>
        <v>-29978.063951091688</v>
      </c>
      <c r="L87" s="7">
        <f t="shared" si="13"/>
        <v>-14094.985026109905</v>
      </c>
      <c r="M87" s="7">
        <f t="shared" si="13"/>
        <v>-35580.790988519686</v>
      </c>
      <c r="N87" s="7">
        <f t="shared" si="13"/>
        <v>-28039.458326091688</v>
      </c>
      <c r="O87" s="7">
        <f t="shared" si="13"/>
        <v>-18434.316343327555</v>
      </c>
      <c r="Q87" s="7">
        <f>IFERROR(SUM(Q83:Q86), 0)</f>
        <v>-209485.17292663324</v>
      </c>
    </row>
    <row r="88" spans="1:17" ht="15.75" thickTop="1" x14ac:dyDescent="0.25">
      <c r="A88" s="5"/>
      <c r="C88" s="5"/>
      <c r="D88" s="4">
        <f t="shared" ref="D88:O88" si="14">IFERROR(D87/D10, 0)</f>
        <v>-8.2229662244186308</v>
      </c>
      <c r="E88" s="4">
        <f t="shared" si="14"/>
        <v>2.0664846917419233</v>
      </c>
      <c r="F88" s="4">
        <f t="shared" si="14"/>
        <v>-2.743056834472303</v>
      </c>
      <c r="G88" s="4">
        <f t="shared" si="14"/>
        <v>-6.75168210043869</v>
      </c>
      <c r="H88" s="4">
        <f t="shared" si="14"/>
        <v>-22.331736500147098</v>
      </c>
      <c r="I88" s="4">
        <f t="shared" si="14"/>
        <v>-11.941684962432515</v>
      </c>
      <c r="J88" s="4">
        <f t="shared" si="14"/>
        <v>0.17700653012947781</v>
      </c>
      <c r="K88" s="4">
        <f t="shared" si="14"/>
        <v>-9.3681449847161531</v>
      </c>
      <c r="L88" s="4">
        <f t="shared" si="14"/>
        <v>-8.2911676624175907</v>
      </c>
      <c r="M88" s="4">
        <f t="shared" si="14"/>
        <v>-20.929877052070402</v>
      </c>
      <c r="N88" s="4">
        <f t="shared" si="14"/>
        <v>-8.7623307269036523</v>
      </c>
      <c r="O88" s="4">
        <f t="shared" si="14"/>
        <v>-10.843715496075033</v>
      </c>
      <c r="P88" s="18"/>
      <c r="Q88" s="4">
        <f>IFERROR(Q87/Q10, 0)</f>
        <v>-1.6485158877944077</v>
      </c>
    </row>
    <row r="89" spans="1:17" x14ac:dyDescent="0.25">
      <c r="A89" s="5"/>
      <c r="B89" s="26">
        <v>44151.564860729166</v>
      </c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Q89" s="12"/>
    </row>
    <row r="90" spans="1:17" x14ac:dyDescent="0.25">
      <c r="A90" s="5"/>
      <c r="B90" s="30" t="s">
        <v>311</v>
      </c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Q90" s="12"/>
    </row>
    <row r="91" spans="1:17" x14ac:dyDescent="0.25">
      <c r="A91" s="5"/>
      <c r="B91" s="31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Q91" s="12"/>
    </row>
    <row r="92" spans="1:17" x14ac:dyDescent="0.25"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Q92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11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">
        <v>308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207967.07</v>
      </c>
      <c r="E10" s="3">
        <f>SUM(OSRRefD11x_1)</f>
        <v>491671.12000000005</v>
      </c>
      <c r="F10" s="3">
        <f>SUM(OSRRefD11x_2)</f>
        <v>263646.53999999998</v>
      </c>
      <c r="G10" s="3">
        <f>SUM(OSRRefD11x_3)</f>
        <v>172836.80000000005</v>
      </c>
      <c r="H10" s="3">
        <f>SUM(OSRRefE11x_0)</f>
        <v>129989</v>
      </c>
      <c r="I10" s="3">
        <f>SUM(OSRRefE11x_1)</f>
        <v>68443</v>
      </c>
      <c r="J10" s="3">
        <f>SUM(OSRRefE11x_2)</f>
        <v>174252</v>
      </c>
      <c r="K10" s="3">
        <f>SUM(OSRRefE11x_3)</f>
        <v>101676</v>
      </c>
      <c r="L10" s="3">
        <f>SUM(OSRRefE11x_4)</f>
        <v>92584</v>
      </c>
      <c r="M10" s="3">
        <f>SUM(OSRRefE11x_5)</f>
        <v>244117</v>
      </c>
      <c r="N10" s="3">
        <f>SUM(OSRRefE11x_6)</f>
        <v>93906</v>
      </c>
      <c r="O10" s="3">
        <f>SUM(OSRRefE11x_7)</f>
        <v>274399</v>
      </c>
      <c r="P10" s="24"/>
      <c r="Q10" s="3">
        <f>SUM(OSRRefG11x)</f>
        <v>2315487.5300000003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-370.91</f>
        <v>-370.91</v>
      </c>
      <c r="E11" s="2">
        <f>-803.28</f>
        <v>-803.28</v>
      </c>
      <c r="F11" s="2">
        <f>-549.51</f>
        <v>-549.51</v>
      </c>
      <c r="G11" s="2">
        <f>-178.39</f>
        <v>-178.39</v>
      </c>
      <c r="H11" s="2">
        <v>115690</v>
      </c>
      <c r="I11" s="2">
        <v>60914</v>
      </c>
      <c r="J11" s="2">
        <v>155084</v>
      </c>
      <c r="K11" s="2">
        <v>90492</v>
      </c>
      <c r="L11" s="2">
        <v>82400</v>
      </c>
      <c r="M11" s="2">
        <v>217264</v>
      </c>
      <c r="N11" s="2">
        <v>83576</v>
      </c>
      <c r="O11" s="2">
        <v>244215</v>
      </c>
      <c r="Q11" s="2">
        <f>SUM(OSRRefD11_0x)+IFERROR(SUM(OSRRefE11_0x),0)</f>
        <v>1047732.91</v>
      </c>
    </row>
    <row r="12" spans="1:18" s="9" customFormat="1" hidden="1" outlineLevel="1" x14ac:dyDescent="0.25">
      <c r="A12" s="22"/>
      <c r="B12" s="13" t="str">
        <f>CONCATENATE("          ","4081", " - ","TAXABLE SALES-ELECTRONICS")</f>
        <v xml:space="preserve">          4081 - TAXABLE SALES-ELECTRONICS</v>
      </c>
      <c r="C12" s="23"/>
      <c r="D12" s="2">
        <f>--21557.16</f>
        <v>21557.16</v>
      </c>
      <c r="E12" s="2">
        <f>--16305.86</f>
        <v>16305.86</v>
      </c>
      <c r="F12" s="2">
        <f>--12167.65</f>
        <v>12167.65</v>
      </c>
      <c r="G12" s="2">
        <f>--5014.67</f>
        <v>5014.67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55045.340000000004</v>
      </c>
    </row>
    <row r="13" spans="1:18" s="9" customFormat="1" hidden="1" outlineLevel="1" x14ac:dyDescent="0.25">
      <c r="A13" s="22"/>
      <c r="B13" s="13" t="str">
        <f>CONCATENATE("          ","4082", " - ","TAXABLE SALES-COMPUTER HARDWAR")</f>
        <v xml:space="preserve">          4082 - TAXABLE SALES-COMPUTER HARDWAR</v>
      </c>
      <c r="C13" s="23"/>
      <c r="D13" s="2">
        <f>--137228.87</f>
        <v>137228.87</v>
      </c>
      <c r="E13" s="2">
        <f>--403983.14</f>
        <v>403983.14</v>
      </c>
      <c r="F13" s="2">
        <f>--198101.2</f>
        <v>198101.2</v>
      </c>
      <c r="G13" s="2">
        <f>--152786.78</f>
        <v>152786.78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892099.99</v>
      </c>
    </row>
    <row r="14" spans="1:18" s="9" customFormat="1" hidden="1" outlineLevel="1" x14ac:dyDescent="0.25">
      <c r="A14" s="22"/>
      <c r="B14" s="13" t="str">
        <f>CONCATENATE("          ","4083", " - ","TAXABLE SALES-COMPUTER EQUIPME")</f>
        <v xml:space="preserve">          4083 - TAXABLE SALES-COMPUTER EQUIPME</v>
      </c>
      <c r="C14" s="23"/>
      <c r="D14" s="2">
        <f>--6790.15</f>
        <v>6790.15</v>
      </c>
      <c r="E14" s="2">
        <f>--42925.21</f>
        <v>42925.21</v>
      </c>
      <c r="F14" s="2">
        <f>--18937.34</f>
        <v>18937.34</v>
      </c>
      <c r="G14" s="2">
        <f>--3392.4</f>
        <v>3392.4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72045.099999999991</v>
      </c>
    </row>
    <row r="15" spans="1:18" s="9" customFormat="1" hidden="1" outlineLevel="1" x14ac:dyDescent="0.25">
      <c r="A15" s="22"/>
      <c r="B15" s="13" t="str">
        <f>CONCATENATE("          ","4085", " - ","TAXABLE SALES-SOFTWARE")</f>
        <v xml:space="preserve">          4085 - TAXABLE SALES-SOFTWARE</v>
      </c>
      <c r="C15" s="23"/>
      <c r="D15" s="2">
        <f>0</f>
        <v>0</v>
      </c>
      <c r="E15" s="2">
        <f>--129</f>
        <v>129</v>
      </c>
      <c r="F15" s="2">
        <f>--852.96</f>
        <v>852.96</v>
      </c>
      <c r="G15" s="2">
        <f>--139</f>
        <v>139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1120.96</v>
      </c>
    </row>
    <row r="16" spans="1:18" s="9" customFormat="1" hidden="1" outlineLevel="1" x14ac:dyDescent="0.25">
      <c r="A16" s="22"/>
      <c r="B16" s="13" t="str">
        <f>CONCATENATE("          ","4086", " - ","TAXABLE SALES-COMPUTER SUPPLIE")</f>
        <v xml:space="preserve">          4086 - TAXABLE SALES-COMPUTER SUPPLIE</v>
      </c>
      <c r="C16" s="23"/>
      <c r="D16" s="2">
        <f>--25959.21</f>
        <v>25959.21</v>
      </c>
      <c r="E16" s="2">
        <f>--1308.27</f>
        <v>1308.27</v>
      </c>
      <c r="F16" s="2">
        <f>--713.93</f>
        <v>713.93</v>
      </c>
      <c r="G16" s="2">
        <f>--1385.25</f>
        <v>1385.25</v>
      </c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29366.66</v>
      </c>
    </row>
    <row r="17" spans="1:17" s="9" customFormat="1" hidden="1" outlineLevel="1" x14ac:dyDescent="0.25">
      <c r="A17" s="22"/>
      <c r="B17" s="13" t="str">
        <f>CONCATENATE("          ","4100", " - ","NON-TAXABLE SALES")</f>
        <v xml:space="preserve">          4100 - NON-TAXABLE SALES</v>
      </c>
      <c r="C17" s="23"/>
      <c r="D17" s="2">
        <f t="shared" ref="D17:G17" si="0">0</f>
        <v>0</v>
      </c>
      <c r="E17" s="2">
        <f t="shared" si="0"/>
        <v>0</v>
      </c>
      <c r="F17" s="2">
        <f t="shared" si="0"/>
        <v>0</v>
      </c>
      <c r="G17" s="2">
        <f t="shared" si="0"/>
        <v>0</v>
      </c>
      <c r="H17" s="2">
        <v>14299</v>
      </c>
      <c r="I17" s="2">
        <v>7529</v>
      </c>
      <c r="J17" s="2">
        <v>19168</v>
      </c>
      <c r="K17" s="2">
        <v>11184</v>
      </c>
      <c r="L17" s="2">
        <v>10184</v>
      </c>
      <c r="M17" s="2">
        <v>26853</v>
      </c>
      <c r="N17" s="2">
        <v>10330</v>
      </c>
      <c r="O17" s="2">
        <v>30184</v>
      </c>
      <c r="Q17" s="2">
        <f>SUM(OSRRefD11_6x)+IFERROR(SUM(OSRRefE11_6x),0)</f>
        <v>129731</v>
      </c>
    </row>
    <row r="18" spans="1:17" s="9" customFormat="1" hidden="1" outlineLevel="1" x14ac:dyDescent="0.25">
      <c r="A18" s="22"/>
      <c r="B18" s="13" t="str">
        <f>CONCATENATE("          ","4181", " - ","NON-TAXABLE SALES-ELECTRONICS")</f>
        <v xml:space="preserve">          4181 - NON-TAXABLE SALES-ELECTRONICS</v>
      </c>
      <c r="C18" s="23"/>
      <c r="D18" s="2">
        <f>--289.98</f>
        <v>289.98</v>
      </c>
      <c r="E18" s="2">
        <f>--2349.29</f>
        <v>2349.29</v>
      </c>
      <c r="F18" s="2">
        <f>--669.89</f>
        <v>669.89</v>
      </c>
      <c r="G18" s="2">
        <f>--194.97</f>
        <v>194.97</v>
      </c>
      <c r="H18" s="2"/>
      <c r="I18" s="2"/>
      <c r="J18" s="2"/>
      <c r="K18" s="2"/>
      <c r="L18" s="2"/>
      <c r="M18" s="2"/>
      <c r="N18" s="2"/>
      <c r="O18" s="2"/>
      <c r="Q18" s="2">
        <f>SUM(OSRRefD11_7x)+IFERROR(SUM(OSRRefE11_7x),0)</f>
        <v>3504.1299999999997</v>
      </c>
    </row>
    <row r="19" spans="1:17" s="9" customFormat="1" hidden="1" outlineLevel="1" x14ac:dyDescent="0.25">
      <c r="A19" s="22"/>
      <c r="B19" s="13" t="str">
        <f>CONCATENATE("          ","4182", " - ","NON-TAXABLE SALES-COMPUTER HAR")</f>
        <v xml:space="preserve">          4182 - NON-TAXABLE SALES-COMPUTER HAR</v>
      </c>
      <c r="C19" s="23"/>
      <c r="D19" s="2">
        <f>--35876.99</f>
        <v>35876.99</v>
      </c>
      <c r="E19" s="2">
        <f>--46190.39</f>
        <v>46190.39</v>
      </c>
      <c r="F19" s="2">
        <f>--38657</f>
        <v>38657</v>
      </c>
      <c r="G19" s="2">
        <f>--24570</f>
        <v>24570</v>
      </c>
      <c r="H19" s="2"/>
      <c r="I19" s="2"/>
      <c r="J19" s="2"/>
      <c r="K19" s="2"/>
      <c r="L19" s="2"/>
      <c r="M19" s="2"/>
      <c r="N19" s="2"/>
      <c r="O19" s="2"/>
      <c r="Q19" s="2">
        <f>SUM(OSRRefD11_8x)+IFERROR(SUM(OSRRefE11_8x),0)</f>
        <v>145294.38</v>
      </c>
    </row>
    <row r="20" spans="1:17" s="9" customFormat="1" hidden="1" outlineLevel="1" x14ac:dyDescent="0.25">
      <c r="A20" s="22"/>
      <c r="B20" s="13" t="str">
        <f>CONCATENATE("          ","4183", " - ","NON-TAXABLE SALES-COMPUTER EQU")</f>
        <v xml:space="preserve">          4183 - NON-TAXABLE SALES-COMPUTER EQU</v>
      </c>
      <c r="C20" s="23"/>
      <c r="D20" s="2">
        <f>--1359.85</f>
        <v>1359.85</v>
      </c>
      <c r="E20" s="2">
        <f>--1759.83</f>
        <v>1759.83</v>
      </c>
      <c r="F20" s="2">
        <f>--1946.8</f>
        <v>1946.8</v>
      </c>
      <c r="G20" s="2">
        <f>--1269.91</f>
        <v>1269.9100000000001</v>
      </c>
      <c r="H20" s="2"/>
      <c r="I20" s="2"/>
      <c r="J20" s="2"/>
      <c r="K20" s="2"/>
      <c r="L20" s="2"/>
      <c r="M20" s="2"/>
      <c r="N20" s="2"/>
      <c r="O20" s="2"/>
      <c r="Q20" s="2">
        <f>SUM(OSRRefD11_9x)+IFERROR(SUM(OSRRefE11_9x),0)</f>
        <v>6336.3899999999994</v>
      </c>
    </row>
    <row r="21" spans="1:17" s="9" customFormat="1" hidden="1" outlineLevel="1" x14ac:dyDescent="0.25">
      <c r="A21" s="22"/>
      <c r="B21" s="13" t="str">
        <f>CONCATENATE("          ","4185", " - ","NON-TAXABLE SALES-SOFTWARE")</f>
        <v xml:space="preserve">          4185 - NON-TAXABLE SALES-SOFTWARE</v>
      </c>
      <c r="C21" s="23"/>
      <c r="D21" s="2">
        <f>--6187.74</f>
        <v>6187.74</v>
      </c>
      <c r="E21" s="2">
        <f>--4610.75</f>
        <v>4610.75</v>
      </c>
      <c r="F21" s="2">
        <f>--8427.6</f>
        <v>8427.6</v>
      </c>
      <c r="G21" s="2">
        <f>--4590.76</f>
        <v>4590.76</v>
      </c>
      <c r="H21" s="2"/>
      <c r="I21" s="2"/>
      <c r="J21" s="2"/>
      <c r="K21" s="2"/>
      <c r="L21" s="2"/>
      <c r="M21" s="2"/>
      <c r="N21" s="2"/>
      <c r="O21" s="2"/>
      <c r="Q21" s="2">
        <f>SUM(OSRRefD11_10x)+IFERROR(SUM(OSRRefE11_10x),0)</f>
        <v>23816.85</v>
      </c>
    </row>
    <row r="22" spans="1:17" s="9" customFormat="1" hidden="1" outlineLevel="1" x14ac:dyDescent="0.25">
      <c r="A22" s="22"/>
      <c r="B22" s="13" t="str">
        <f>CONCATENATE("          ","4186", " - ","NON-TAXABLE SALES-COMPUTER SUP")</f>
        <v xml:space="preserve">          4186 - NON-TAXABLE SALES-COMPUTER SUP</v>
      </c>
      <c r="C22" s="23"/>
      <c r="D22" s="2">
        <f>--154.95</f>
        <v>154.94999999999999</v>
      </c>
      <c r="E22" s="2">
        <f>--257.95</f>
        <v>257.95</v>
      </c>
      <c r="F22" s="2">
        <f>--460.89</f>
        <v>460.89</v>
      </c>
      <c r="G22" s="2">
        <f>--855.98</f>
        <v>855.98</v>
      </c>
      <c r="H22" s="2"/>
      <c r="I22" s="2"/>
      <c r="J22" s="2"/>
      <c r="K22" s="2"/>
      <c r="L22" s="2"/>
      <c r="M22" s="2"/>
      <c r="N22" s="2"/>
      <c r="O22" s="2"/>
      <c r="Q22" s="2">
        <f>SUM(OSRRefD11_11x)+IFERROR(SUM(OSRRefE11_11x),0)</f>
        <v>1729.77</v>
      </c>
    </row>
    <row r="23" spans="1:17" s="9" customFormat="1" hidden="1" outlineLevel="1" x14ac:dyDescent="0.25">
      <c r="A23" s="22"/>
      <c r="B23" s="13" t="str">
        <f>CONCATENATE("          ","4281", " - ","SALES RETURN TAXABLE-ELECTRONI")</f>
        <v xml:space="preserve">          4281 - SALES RETURN TAXABLE-ELECTRONI</v>
      </c>
      <c r="C23" s="23"/>
      <c r="D23" s="2">
        <f>-6291.99</f>
        <v>-6291.99</v>
      </c>
      <c r="E23" s="2">
        <f>-7424.23</f>
        <v>-7424.23</v>
      </c>
      <c r="F23" s="2">
        <f>-557.94</f>
        <v>-557.94000000000005</v>
      </c>
      <c r="G23" s="2">
        <f>-357.99</f>
        <v>-357.99</v>
      </c>
      <c r="H23" s="2"/>
      <c r="I23" s="2"/>
      <c r="J23" s="2"/>
      <c r="K23" s="2"/>
      <c r="L23" s="2"/>
      <c r="M23" s="2"/>
      <c r="N23" s="2"/>
      <c r="O23" s="2"/>
      <c r="Q23" s="2">
        <f>SUM(OSRRefD11_12x)+IFERROR(SUM(OSRRefE11_12x),0)</f>
        <v>-14632.15</v>
      </c>
    </row>
    <row r="24" spans="1:17" s="9" customFormat="1" hidden="1" outlineLevel="1" x14ac:dyDescent="0.25">
      <c r="A24" s="22"/>
      <c r="B24" s="13" t="str">
        <f>CONCATENATE("          ","4282", " - ","SALES RETURN TAXABLE-COMPUTER")</f>
        <v xml:space="preserve">          4282 - SALES RETURN TAXABLE-COMPUTER</v>
      </c>
      <c r="C24" s="23"/>
      <c r="D24" s="2">
        <f>-18207</f>
        <v>-18207</v>
      </c>
      <c r="E24" s="2">
        <f>-15442</f>
        <v>-15442</v>
      </c>
      <c r="F24" s="2">
        <f>-14636</f>
        <v>-14636</v>
      </c>
      <c r="G24" s="2">
        <f>-20038</f>
        <v>-20038</v>
      </c>
      <c r="H24" s="2"/>
      <c r="I24" s="2"/>
      <c r="J24" s="2"/>
      <c r="K24" s="2"/>
      <c r="L24" s="2"/>
      <c r="M24" s="2"/>
      <c r="N24" s="2"/>
      <c r="O24" s="2"/>
      <c r="Q24" s="2">
        <f>SUM(OSRRefD11_13x)+IFERROR(SUM(OSRRefE11_13x),0)</f>
        <v>-68323</v>
      </c>
    </row>
    <row r="25" spans="1:17" s="9" customFormat="1" hidden="1" outlineLevel="1" x14ac:dyDescent="0.25">
      <c r="A25" s="22"/>
      <c r="B25" s="13" t="str">
        <f>CONCATENATE("          ","4283", " - ","SALES RETURN TAXABLE-COMPUTER")</f>
        <v xml:space="preserve">          4283 - SALES RETURN TAXABLE-COMPUTER</v>
      </c>
      <c r="C25" s="23"/>
      <c r="D25" s="2">
        <f>-818.93</f>
        <v>-818.93</v>
      </c>
      <c r="E25" s="2">
        <f>-699.9</f>
        <v>-699.9</v>
      </c>
      <c r="F25" s="2">
        <f>-483.9</f>
        <v>-483.9</v>
      </c>
      <c r="G25" s="2">
        <f>-629.58</f>
        <v>-629.58000000000004</v>
      </c>
      <c r="H25" s="2"/>
      <c r="I25" s="2"/>
      <c r="J25" s="2"/>
      <c r="K25" s="2"/>
      <c r="L25" s="2"/>
      <c r="M25" s="2"/>
      <c r="N25" s="2"/>
      <c r="O25" s="2"/>
      <c r="Q25" s="2">
        <f>SUM(OSRRefD11_14x)+IFERROR(SUM(OSRRefE11_14x),0)</f>
        <v>-2632.31</v>
      </c>
    </row>
    <row r="26" spans="1:17" s="9" customFormat="1" hidden="1" outlineLevel="1" x14ac:dyDescent="0.25">
      <c r="A26" s="22"/>
      <c r="B26" s="13" t="str">
        <f>CONCATENATE("          ","4285", " - ","SALES RETURN TAXABLE-SOFTWARE")</f>
        <v xml:space="preserve">          4285 - SALES RETURN TAXABLE-SOFTWARE</v>
      </c>
      <c r="C26" s="23"/>
      <c r="D26" s="2">
        <f t="shared" ref="D26:D27" si="1">0</f>
        <v>0</v>
      </c>
      <c r="E26" s="2">
        <f>0</f>
        <v>0</v>
      </c>
      <c r="F26" s="2">
        <f>-552.98</f>
        <v>-552.98</v>
      </c>
      <c r="G26" s="2">
        <f>0</f>
        <v>0</v>
      </c>
      <c r="H26" s="2"/>
      <c r="I26" s="2"/>
      <c r="J26" s="2"/>
      <c r="K26" s="2"/>
      <c r="L26" s="2"/>
      <c r="M26" s="2"/>
      <c r="N26" s="2"/>
      <c r="O26" s="2"/>
      <c r="Q26" s="2">
        <f>SUM(OSRRefD11_15x)+IFERROR(SUM(OSRRefE11_15x),0)</f>
        <v>-552.98</v>
      </c>
    </row>
    <row r="27" spans="1:17" s="9" customFormat="1" hidden="1" outlineLevel="1" x14ac:dyDescent="0.25">
      <c r="A27" s="22"/>
      <c r="B27" s="13" t="str">
        <f>CONCATENATE("          ","4286", " - ","SALES RETURN TAXABLE-COMPUTER")</f>
        <v xml:space="preserve">          4286 - SALES RETURN TAXABLE-COMPUTER</v>
      </c>
      <c r="C27" s="23"/>
      <c r="D27" s="2">
        <f t="shared" si="1"/>
        <v>0</v>
      </c>
      <c r="E27" s="2">
        <f>-153.96</f>
        <v>-153.96</v>
      </c>
      <c r="F27" s="2">
        <f>-258.44</f>
        <v>-258.44</v>
      </c>
      <c r="G27" s="2">
        <f>-158.96</f>
        <v>-158.96</v>
      </c>
      <c r="H27" s="2"/>
      <c r="I27" s="2"/>
      <c r="J27" s="2"/>
      <c r="K27" s="2"/>
      <c r="L27" s="2"/>
      <c r="M27" s="2"/>
      <c r="N27" s="2"/>
      <c r="O27" s="2"/>
      <c r="Q27" s="2">
        <f>SUM(OSRRefD11_16x)+IFERROR(SUM(OSRRefE11_16x),0)</f>
        <v>-571.36</v>
      </c>
    </row>
    <row r="28" spans="1:17" s="9" customFormat="1" hidden="1" outlineLevel="1" x14ac:dyDescent="0.25">
      <c r="A28" s="22"/>
      <c r="B28" s="13" t="str">
        <f>CONCATENATE("          ","4381", " - ","SALES RETURN NON TAXABLE-ELECT")</f>
        <v xml:space="preserve">          4381 - SALES RETURN NON TAXABLE-ELECT</v>
      </c>
      <c r="C28" s="23"/>
      <c r="D28" s="2">
        <f>-1749</f>
        <v>-1749</v>
      </c>
      <c r="E28" s="2">
        <f>-3625.2</f>
        <v>-3625.2</v>
      </c>
      <c r="F28" s="2">
        <f>-249.95</f>
        <v>-249.95</v>
      </c>
      <c r="G28" s="2">
        <f>0</f>
        <v>0</v>
      </c>
      <c r="H28" s="2"/>
      <c r="I28" s="2"/>
      <c r="J28" s="2"/>
      <c r="K28" s="2"/>
      <c r="L28" s="2"/>
      <c r="M28" s="2"/>
      <c r="N28" s="2"/>
      <c r="O28" s="2"/>
      <c r="Q28" s="2">
        <f>SUM(OSRRefD11_17x)+IFERROR(SUM(OSRRefE11_17x),0)</f>
        <v>-5624.15</v>
      </c>
    </row>
    <row r="29" spans="1:17" x14ac:dyDescent="0.25">
      <c r="A29" s="5"/>
      <c r="B29" s="8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9" customFormat="1" collapsed="1" x14ac:dyDescent="0.25">
      <c r="A30" s="22"/>
      <c r="B30" s="16" t="s">
        <v>290</v>
      </c>
      <c r="C30" s="23"/>
      <c r="D30" s="3">
        <f>SUM(OSRRefD14x_0)</f>
        <v>183956.00000000006</v>
      </c>
      <c r="E30" s="3">
        <f>SUM(OSRRefD14x_1)</f>
        <v>478464</v>
      </c>
      <c r="F30" s="3">
        <f>SUM(OSRRefD14x_2)</f>
        <v>262131.99999999991</v>
      </c>
      <c r="G30" s="3">
        <f>SUM(OSRRefD14x_3)</f>
        <v>156723</v>
      </c>
      <c r="H30" s="3">
        <f>SUM(OSRRefE14x_0)</f>
        <v>123489</v>
      </c>
      <c r="I30" s="3">
        <f>SUM(OSRRefE14x_1)</f>
        <v>65020</v>
      </c>
      <c r="J30" s="3">
        <f>SUM(OSRRefE14x_2)</f>
        <v>165539</v>
      </c>
      <c r="K30" s="3">
        <f>SUM(OSRRefE14x_3)</f>
        <v>96593</v>
      </c>
      <c r="L30" s="3">
        <f>SUM(OSRRefE14x_4)</f>
        <v>87956</v>
      </c>
      <c r="M30" s="3">
        <f>SUM(OSRRefE14x_5)</f>
        <v>231911</v>
      </c>
      <c r="N30" s="3">
        <f>SUM(OSRRefE14x_6)</f>
        <v>89210</v>
      </c>
      <c r="O30" s="3">
        <f>SUM(OSRRefE14x_7)</f>
        <v>260679</v>
      </c>
      <c r="Q30" s="3">
        <f>SUM(OSRRefG14x)</f>
        <v>2201672.0000000005</v>
      </c>
    </row>
    <row r="31" spans="1:17" s="9" customFormat="1" hidden="1" outlineLevel="1" x14ac:dyDescent="0.25">
      <c r="A31" s="22"/>
      <c r="B31" s="13" t="str">
        <f>CONCATENATE("          ","5000", " - ","PURCHASES @ COST")</f>
        <v xml:space="preserve">          5000 - PURCHASES @ COST</v>
      </c>
      <c r="C31" s="23"/>
      <c r="D31" s="2"/>
      <c r="E31" s="2"/>
      <c r="F31" s="2"/>
      <c r="G31" s="2"/>
      <c r="H31" s="2">
        <v>123489</v>
      </c>
      <c r="I31" s="2">
        <v>65020</v>
      </c>
      <c r="J31" s="2">
        <v>165539</v>
      </c>
      <c r="K31" s="2">
        <v>96593</v>
      </c>
      <c r="L31" s="2">
        <v>87956</v>
      </c>
      <c r="M31" s="2">
        <v>231911</v>
      </c>
      <c r="N31" s="2">
        <v>89210</v>
      </c>
      <c r="O31" s="2">
        <v>260679</v>
      </c>
      <c r="Q31" s="2">
        <f>SUM(OSRRefD14_0x)+IFERROR(SUM(OSRRefE14_0x),0)</f>
        <v>1120397</v>
      </c>
    </row>
    <row r="32" spans="1:17" s="9" customFormat="1" hidden="1" outlineLevel="1" x14ac:dyDescent="0.25">
      <c r="A32" s="22"/>
      <c r="B32" s="13" t="str">
        <f>CONCATENATE("          ","5081", " - ","PURCHASES @ COST-ELECTRONICS")</f>
        <v xml:space="preserve">          5081 - PURCHASES @ COST-ELECTRONICS</v>
      </c>
      <c r="C32" s="23"/>
      <c r="D32" s="2">
        <v>6676.92</v>
      </c>
      <c r="E32" s="2">
        <v>745.55</v>
      </c>
      <c r="F32" s="2">
        <v>8274.98</v>
      </c>
      <c r="G32" s="2">
        <v>6249.76</v>
      </c>
      <c r="H32" s="2"/>
      <c r="I32" s="2"/>
      <c r="J32" s="2"/>
      <c r="K32" s="2"/>
      <c r="L32" s="2"/>
      <c r="M32" s="2"/>
      <c r="N32" s="2"/>
      <c r="O32" s="2"/>
      <c r="Q32" s="2">
        <f>SUM(OSRRefD14_1x)+IFERROR(SUM(OSRRefE14_1x),0)</f>
        <v>21947.21</v>
      </c>
    </row>
    <row r="33" spans="1:17" s="9" customFormat="1" hidden="1" outlineLevel="1" x14ac:dyDescent="0.25">
      <c r="A33" s="22"/>
      <c r="B33" s="13" t="str">
        <f>CONCATENATE("          ","5082", " - ","PURCHASES @ COST-COMPUTER HARD")</f>
        <v xml:space="preserve">          5082 - PURCHASES @ COST-COMPUTER HARD</v>
      </c>
      <c r="C33" s="23"/>
      <c r="D33" s="2">
        <v>186472.57</v>
      </c>
      <c r="E33" s="2">
        <v>56751.23</v>
      </c>
      <c r="F33" s="2">
        <v>470149.41</v>
      </c>
      <c r="G33" s="2">
        <v>175404.87</v>
      </c>
      <c r="H33" s="2"/>
      <c r="I33" s="2"/>
      <c r="J33" s="2"/>
      <c r="K33" s="2"/>
      <c r="L33" s="2"/>
      <c r="M33" s="2"/>
      <c r="N33" s="2"/>
      <c r="O33" s="2"/>
      <c r="Q33" s="2">
        <f>SUM(OSRRefD14_2x)+IFERROR(SUM(OSRRefE14_2x),0)</f>
        <v>888778.08</v>
      </c>
    </row>
    <row r="34" spans="1:17" s="9" customFormat="1" hidden="1" outlineLevel="1" x14ac:dyDescent="0.25">
      <c r="A34" s="22"/>
      <c r="B34" s="13" t="str">
        <f>CONCATENATE("          ","5083", " - ","PURCHASES @ COST-COMPUTER EQUI")</f>
        <v xml:space="preserve">          5083 - PURCHASES @ COST-COMPUTER EQUI</v>
      </c>
      <c r="C34" s="23"/>
      <c r="D34" s="2">
        <v>29938.300000000003</v>
      </c>
      <c r="E34" s="2">
        <v>7340.55</v>
      </c>
      <c r="F34" s="2">
        <v>24155.15</v>
      </c>
      <c r="G34" s="2">
        <v>11838.95</v>
      </c>
      <c r="H34" s="2"/>
      <c r="I34" s="2"/>
      <c r="J34" s="2"/>
      <c r="K34" s="2"/>
      <c r="L34" s="2"/>
      <c r="M34" s="2"/>
      <c r="N34" s="2"/>
      <c r="O34" s="2"/>
      <c r="Q34" s="2">
        <f>SUM(OSRRefD14_3x)+IFERROR(SUM(OSRRefE14_3x),0)</f>
        <v>73272.950000000012</v>
      </c>
    </row>
    <row r="35" spans="1:17" s="9" customFormat="1" hidden="1" outlineLevel="1" x14ac:dyDescent="0.25">
      <c r="A35" s="22"/>
      <c r="B35" s="13" t="str">
        <f>CONCATENATE("          ","5085", " - ","PURCHASES @ COST-SOFTWARE")</f>
        <v xml:space="preserve">          5085 - PURCHASES @ COST-SOFTWARE</v>
      </c>
      <c r="C35" s="23"/>
      <c r="D35" s="2">
        <v>3864.34</v>
      </c>
      <c r="E35" s="2">
        <v>2364.2199999999998</v>
      </c>
      <c r="F35" s="2">
        <v>8609.1200000000008</v>
      </c>
      <c r="G35" s="2">
        <v>5843.52</v>
      </c>
      <c r="H35" s="2"/>
      <c r="I35" s="2"/>
      <c r="J35" s="2"/>
      <c r="K35" s="2"/>
      <c r="L35" s="2"/>
      <c r="M35" s="2"/>
      <c r="N35" s="2"/>
      <c r="O35" s="2"/>
      <c r="Q35" s="2">
        <f>SUM(OSRRefD14_4x)+IFERROR(SUM(OSRRefE14_4x),0)</f>
        <v>20681.2</v>
      </c>
    </row>
    <row r="36" spans="1:17" s="9" customFormat="1" hidden="1" outlineLevel="1" x14ac:dyDescent="0.25">
      <c r="A36" s="22"/>
      <c r="B36" s="13" t="str">
        <f>CONCATENATE("          ","5086", " - ","PURCHASES @ COST-COMPUTER SUPP")</f>
        <v xml:space="preserve">          5086 - PURCHASES @ COST-COMPUTER SUPP</v>
      </c>
      <c r="C36" s="23"/>
      <c r="D36" s="2">
        <v>87.25</v>
      </c>
      <c r="E36" s="2">
        <v>21649.96</v>
      </c>
      <c r="F36" s="2">
        <v>18.760000000000002</v>
      </c>
      <c r="G36" s="2">
        <v>773.47</v>
      </c>
      <c r="H36" s="2"/>
      <c r="I36" s="2"/>
      <c r="J36" s="2"/>
      <c r="K36" s="2"/>
      <c r="L36" s="2"/>
      <c r="M36" s="2"/>
      <c r="N36" s="2"/>
      <c r="O36" s="2"/>
      <c r="Q36" s="2">
        <f>SUM(OSRRefD14_5x)+IFERROR(SUM(OSRRefE14_5x),0)</f>
        <v>22529.439999999999</v>
      </c>
    </row>
    <row r="37" spans="1:17" s="9" customFormat="1" hidden="1" outlineLevel="1" x14ac:dyDescent="0.25">
      <c r="A37" s="22"/>
      <c r="B37" s="13" t="str">
        <f>CONCATENATE("          ","5200", " - ","PURCHASES OFFSET")</f>
        <v xml:space="preserve">          5200 - PURCHASES OFFSET</v>
      </c>
      <c r="C37" s="23"/>
      <c r="D37" s="2">
        <v>-227056.77</v>
      </c>
      <c r="E37" s="2">
        <v>-88875.62999999999</v>
      </c>
      <c r="F37" s="2">
        <v>-511387.42000000004</v>
      </c>
      <c r="G37" s="2">
        <v>-200232.35</v>
      </c>
      <c r="H37" s="2"/>
      <c r="I37" s="2"/>
      <c r="J37" s="2"/>
      <c r="K37" s="2"/>
      <c r="L37" s="2"/>
      <c r="M37" s="2"/>
      <c r="N37" s="2"/>
      <c r="O37" s="2"/>
      <c r="Q37" s="2">
        <f>SUM(OSRRefD14_6x)+IFERROR(SUM(OSRRefE14_6x),0)</f>
        <v>-1027552.17</v>
      </c>
    </row>
    <row r="38" spans="1:17" s="9" customFormat="1" hidden="1" outlineLevel="1" x14ac:dyDescent="0.25">
      <c r="A38" s="22"/>
      <c r="B38" s="13" t="str">
        <f>CONCATENATE("          ","5300", " - ","COG$ OFFSET")</f>
        <v xml:space="preserve">          5300 - COG$ OFFSET</v>
      </c>
      <c r="C38" s="23"/>
      <c r="D38" s="2">
        <v>183956</v>
      </c>
      <c r="E38" s="2">
        <v>478464</v>
      </c>
      <c r="F38" s="2">
        <v>262131.99999999997</v>
      </c>
      <c r="G38" s="2">
        <v>156723</v>
      </c>
      <c r="H38" s="2"/>
      <c r="I38" s="2"/>
      <c r="J38" s="2"/>
      <c r="K38" s="2"/>
      <c r="L38" s="2"/>
      <c r="M38" s="2"/>
      <c r="N38" s="2"/>
      <c r="O38" s="2"/>
      <c r="Q38" s="2">
        <f>SUM(OSRRefD14_7x)+IFERROR(SUM(OSRRefE14_7x),0)</f>
        <v>1081275</v>
      </c>
    </row>
    <row r="39" spans="1:17" s="9" customFormat="1" hidden="1" outlineLevel="1" x14ac:dyDescent="0.25">
      <c r="A39" s="22"/>
      <c r="B39" s="13" t="str">
        <f>CONCATENATE("          ","5582", " - ","FREIGHT-IN-COMPUTER HARDWARE")</f>
        <v xml:space="preserve">          5582 - FREIGHT-IN-COMPUTER HARDWARE</v>
      </c>
      <c r="C39" s="23"/>
      <c r="D39" s="2"/>
      <c r="E39" s="2"/>
      <c r="F39" s="2">
        <v>24</v>
      </c>
      <c r="G39" s="2">
        <v>70</v>
      </c>
      <c r="H39" s="2"/>
      <c r="I39" s="2"/>
      <c r="J39" s="2"/>
      <c r="K39" s="2"/>
      <c r="L39" s="2"/>
      <c r="M39" s="2"/>
      <c r="N39" s="2"/>
      <c r="O39" s="2"/>
      <c r="Q39" s="2">
        <f>SUM(OSRRefD14_8x)+IFERROR(SUM(OSRRefE14_8x),0)</f>
        <v>94</v>
      </c>
    </row>
    <row r="40" spans="1:17" s="9" customFormat="1" hidden="1" outlineLevel="1" x14ac:dyDescent="0.25">
      <c r="A40" s="22"/>
      <c r="B40" s="13" t="str">
        <f>CONCATENATE("          ","5583", " - ","FREIGHT-IN-COMPUTER EQUIPMENT")</f>
        <v xml:space="preserve">          5583 - FREIGHT-IN-COMPUTER EQUIPMENT</v>
      </c>
      <c r="C40" s="23"/>
      <c r="D40" s="2">
        <v>17.39</v>
      </c>
      <c r="E40" s="2"/>
      <c r="F40" s="2">
        <v>156</v>
      </c>
      <c r="G40" s="2">
        <v>51.78</v>
      </c>
      <c r="H40" s="2"/>
      <c r="I40" s="2"/>
      <c r="J40" s="2"/>
      <c r="K40" s="2"/>
      <c r="L40" s="2"/>
      <c r="M40" s="2"/>
      <c r="N40" s="2"/>
      <c r="O40" s="2"/>
      <c r="Q40" s="2">
        <f>SUM(OSRRefD14_9x)+IFERROR(SUM(OSRRefE14_9x),0)</f>
        <v>225.17</v>
      </c>
    </row>
    <row r="41" spans="1:17" s="9" customFormat="1" hidden="1" outlineLevel="1" x14ac:dyDescent="0.25">
      <c r="A41" s="22"/>
      <c r="B41" s="13" t="str">
        <f>CONCATENATE("          ","5586", " - ","FREIGHT-IN-COMPUTER SUPPLIES")</f>
        <v xml:space="preserve">          5586 - FREIGHT-IN-COMPUTER SUPPLIES</v>
      </c>
      <c r="C41" s="23"/>
      <c r="D41" s="2"/>
      <c r="E41" s="2">
        <v>24.12</v>
      </c>
      <c r="F41" s="2"/>
      <c r="G41" s="2"/>
      <c r="H41" s="2"/>
      <c r="I41" s="2"/>
      <c r="J41" s="2"/>
      <c r="K41" s="2"/>
      <c r="L41" s="2"/>
      <c r="M41" s="2"/>
      <c r="N41" s="2"/>
      <c r="O41" s="2"/>
      <c r="Q41" s="2">
        <f>SUM(OSRRefD14_10x)+IFERROR(SUM(OSRRefE14_10x),0)</f>
        <v>24.12</v>
      </c>
    </row>
    <row r="42" spans="1:17" x14ac:dyDescent="0.25">
      <c r="A42" s="5"/>
      <c r="B42" s="8"/>
      <c r="C42" s="8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Q42" s="3"/>
    </row>
    <row r="43" spans="1:17" s="14" customFormat="1" x14ac:dyDescent="0.25">
      <c r="A43" s="8"/>
      <c r="B43" s="17" t="s">
        <v>6</v>
      </c>
      <c r="C43" s="17"/>
      <c r="D43" s="6">
        <f t="shared" ref="D43:O43" si="2">IFERROR(+D10-D30, 0)</f>
        <v>24011.069999999949</v>
      </c>
      <c r="E43" s="6">
        <f t="shared" si="2"/>
        <v>13207.120000000054</v>
      </c>
      <c r="F43" s="6">
        <f t="shared" si="2"/>
        <v>1514.5400000000664</v>
      </c>
      <c r="G43" s="6">
        <f t="shared" si="2"/>
        <v>16113.800000000047</v>
      </c>
      <c r="H43" s="6">
        <f t="shared" si="2"/>
        <v>6500</v>
      </c>
      <c r="I43" s="6">
        <f t="shared" si="2"/>
        <v>3423</v>
      </c>
      <c r="J43" s="6">
        <f t="shared" si="2"/>
        <v>8713</v>
      </c>
      <c r="K43" s="6">
        <f t="shared" si="2"/>
        <v>5083</v>
      </c>
      <c r="L43" s="6">
        <f t="shared" si="2"/>
        <v>4628</v>
      </c>
      <c r="M43" s="6">
        <f t="shared" si="2"/>
        <v>12206</v>
      </c>
      <c r="N43" s="6">
        <f t="shared" si="2"/>
        <v>4696</v>
      </c>
      <c r="O43" s="6">
        <f t="shared" si="2"/>
        <v>13720</v>
      </c>
      <c r="Q43" s="6">
        <f>IFERROR(+Q10-Q30, 0)</f>
        <v>113815.5299999998</v>
      </c>
    </row>
    <row r="44" spans="1:17" s="8" customFormat="1" x14ac:dyDescent="0.25">
      <c r="B44" s="16"/>
      <c r="C44" s="16"/>
      <c r="D44" s="4">
        <f t="shared" ref="D44:O44" si="3">IFERROR(D43/D10, 0)</f>
        <v>0.11545611523978266</v>
      </c>
      <c r="E44" s="4">
        <f t="shared" si="3"/>
        <v>2.6861695679827709E-2</v>
      </c>
      <c r="F44" s="4">
        <f t="shared" si="3"/>
        <v>5.7445851555649715E-3</v>
      </c>
      <c r="G44" s="4">
        <f t="shared" si="3"/>
        <v>9.3231302592966553E-2</v>
      </c>
      <c r="H44" s="4">
        <f t="shared" si="3"/>
        <v>5.0004231127249228E-2</v>
      </c>
      <c r="I44" s="4">
        <f t="shared" si="3"/>
        <v>5.0012419093260083E-2</v>
      </c>
      <c r="J44" s="4">
        <f t="shared" si="3"/>
        <v>5.0002295526019785E-2</v>
      </c>
      <c r="K44" s="4">
        <f t="shared" si="3"/>
        <v>4.999213186986113E-2</v>
      </c>
      <c r="L44" s="4">
        <f t="shared" si="3"/>
        <v>4.998703879720038E-2</v>
      </c>
      <c r="M44" s="4">
        <f t="shared" si="3"/>
        <v>5.000061445946001E-2</v>
      </c>
      <c r="N44" s="4">
        <f t="shared" si="3"/>
        <v>5.0007454262773414E-2</v>
      </c>
      <c r="O44" s="4">
        <f t="shared" si="3"/>
        <v>5.0000182216407493E-2</v>
      </c>
      <c r="P44" s="18"/>
      <c r="Q44" s="4">
        <f>IFERROR(Q43/Q10, 0)</f>
        <v>4.915402416354183E-2</v>
      </c>
    </row>
    <row r="45" spans="1:17" x14ac:dyDescent="0.25">
      <c r="A45" s="5"/>
      <c r="B45" s="8"/>
      <c r="C45" s="5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Q45" s="1"/>
    </row>
    <row r="46" spans="1:17" s="14" customFormat="1" x14ac:dyDescent="0.25">
      <c r="A46" s="8"/>
      <c r="B46" s="16" t="s">
        <v>291</v>
      </c>
      <c r="C46" s="8"/>
      <c r="D46" s="10">
        <f>SUM(OSRRefD20x_0)</f>
        <v>11779.660000000002</v>
      </c>
      <c r="E46" s="10">
        <f>SUM(OSRRefD20x_1)</f>
        <v>15135.81</v>
      </c>
      <c r="F46" s="10">
        <f>SUM(OSRRefD20x_2)</f>
        <v>12326.230000000003</v>
      </c>
      <c r="G46" s="10">
        <f>SUM(OSRRefD20x_3)</f>
        <v>14663.089999999998</v>
      </c>
      <c r="H46" s="10">
        <f>SUM(OSRRefE20x_0)</f>
        <v>14933.646252846154</v>
      </c>
      <c r="I46" s="10">
        <f>SUM(OSRRefE20x_1)</f>
        <v>17123.309101846149</v>
      </c>
      <c r="J46" s="10">
        <f>SUM(OSRRefE20x_2)</f>
        <v>19493.216245757689</v>
      </c>
      <c r="K46" s="10">
        <f>SUM(OSRRefE20x_3)</f>
        <v>16002.671382846156</v>
      </c>
      <c r="L46" s="10">
        <f>SUM(OSRRefE20x_4)</f>
        <v>14857.671382846156</v>
      </c>
      <c r="M46" s="10">
        <f>SUM(OSRRefE20x_5)</f>
        <v>19704.405894557691</v>
      </c>
      <c r="N46" s="10">
        <f>SUM(OSRRefE20x_6)</f>
        <v>14655.622298846156</v>
      </c>
      <c r="O46" s="10">
        <f>SUM(OSRRefE20x_7)</f>
        <v>16429.988840446153</v>
      </c>
      <c r="Q46" s="10">
        <f>SUM(OSRRefG20x)</f>
        <v>187105.32139999233</v>
      </c>
    </row>
    <row r="47" spans="1:17" s="34" customFormat="1" collapsed="1" x14ac:dyDescent="0.25">
      <c r="A47" s="35"/>
      <c r="B47" s="15" t="str">
        <f>CONCATENATE("     ","*Benefits                                         ")</f>
        <v xml:space="preserve">     *Benefits                                         </v>
      </c>
      <c r="C47" s="15"/>
      <c r="D47" s="1">
        <f>SUM(OSRRefD21_0x_0)</f>
        <v>2728.3700000000003</v>
      </c>
      <c r="E47" s="1">
        <f>SUM(OSRRefD21_0x_1)</f>
        <v>2843.1500000000005</v>
      </c>
      <c r="F47" s="1">
        <f>SUM(OSRRefD21_0x_2)</f>
        <v>2917.2400000000007</v>
      </c>
      <c r="G47" s="1">
        <f>SUM(OSRRefD21_0x_3)</f>
        <v>3471.1499999999996</v>
      </c>
      <c r="H47" s="1">
        <f>SUM(OSRRefE21_0x_0)</f>
        <v>2309.9762528461542</v>
      </c>
      <c r="I47" s="1">
        <f>SUM(OSRRefE21_0x_1)</f>
        <v>3182.3841018461499</v>
      </c>
      <c r="J47" s="1">
        <f>SUM(OSRRefE21_0x_2)</f>
        <v>2756.1305557576898</v>
      </c>
      <c r="K47" s="1">
        <f>SUM(OSRRefE21_0x_3)</f>
        <v>2335.9503828461543</v>
      </c>
      <c r="L47" s="1">
        <f>SUM(OSRRefE21_0x_4)</f>
        <v>2335.9503828461543</v>
      </c>
      <c r="M47" s="1">
        <f>SUM(OSRRefE21_0x_5)</f>
        <v>2786.1164445576901</v>
      </c>
      <c r="N47" s="1">
        <f>SUM(OSRRefE21_0x_6)</f>
        <v>2324.7880988461538</v>
      </c>
      <c r="O47" s="1">
        <f>SUM(OSRRefE21_0x_7)</f>
        <v>2406.5494404461542</v>
      </c>
      <c r="Q47" s="2">
        <f>SUM(OSRRefD20_0x)+IFERROR(SUM(OSRRefE20_0x),0)</f>
        <v>32397.755659992305</v>
      </c>
    </row>
    <row r="48" spans="1:17" s="34" customFormat="1" hidden="1" outlineLevel="1" x14ac:dyDescent="0.25">
      <c r="A48" s="35"/>
      <c r="B48" s="13" t="str">
        <f>CONCATENATE("          ","6111", " - ","F.I.C.A.")</f>
        <v xml:space="preserve">          6111 - F.I.C.A.</v>
      </c>
      <c r="C48" s="15"/>
      <c r="D48" s="2">
        <v>419.8</v>
      </c>
      <c r="E48" s="2">
        <v>618.58000000000004</v>
      </c>
      <c r="F48" s="2">
        <v>530.98</v>
      </c>
      <c r="G48" s="2">
        <v>929.65</v>
      </c>
      <c r="H48" s="2">
        <v>425.68281899999999</v>
      </c>
      <c r="I48" s="2">
        <v>600.34723799999995</v>
      </c>
      <c r="J48" s="2">
        <v>532.10352375000002</v>
      </c>
      <c r="K48" s="2">
        <v>425.68281899999999</v>
      </c>
      <c r="L48" s="2">
        <v>425.68281899999999</v>
      </c>
      <c r="M48" s="2">
        <v>532.10352375000002</v>
      </c>
      <c r="N48" s="2">
        <v>425.68281899999999</v>
      </c>
      <c r="O48" s="2">
        <v>569.52248459999998</v>
      </c>
      <c r="P48" s="9"/>
      <c r="Q48" s="2">
        <f>SUM(OSRRefD21_0_0x)+IFERROR(SUM(OSRRefE21_0_0x),0)</f>
        <v>6435.8180461000011</v>
      </c>
    </row>
    <row r="49" spans="1:17" s="34" customFormat="1" hidden="1" outlineLevel="1" x14ac:dyDescent="0.25">
      <c r="A49" s="35"/>
      <c r="B49" s="13" t="str">
        <f>CONCATENATE("          ","6112", " - ","COMPENSATION INSURANCE")</f>
        <v xml:space="preserve">          6112 - COMPENSATION INSURANCE</v>
      </c>
      <c r="C49" s="15"/>
      <c r="D49" s="2">
        <v>53.05</v>
      </c>
      <c r="E49" s="2">
        <v>90.86</v>
      </c>
      <c r="F49" s="2">
        <v>168.59</v>
      </c>
      <c r="G49" s="2">
        <v>156.43</v>
      </c>
      <c r="H49" s="2">
        <v>154.78579999999999</v>
      </c>
      <c r="I49" s="2">
        <v>199.43185</v>
      </c>
      <c r="J49" s="2">
        <v>191.8658495</v>
      </c>
      <c r="K49" s="2">
        <v>164.18934999999999</v>
      </c>
      <c r="L49" s="2">
        <v>164.18934999999999</v>
      </c>
      <c r="M49" s="2">
        <v>202.72179750000001</v>
      </c>
      <c r="N49" s="2">
        <v>160.14821000000001</v>
      </c>
      <c r="O49" s="2">
        <v>137.67366999999999</v>
      </c>
      <c r="P49" s="9"/>
      <c r="Q49" s="2">
        <f>SUM(OSRRefD21_0_1x)+IFERROR(SUM(OSRRefE21_0_1x),0)</f>
        <v>1843.9358770000001</v>
      </c>
    </row>
    <row r="50" spans="1:17" s="34" customFormat="1" hidden="1" outlineLevel="1" x14ac:dyDescent="0.25">
      <c r="A50" s="35"/>
      <c r="B50" s="13" t="str">
        <f>CONCATENATE("          ","6113", " - ","GROUP INSURANCE")</f>
        <v xml:space="preserve">          6113 - GROUP INSURANCE</v>
      </c>
      <c r="C50" s="15"/>
      <c r="D50" s="2">
        <v>1035.69</v>
      </c>
      <c r="E50" s="2">
        <v>1035.69</v>
      </c>
      <c r="F50" s="2">
        <v>1035.69</v>
      </c>
      <c r="G50" s="2">
        <v>1035.69</v>
      </c>
      <c r="H50" s="2">
        <v>946.34615384615404</v>
      </c>
      <c r="I50" s="2">
        <v>1278.8461538461499</v>
      </c>
      <c r="J50" s="2">
        <v>1099.8076923076899</v>
      </c>
      <c r="K50" s="2">
        <v>946.34615384615404</v>
      </c>
      <c r="L50" s="2">
        <v>946.34615384615404</v>
      </c>
      <c r="M50" s="2">
        <v>1099.8076923076899</v>
      </c>
      <c r="N50" s="2">
        <v>946.34615384615404</v>
      </c>
      <c r="O50" s="2">
        <v>946.34615384615404</v>
      </c>
      <c r="P50" s="9"/>
      <c r="Q50" s="2">
        <f>SUM(OSRRefD21_0_2x)+IFERROR(SUM(OSRRefE21_0_2x),0)</f>
        <v>12352.9523076923</v>
      </c>
    </row>
    <row r="51" spans="1:17" s="34" customFormat="1" hidden="1" outlineLevel="1" x14ac:dyDescent="0.25">
      <c r="A51" s="35"/>
      <c r="B51" s="13" t="str">
        <f>CONCATENATE("          ","6114", " - ","STATE UNEMPLOYMENT INSURANCE")</f>
        <v xml:space="preserve">          6114 - STATE UNEMPLOYMENT INSURANCE</v>
      </c>
      <c r="C51" s="15"/>
      <c r="D51" s="2">
        <v>14.46</v>
      </c>
      <c r="E51" s="2">
        <v>20.47</v>
      </c>
      <c r="F51" s="2">
        <v>23.69</v>
      </c>
      <c r="G51" s="2">
        <v>21.98</v>
      </c>
      <c r="H51" s="2">
        <v>21.753679999999999</v>
      </c>
      <c r="I51" s="2">
        <v>28.02826</v>
      </c>
      <c r="J51" s="2">
        <v>26.964930200000001</v>
      </c>
      <c r="K51" s="2">
        <v>23.07526</v>
      </c>
      <c r="L51" s="2">
        <v>23.07526</v>
      </c>
      <c r="M51" s="2">
        <v>28.490631</v>
      </c>
      <c r="N51" s="2">
        <v>22.507315999999999</v>
      </c>
      <c r="O51" s="2">
        <v>19.348731999999998</v>
      </c>
      <c r="P51" s="9"/>
      <c r="Q51" s="2">
        <f>SUM(OSRRefD21_0_3x)+IFERROR(SUM(OSRRefE21_0_3x),0)</f>
        <v>273.84406920000004</v>
      </c>
    </row>
    <row r="52" spans="1:17" s="34" customFormat="1" hidden="1" outlineLevel="1" x14ac:dyDescent="0.25">
      <c r="A52" s="35"/>
      <c r="B52" s="13" t="str">
        <f>CONCATENATE("          ","6115", " - ","P.E.R.S.")</f>
        <v xml:space="preserve">          6115 - P.E.R.S.</v>
      </c>
      <c r="C52" s="15"/>
      <c r="D52" s="2">
        <v>264.63</v>
      </c>
      <c r="E52" s="2">
        <v>176.42</v>
      </c>
      <c r="F52" s="2">
        <v>176.42</v>
      </c>
      <c r="G52" s="2">
        <v>176.42</v>
      </c>
      <c r="H52" s="2">
        <v>196.27780000000001</v>
      </c>
      <c r="I52" s="2">
        <v>392.55560000000003</v>
      </c>
      <c r="J52" s="2">
        <v>245.34725</v>
      </c>
      <c r="K52" s="2">
        <v>196.27780000000001</v>
      </c>
      <c r="L52" s="2">
        <v>196.27780000000001</v>
      </c>
      <c r="M52" s="2">
        <v>245.34725</v>
      </c>
      <c r="N52" s="2">
        <v>196.27780000000001</v>
      </c>
      <c r="O52" s="2">
        <v>196.27780000000001</v>
      </c>
      <c r="P52" s="9"/>
      <c r="Q52" s="2">
        <f>SUM(OSRRefD21_0_4x)+IFERROR(SUM(OSRRefE21_0_4x),0)</f>
        <v>2658.5291000000002</v>
      </c>
    </row>
    <row r="53" spans="1:17" s="34" customFormat="1" hidden="1" outlineLevel="1" x14ac:dyDescent="0.25">
      <c r="A53" s="35"/>
      <c r="B53" s="13" t="str">
        <f>CONCATENATE("          ","6116", " - ","EDUCATIONAL BENEFITS")</f>
        <v xml:space="preserve">          6116 - EDUCATIONAL BENEFITS</v>
      </c>
      <c r="C53" s="15"/>
      <c r="D53" s="2"/>
      <c r="E53" s="2"/>
      <c r="F53" s="2"/>
      <c r="G53" s="2"/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SUM(OSRRefD21_0_5x)+IFERROR(SUM(OSRRefE21_0_5x),0)</f>
        <v>0</v>
      </c>
    </row>
    <row r="54" spans="1:17" s="34" customFormat="1" hidden="1" outlineLevel="1" x14ac:dyDescent="0.25">
      <c r="A54" s="35"/>
      <c r="B54" s="13" t="str">
        <f>CONCATENATE("          ","6117", " - ","RETIREMENT STAFF HOURLY")</f>
        <v xml:space="preserve">          6117 - RETIREMENT STAFF HOURLY</v>
      </c>
      <c r="C54" s="15"/>
      <c r="D54" s="2">
        <v>247.54</v>
      </c>
      <c r="E54" s="2">
        <v>190.54</v>
      </c>
      <c r="F54" s="2">
        <v>185.73</v>
      </c>
      <c r="G54" s="2">
        <v>155.75</v>
      </c>
      <c r="H54" s="2"/>
      <c r="I54" s="2"/>
      <c r="J54" s="2"/>
      <c r="K54" s="2"/>
      <c r="L54" s="2"/>
      <c r="M54" s="2"/>
      <c r="N54" s="2"/>
      <c r="O54" s="2"/>
      <c r="P54" s="9"/>
      <c r="Q54" s="2">
        <f>SUM(OSRRefD21_0_6x)+IFERROR(SUM(OSRRefE21_0_6x),0)</f>
        <v>779.56</v>
      </c>
    </row>
    <row r="55" spans="1:17" s="34" customFormat="1" hidden="1" outlineLevel="1" x14ac:dyDescent="0.25">
      <c r="A55" s="35"/>
      <c r="B55" s="13" t="str">
        <f>CONCATENATE("          ","6118", " - ","VACATION")</f>
        <v xml:space="preserve">          6118 - VACATION</v>
      </c>
      <c r="C55" s="15"/>
      <c r="D55" s="2">
        <v>257.8</v>
      </c>
      <c r="E55" s="2">
        <v>257.8</v>
      </c>
      <c r="F55" s="2">
        <v>257.8</v>
      </c>
      <c r="G55" s="2">
        <v>386.7</v>
      </c>
      <c r="H55" s="2">
        <v>194.749</v>
      </c>
      <c r="I55" s="2">
        <v>263.21800000000002</v>
      </c>
      <c r="J55" s="2">
        <v>243.43625</v>
      </c>
      <c r="K55" s="2">
        <v>194.749</v>
      </c>
      <c r="L55" s="2">
        <v>194.749</v>
      </c>
      <c r="M55" s="2">
        <v>243.43625</v>
      </c>
      <c r="N55" s="2">
        <v>194.749</v>
      </c>
      <c r="O55" s="2">
        <v>194.749</v>
      </c>
      <c r="P55" s="9"/>
      <c r="Q55" s="2">
        <f>SUM(OSRRefD21_0_7x)+IFERROR(SUM(OSRRefE21_0_7x),0)</f>
        <v>2883.9355</v>
      </c>
    </row>
    <row r="56" spans="1:17" s="34" customFormat="1" hidden="1" outlineLevel="1" x14ac:dyDescent="0.25">
      <c r="A56" s="35"/>
      <c r="B56" s="13" t="str">
        <f>CONCATENATE("          ","6119", " - ","SICK LEAVE")</f>
        <v xml:space="preserve">          6119 - SICK LEAVE</v>
      </c>
      <c r="C56" s="15"/>
      <c r="D56" s="2">
        <v>256.57</v>
      </c>
      <c r="E56" s="2">
        <v>256.57</v>
      </c>
      <c r="F56" s="2">
        <v>256.57</v>
      </c>
      <c r="G56" s="2">
        <v>384.85</v>
      </c>
      <c r="H56" s="2">
        <v>195.381</v>
      </c>
      <c r="I56" s="2">
        <v>244.95699999999999</v>
      </c>
      <c r="J56" s="2">
        <v>241.60506000000001</v>
      </c>
      <c r="K56" s="2">
        <v>210.63</v>
      </c>
      <c r="L56" s="2">
        <v>210.63</v>
      </c>
      <c r="M56" s="2">
        <v>259.20929999999998</v>
      </c>
      <c r="N56" s="2">
        <v>204.07679999999999</v>
      </c>
      <c r="O56" s="2">
        <v>167.63159999999999</v>
      </c>
      <c r="P56" s="9"/>
      <c r="Q56" s="2">
        <f>SUM(OSRRefD21_0_8x)+IFERROR(SUM(OSRRefE21_0_8x),0)</f>
        <v>2888.6807599999997</v>
      </c>
    </row>
    <row r="57" spans="1:17" s="34" customFormat="1" hidden="1" outlineLevel="1" x14ac:dyDescent="0.25">
      <c r="A57" s="35"/>
      <c r="B57" s="13" t="str">
        <f>CONCATENATE("          ","6156", " - ","EMPLOYEE MEALS")</f>
        <v xml:space="preserve">          6156 - EMPLOYEE MEALS</v>
      </c>
      <c r="C57" s="15"/>
      <c r="D57" s="2">
        <v>178.83</v>
      </c>
      <c r="E57" s="2">
        <v>196.22</v>
      </c>
      <c r="F57" s="2">
        <v>281.77</v>
      </c>
      <c r="G57" s="2">
        <v>223.68</v>
      </c>
      <c r="H57" s="2">
        <v>175</v>
      </c>
      <c r="I57" s="2">
        <v>175</v>
      </c>
      <c r="J57" s="2">
        <v>175</v>
      </c>
      <c r="K57" s="2">
        <v>175</v>
      </c>
      <c r="L57" s="2">
        <v>175</v>
      </c>
      <c r="M57" s="2">
        <v>175</v>
      </c>
      <c r="N57" s="2">
        <v>175</v>
      </c>
      <c r="O57" s="2">
        <v>175</v>
      </c>
      <c r="P57" s="9"/>
      <c r="Q57" s="2">
        <f>SUM(OSRRefD21_0_9x)+IFERROR(SUM(OSRRefE21_0_9x),0)</f>
        <v>2280.5</v>
      </c>
    </row>
    <row r="58" spans="1:17" s="34" customFormat="1" collapsed="1" x14ac:dyDescent="0.25">
      <c r="A58" s="35"/>
      <c r="B58" s="15" t="str">
        <f>CONCATENATE("     ","*Payroll                                          ")</f>
        <v xml:space="preserve">     *Payroll                                          </v>
      </c>
      <c r="C58" s="15"/>
      <c r="D58" s="1">
        <f>SUM(OSRRefD21_1x_0)</f>
        <v>6417.82</v>
      </c>
      <c r="E58" s="1">
        <f>SUM(OSRRefD21_1x_1)</f>
        <v>9389.67</v>
      </c>
      <c r="F58" s="1">
        <f>SUM(OSRRefD21_1x_2)</f>
        <v>7451.68</v>
      </c>
      <c r="G58" s="1">
        <f>SUM(OSRRefD21_1x_3)</f>
        <v>8904.4</v>
      </c>
      <c r="H58" s="1">
        <f>SUM(OSRRefE21_1x_0)</f>
        <v>7976.67</v>
      </c>
      <c r="I58" s="1">
        <f>SUM(OSRRefE21_1x_1)</f>
        <v>10271.924999999999</v>
      </c>
      <c r="J58" s="1">
        <f>SUM(OSRRefE21_1x_2)</f>
        <v>9886.0856899999999</v>
      </c>
      <c r="K58" s="1">
        <f>SUM(OSRRefE21_1x_3)</f>
        <v>8469.7210000000014</v>
      </c>
      <c r="L58" s="1">
        <f>SUM(OSRRefE21_1x_4)</f>
        <v>8469.7210000000014</v>
      </c>
      <c r="M58" s="1">
        <f>SUM(OSRRefE21_1x_5)</f>
        <v>10455.28945</v>
      </c>
      <c r="N58" s="1">
        <f>SUM(OSRRefE21_1x_6)</f>
        <v>8257.8342000000011</v>
      </c>
      <c r="O58" s="1">
        <f>SUM(OSRRefE21_1x_7)</f>
        <v>7079.4394000000002</v>
      </c>
      <c r="Q58" s="2">
        <f>SUM(OSRRefD20_1x)+IFERROR(SUM(OSRRefE20_1x),0)</f>
        <v>103030.25573999999</v>
      </c>
    </row>
    <row r="59" spans="1:17" s="34" customFormat="1" hidden="1" outlineLevel="1" x14ac:dyDescent="0.25">
      <c r="A59" s="35"/>
      <c r="B59" s="13" t="str">
        <f>CONCATENATE("          ","6001", " - ","ADMINISTRATIVE SALARIES")</f>
        <v xml:space="preserve">          6001 - ADMINISTRATIVE SALARIES</v>
      </c>
      <c r="C59" s="15"/>
      <c r="D59" s="2"/>
      <c r="E59" s="2"/>
      <c r="F59" s="2"/>
      <c r="G59" s="2"/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SUM(OSRRefD21_1_0x)+IFERROR(SUM(OSRRefE21_1_0x),0)</f>
        <v>0</v>
      </c>
    </row>
    <row r="60" spans="1:17" s="34" customFormat="1" hidden="1" outlineLevel="1" x14ac:dyDescent="0.25">
      <c r="A60" s="35"/>
      <c r="B60" s="13" t="str">
        <f>CONCATENATE("          ","6002", " - ","STAFF SALARIES")</f>
        <v xml:space="preserve">          6002 - STAFF SALARIES</v>
      </c>
      <c r="C60" s="15"/>
      <c r="D60" s="2">
        <v>2625.07</v>
      </c>
      <c r="E60" s="2">
        <v>2054.0700000000002</v>
      </c>
      <c r="F60" s="2">
        <v>2282.3000000000002</v>
      </c>
      <c r="G60" s="2">
        <v>2395.9899999999998</v>
      </c>
      <c r="H60" s="2">
        <v>2168.1849999999999</v>
      </c>
      <c r="I60" s="2">
        <v>4336.37</v>
      </c>
      <c r="J60" s="2">
        <v>2710.2312499999998</v>
      </c>
      <c r="K60" s="2">
        <v>2168.1849999999999</v>
      </c>
      <c r="L60" s="2">
        <v>2168.1849999999999</v>
      </c>
      <c r="M60" s="2">
        <v>2710.2312499999998</v>
      </c>
      <c r="N60" s="2">
        <v>2168.1849999999999</v>
      </c>
      <c r="O60" s="2">
        <v>2168.1849999999999</v>
      </c>
      <c r="P60" s="9"/>
      <c r="Q60" s="2">
        <f>SUM(OSRRefD21_1_1x)+IFERROR(SUM(OSRRefE21_1_1x),0)</f>
        <v>29955.187500000004</v>
      </c>
    </row>
    <row r="61" spans="1:17" s="34" customFormat="1" hidden="1" outlineLevel="1" x14ac:dyDescent="0.25">
      <c r="A61" s="35"/>
      <c r="B61" s="13" t="str">
        <f>CONCATENATE("          ","6003", " - ","STAFF HOURLY-9 MONTH")</f>
        <v xml:space="preserve">          6003 - STAFF HOURLY-9 MONTH</v>
      </c>
      <c r="C61" s="15"/>
      <c r="D61" s="2"/>
      <c r="E61" s="2"/>
      <c r="F61" s="2"/>
      <c r="G61" s="2"/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SUM(OSRRefD21_1_2x)+IFERROR(SUM(OSRRefE21_1_2x),0)</f>
        <v>0</v>
      </c>
    </row>
    <row r="62" spans="1:17" s="34" customFormat="1" hidden="1" outlineLevel="1" x14ac:dyDescent="0.25">
      <c r="A62" s="35"/>
      <c r="B62" s="13" t="str">
        <f>CONCATENATE("          ","6004", " - ","STAFF HOURLY")</f>
        <v xml:space="preserve">          6004 - STAFF HOURLY</v>
      </c>
      <c r="C62" s="15"/>
      <c r="D62" s="2">
        <v>3023.75</v>
      </c>
      <c r="E62" s="2">
        <v>3810.96</v>
      </c>
      <c r="F62" s="2">
        <v>3714.5</v>
      </c>
      <c r="G62" s="2">
        <v>3871.43</v>
      </c>
      <c r="H62" s="2">
        <v>3088.12</v>
      </c>
      <c r="I62" s="2">
        <v>3088.12</v>
      </c>
      <c r="J62" s="2">
        <v>3860.15</v>
      </c>
      <c r="K62" s="2">
        <v>3088.12</v>
      </c>
      <c r="L62" s="2">
        <v>3088.12</v>
      </c>
      <c r="M62" s="2">
        <v>3860.15</v>
      </c>
      <c r="N62" s="2">
        <v>3088.12</v>
      </c>
      <c r="O62" s="2">
        <v>3088.12</v>
      </c>
      <c r="P62" s="9"/>
      <c r="Q62" s="2">
        <f>SUM(OSRRefD21_1_3x)+IFERROR(SUM(OSRRefE21_1_3x),0)</f>
        <v>40669.659999999996</v>
      </c>
    </row>
    <row r="63" spans="1:17" s="34" customFormat="1" hidden="1" outlineLevel="1" x14ac:dyDescent="0.25">
      <c r="A63" s="35"/>
      <c r="B63" s="13" t="str">
        <f>CONCATENATE("          ","6005", " - ","TEMPORARY WAGES-HOURLY")</f>
        <v xml:space="preserve">          6005 - TEMPORARY WAGES-HOURLY</v>
      </c>
      <c r="C63" s="15"/>
      <c r="D63" s="2"/>
      <c r="E63" s="2"/>
      <c r="F63" s="2"/>
      <c r="G63" s="2"/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SUM(OSRRefD21_1_4x)+IFERROR(SUM(OSRRefE21_1_4x),0)</f>
        <v>0</v>
      </c>
    </row>
    <row r="64" spans="1:17" s="34" customFormat="1" hidden="1" outlineLevel="1" x14ac:dyDescent="0.25">
      <c r="A64" s="35"/>
      <c r="B64" s="13" t="str">
        <f>CONCATENATE("          ","6006", " - ","TEMPORARY PART TIME")</f>
        <v xml:space="preserve">          6006 - TEMPORARY PART TIME</v>
      </c>
      <c r="C64" s="15"/>
      <c r="D64" s="2"/>
      <c r="E64" s="2"/>
      <c r="F64" s="2"/>
      <c r="G64" s="2"/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SUM(OSRRefD21_1_5x)+IFERROR(SUM(OSRRefE21_1_5x),0)</f>
        <v>0</v>
      </c>
    </row>
    <row r="65" spans="1:17" s="34" customFormat="1" hidden="1" outlineLevel="1" x14ac:dyDescent="0.25">
      <c r="A65" s="35"/>
      <c r="B65" s="13" t="str">
        <f>CONCATENATE("          ","6007", " - ","STUDENT HOURLY")</f>
        <v xml:space="preserve">          6007 - STUDENT HOURLY</v>
      </c>
      <c r="C65" s="15"/>
      <c r="D65" s="2">
        <v>769</v>
      </c>
      <c r="E65" s="2">
        <v>3524.64</v>
      </c>
      <c r="F65" s="2">
        <v>1454.88</v>
      </c>
      <c r="G65" s="2">
        <v>2636.98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1823.1343999999999</v>
      </c>
      <c r="P65" s="9"/>
      <c r="Q65" s="2">
        <f>SUM(OSRRefD21_1_6x)+IFERROR(SUM(OSRRefE21_1_6x),0)</f>
        <v>10208.634399999999</v>
      </c>
    </row>
    <row r="66" spans="1:17" s="34" customFormat="1" hidden="1" outlineLevel="1" x14ac:dyDescent="0.25">
      <c r="A66" s="35"/>
      <c r="B66" s="13" t="str">
        <f>CONCATENATE("          ","6008", " - ","STUDENT HOURLY-FICA EXEMPT")</f>
        <v xml:space="preserve">          6008 - STUDENT HOURLY-FICA EXEMPT</v>
      </c>
      <c r="C66" s="15"/>
      <c r="D66" s="2"/>
      <c r="E66" s="2"/>
      <c r="F66" s="2"/>
      <c r="G66" s="2"/>
      <c r="H66" s="2">
        <v>2720.3649999999998</v>
      </c>
      <c r="I66" s="2">
        <v>2847.4349999999999</v>
      </c>
      <c r="J66" s="2">
        <v>3315.70444</v>
      </c>
      <c r="K66" s="2">
        <v>3213.4160000000002</v>
      </c>
      <c r="L66" s="2">
        <v>3213.4160000000002</v>
      </c>
      <c r="M66" s="2">
        <v>3884.9081999999999</v>
      </c>
      <c r="N66" s="2">
        <v>3001.5291999999999</v>
      </c>
      <c r="O66" s="2">
        <v>0</v>
      </c>
      <c r="P66" s="9"/>
      <c r="Q66" s="2">
        <f>SUM(OSRRefD21_1_7x)+IFERROR(SUM(OSRRefE21_1_7x),0)</f>
        <v>22196.773839999998</v>
      </c>
    </row>
    <row r="67" spans="1:17" s="34" customFormat="1" hidden="1" outlineLevel="1" x14ac:dyDescent="0.25">
      <c r="A67" s="35"/>
      <c r="B67" s="13" t="str">
        <f>CONCATENATE("          ","6009", " - ","TEMPORARY-SEASONAL")</f>
        <v xml:space="preserve">          6009 - TEMPORARY-SEASONAL</v>
      </c>
      <c r="C67" s="15"/>
      <c r="D67" s="2"/>
      <c r="E67" s="2"/>
      <c r="F67" s="2"/>
      <c r="G67" s="2"/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SUM(OSRRefD21_1_8x)+IFERROR(SUM(OSRRefE21_1_8x),0)</f>
        <v>0</v>
      </c>
    </row>
    <row r="68" spans="1:17" s="34" customFormat="1" hidden="1" outlineLevel="1" x14ac:dyDescent="0.25">
      <c r="A68" s="35"/>
      <c r="B68" s="13" t="str">
        <f>CONCATENATE("          ","6010", " - ","GRATUITY")</f>
        <v xml:space="preserve">          6010 - GRATUITY</v>
      </c>
      <c r="C68" s="15"/>
      <c r="D68" s="2"/>
      <c r="E68" s="2"/>
      <c r="F68" s="2"/>
      <c r="G68" s="2"/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SUM(OSRRefD21_1_9x)+IFERROR(SUM(OSRRefE21_1_9x),0)</f>
        <v>0</v>
      </c>
    </row>
    <row r="69" spans="1:17" s="34" customFormat="1" collapsed="1" x14ac:dyDescent="0.25">
      <c r="A69" s="35"/>
      <c r="B69" s="15" t="str">
        <f>CONCATENATE("     ","Advertising/Promo                                 ")</f>
        <v xml:space="preserve">     Advertising/Promo                                 </v>
      </c>
      <c r="C69" s="15"/>
      <c r="D69" s="1">
        <f>SUM(OSRRefD21_2x_0)</f>
        <v>149.65</v>
      </c>
      <c r="E69" s="1">
        <f>SUM(OSRRefD21_2x_1)</f>
        <v>99.23</v>
      </c>
      <c r="F69" s="1">
        <f>SUM(OSRRefD21_2x_2)</f>
        <v>0</v>
      </c>
      <c r="G69" s="1">
        <f>SUM(OSRRefD21_2x_3)</f>
        <v>0</v>
      </c>
      <c r="H69" s="1">
        <f>SUM(OSRRefE21_2x_0)</f>
        <v>150</v>
      </c>
      <c r="I69" s="1">
        <f>SUM(OSRRefE21_2x_1)</f>
        <v>150</v>
      </c>
      <c r="J69" s="1">
        <f>SUM(OSRRefE21_2x_2)</f>
        <v>150</v>
      </c>
      <c r="K69" s="1">
        <f>SUM(OSRRefE21_2x_3)</f>
        <v>150</v>
      </c>
      <c r="L69" s="1">
        <f>SUM(OSRRefE21_2x_4)</f>
        <v>150</v>
      </c>
      <c r="M69" s="1">
        <f>SUM(OSRRefE21_2x_5)</f>
        <v>150</v>
      </c>
      <c r="N69" s="1">
        <f>SUM(OSRRefE21_2x_6)</f>
        <v>150</v>
      </c>
      <c r="O69" s="1">
        <f>SUM(OSRRefE21_2x_7)</f>
        <v>150</v>
      </c>
      <c r="Q69" s="2">
        <f>SUM(OSRRefD20_2x)+IFERROR(SUM(OSRRefE20_2x),0)</f>
        <v>1448.88</v>
      </c>
    </row>
    <row r="70" spans="1:17" s="34" customFormat="1" hidden="1" outlineLevel="1" x14ac:dyDescent="0.25">
      <c r="A70" s="35"/>
      <c r="B70" s="13" t="str">
        <f>CONCATENATE("          ","6362", " - ","ADVERTISING EXPENSE")</f>
        <v xml:space="preserve">          6362 - ADVERTISING EXPENSE</v>
      </c>
      <c r="C70" s="15"/>
      <c r="D70" s="2">
        <v>149.65</v>
      </c>
      <c r="E70" s="2">
        <v>99.23</v>
      </c>
      <c r="F70" s="2"/>
      <c r="G70" s="2"/>
      <c r="H70" s="2">
        <v>150</v>
      </c>
      <c r="I70" s="2">
        <v>150</v>
      </c>
      <c r="J70" s="2">
        <v>150</v>
      </c>
      <c r="K70" s="2">
        <v>150</v>
      </c>
      <c r="L70" s="2">
        <v>150</v>
      </c>
      <c r="M70" s="2">
        <v>150</v>
      </c>
      <c r="N70" s="2">
        <v>150</v>
      </c>
      <c r="O70" s="2">
        <v>150</v>
      </c>
      <c r="P70" s="9"/>
      <c r="Q70" s="2">
        <f>SUM(OSRRefD21_2_0x)+IFERROR(SUM(OSRRefE21_2_0x),0)</f>
        <v>1448.88</v>
      </c>
    </row>
    <row r="71" spans="1:17" s="34" customFormat="1" collapsed="1" x14ac:dyDescent="0.25">
      <c r="A71" s="35"/>
      <c r="B71" s="15" t="str">
        <f>CONCATENATE("     ","Depreciation                                      ")</f>
        <v xml:space="preserve">     Depreciation                                      </v>
      </c>
      <c r="C71" s="15"/>
      <c r="D71" s="1">
        <f>SUM(OSRRefD21_3x_0)</f>
        <v>280.44</v>
      </c>
      <c r="E71" s="1">
        <f>SUM(OSRRefD21_3x_1)</f>
        <v>280.44</v>
      </c>
      <c r="F71" s="1">
        <f>SUM(OSRRefD21_3x_2)</f>
        <v>280.44</v>
      </c>
      <c r="G71" s="1">
        <f>SUM(OSRRefD21_3x_3)</f>
        <v>280.44</v>
      </c>
      <c r="H71" s="1">
        <f>SUM(OSRRefE21_3x_0)</f>
        <v>300</v>
      </c>
      <c r="I71" s="1">
        <f>SUM(OSRRefE21_3x_1)</f>
        <v>300</v>
      </c>
      <c r="J71" s="1">
        <f>SUM(OSRRefE21_3x_2)</f>
        <v>300</v>
      </c>
      <c r="K71" s="1">
        <f>SUM(OSRRefE21_3x_3)</f>
        <v>300</v>
      </c>
      <c r="L71" s="1">
        <f>SUM(OSRRefE21_3x_4)</f>
        <v>300</v>
      </c>
      <c r="M71" s="1">
        <f>SUM(OSRRefE21_3x_5)</f>
        <v>300</v>
      </c>
      <c r="N71" s="1">
        <f>SUM(OSRRefE21_3x_6)</f>
        <v>300</v>
      </c>
      <c r="O71" s="1">
        <f>SUM(OSRRefE21_3x_7)</f>
        <v>300</v>
      </c>
      <c r="Q71" s="2">
        <f>SUM(OSRRefD20_3x)+IFERROR(SUM(OSRRefE20_3x),0)</f>
        <v>3521.76</v>
      </c>
    </row>
    <row r="72" spans="1:17" s="34" customFormat="1" hidden="1" outlineLevel="1" x14ac:dyDescent="0.25">
      <c r="A72" s="35"/>
      <c r="B72" s="13" t="str">
        <f>CONCATENATE("          ","6322", " - ","EQUIPMENT DEPRECIATION EXPENSE")</f>
        <v xml:space="preserve">          6322 - EQUIPMENT DEPRECIATION EXPENSE</v>
      </c>
      <c r="C72" s="15"/>
      <c r="D72" s="2">
        <v>280.44</v>
      </c>
      <c r="E72" s="2">
        <v>280.44</v>
      </c>
      <c r="F72" s="2">
        <v>280.44</v>
      </c>
      <c r="G72" s="2">
        <v>280.44</v>
      </c>
      <c r="H72" s="2">
        <v>300</v>
      </c>
      <c r="I72" s="2">
        <v>300</v>
      </c>
      <c r="J72" s="2">
        <v>300</v>
      </c>
      <c r="K72" s="2">
        <v>300</v>
      </c>
      <c r="L72" s="2">
        <v>300</v>
      </c>
      <c r="M72" s="2">
        <v>300</v>
      </c>
      <c r="N72" s="2">
        <v>300</v>
      </c>
      <c r="O72" s="2">
        <v>300</v>
      </c>
      <c r="P72" s="9"/>
      <c r="Q72" s="2">
        <f>SUM(OSRRefD21_3_0x)+IFERROR(SUM(OSRRefE21_3_0x),0)</f>
        <v>3521.76</v>
      </c>
    </row>
    <row r="73" spans="1:17" s="34" customFormat="1" collapsed="1" x14ac:dyDescent="0.25">
      <c r="A73" s="35"/>
      <c r="B73" s="15" t="str">
        <f>CONCATENATE("     ","Discounts and Markdowns                           ")</f>
        <v xml:space="preserve">     Discounts and Markdowns                           </v>
      </c>
      <c r="C73" s="15"/>
      <c r="D73" s="1">
        <f>SUM(OSRRefD21_4x_0)</f>
        <v>0</v>
      </c>
      <c r="E73" s="1">
        <f>SUM(OSRRefD21_4x_1)</f>
        <v>0</v>
      </c>
      <c r="F73" s="1">
        <f>SUM(OSRRefD21_4x_2)</f>
        <v>0</v>
      </c>
      <c r="G73" s="1">
        <f>SUM(OSRRefD21_4x_3)</f>
        <v>0</v>
      </c>
      <c r="H73" s="1">
        <f>SUM(OSRRefE21_4x_0)</f>
        <v>2067</v>
      </c>
      <c r="I73" s="1">
        <f>SUM(OSRRefE21_4x_1)</f>
        <v>1089</v>
      </c>
      <c r="J73" s="1">
        <f>SUM(OSRRefE21_4x_2)</f>
        <v>2771</v>
      </c>
      <c r="K73" s="1">
        <f>SUM(OSRRefE21_4x_3)</f>
        <v>1617</v>
      </c>
      <c r="L73" s="1">
        <f>SUM(OSRRefE21_4x_4)</f>
        <v>1472</v>
      </c>
      <c r="M73" s="1">
        <f>SUM(OSRRefE21_4x_5)</f>
        <v>3883</v>
      </c>
      <c r="N73" s="1">
        <f>SUM(OSRRefE21_4x_6)</f>
        <v>1493</v>
      </c>
      <c r="O73" s="1">
        <f>SUM(OSRRefE21_4x_7)</f>
        <v>4364</v>
      </c>
      <c r="Q73" s="2">
        <f>SUM(OSRRefD20_4x)+IFERROR(SUM(OSRRefE20_4x),0)</f>
        <v>18756</v>
      </c>
    </row>
    <row r="74" spans="1:17" s="34" customFormat="1" hidden="1" outlineLevel="1" x14ac:dyDescent="0.25">
      <c r="A74" s="35"/>
      <c r="B74" s="13" t="str">
        <f>CONCATENATE("          ","6382", " - ","DISCOUNTS/MARK DOWNS")</f>
        <v xml:space="preserve">          6382 - DISCOUNTS/MARK DOWNS</v>
      </c>
      <c r="C74" s="15"/>
      <c r="D74" s="2"/>
      <c r="E74" s="2"/>
      <c r="F74" s="2"/>
      <c r="G74" s="2"/>
      <c r="H74" s="2">
        <v>2067</v>
      </c>
      <c r="I74" s="2">
        <v>1089</v>
      </c>
      <c r="J74" s="2">
        <v>2771</v>
      </c>
      <c r="K74" s="2">
        <v>1617</v>
      </c>
      <c r="L74" s="2">
        <v>1472</v>
      </c>
      <c r="M74" s="2">
        <v>3883</v>
      </c>
      <c r="N74" s="2">
        <v>1493</v>
      </c>
      <c r="O74" s="2">
        <v>4364</v>
      </c>
      <c r="P74" s="9"/>
      <c r="Q74" s="2">
        <f>SUM(OSRRefD21_4_0x)+IFERROR(SUM(OSRRefE21_4_0x),0)</f>
        <v>18756</v>
      </c>
    </row>
    <row r="75" spans="1:17" s="34" customFormat="1" collapsed="1" x14ac:dyDescent="0.25">
      <c r="A75" s="35"/>
      <c r="B75" s="15" t="str">
        <f>CONCATENATE("     ","Employees' Appreciation                           ")</f>
        <v xml:space="preserve">     Employees' Appreciation                           </v>
      </c>
      <c r="C75" s="15"/>
      <c r="D75" s="1">
        <f>SUM(OSRRefD21_5x_0)</f>
        <v>0</v>
      </c>
      <c r="E75" s="1">
        <f>SUM(OSRRefD21_5x_1)</f>
        <v>0</v>
      </c>
      <c r="F75" s="1">
        <f>SUM(OSRRefD21_5x_2)</f>
        <v>0</v>
      </c>
      <c r="G75" s="1">
        <f>SUM(OSRRefD21_5x_3)</f>
        <v>0</v>
      </c>
      <c r="H75" s="1">
        <f>SUM(OSRRefE21_5x_0)</f>
        <v>20</v>
      </c>
      <c r="I75" s="1">
        <f>SUM(OSRRefE21_5x_1)</f>
        <v>20</v>
      </c>
      <c r="J75" s="1">
        <f>SUM(OSRRefE21_5x_2)</f>
        <v>20</v>
      </c>
      <c r="K75" s="1">
        <f>SUM(OSRRefE21_5x_3)</f>
        <v>20</v>
      </c>
      <c r="L75" s="1">
        <f>SUM(OSRRefE21_5x_4)</f>
        <v>20</v>
      </c>
      <c r="M75" s="1">
        <f>SUM(OSRRefE21_5x_5)</f>
        <v>20</v>
      </c>
      <c r="N75" s="1">
        <f>SUM(OSRRefE21_5x_6)</f>
        <v>20</v>
      </c>
      <c r="O75" s="1">
        <f>SUM(OSRRefE21_5x_7)</f>
        <v>20</v>
      </c>
      <c r="Q75" s="2">
        <f>SUM(OSRRefD20_5x)+IFERROR(SUM(OSRRefE20_5x),0)</f>
        <v>160</v>
      </c>
    </row>
    <row r="76" spans="1:17" s="34" customFormat="1" hidden="1" outlineLevel="1" x14ac:dyDescent="0.25">
      <c r="A76" s="35"/>
      <c r="B76" s="13" t="str">
        <f>CONCATENATE("          ","6277", " - ","EMPLOYEE APPRECIATION")</f>
        <v xml:space="preserve">          6277 - EMPLOYEE APPRECIATION</v>
      </c>
      <c r="C76" s="15"/>
      <c r="D76" s="2"/>
      <c r="E76" s="2"/>
      <c r="F76" s="2"/>
      <c r="G76" s="2"/>
      <c r="H76" s="2">
        <v>20</v>
      </c>
      <c r="I76" s="2">
        <v>20</v>
      </c>
      <c r="J76" s="2">
        <v>20</v>
      </c>
      <c r="K76" s="2">
        <v>20</v>
      </c>
      <c r="L76" s="2">
        <v>20</v>
      </c>
      <c r="M76" s="2">
        <v>20</v>
      </c>
      <c r="N76" s="2">
        <v>20</v>
      </c>
      <c r="O76" s="2">
        <v>20</v>
      </c>
      <c r="P76" s="9"/>
      <c r="Q76" s="2">
        <f>SUM(OSRRefD21_5_0x)+IFERROR(SUM(OSRRefE21_5_0x),0)</f>
        <v>160</v>
      </c>
    </row>
    <row r="77" spans="1:17" s="34" customFormat="1" collapsed="1" x14ac:dyDescent="0.25">
      <c r="A77" s="35"/>
      <c r="B77" s="15" t="str">
        <f>CONCATENATE("     ","Freight out/Postage                               ")</f>
        <v xml:space="preserve">     Freight out/Postage                               </v>
      </c>
      <c r="C77" s="15"/>
      <c r="D77" s="1">
        <f>SUM(OSRRefD21_6x_0)</f>
        <v>10.61</v>
      </c>
      <c r="E77" s="1">
        <f>SUM(OSRRefD21_6x_1)</f>
        <v>179.14000000000001</v>
      </c>
      <c r="F77" s="1">
        <f>SUM(OSRRefD21_6x_2)</f>
        <v>87.509999999999991</v>
      </c>
      <c r="G77" s="1">
        <f>SUM(OSRRefD21_6x_3)</f>
        <v>273.20999999999998</v>
      </c>
      <c r="H77" s="1">
        <f>SUM(OSRRefE21_6x_0)</f>
        <v>100</v>
      </c>
      <c r="I77" s="1">
        <f>SUM(OSRRefE21_6x_1)</f>
        <v>100</v>
      </c>
      <c r="J77" s="1">
        <f>SUM(OSRRefE21_6x_2)</f>
        <v>100</v>
      </c>
      <c r="K77" s="1">
        <f>SUM(OSRRefE21_6x_3)</f>
        <v>100</v>
      </c>
      <c r="L77" s="1">
        <f>SUM(OSRRefE21_6x_4)</f>
        <v>100</v>
      </c>
      <c r="M77" s="1">
        <f>SUM(OSRRefE21_6x_5)</f>
        <v>100</v>
      </c>
      <c r="N77" s="1">
        <f>SUM(OSRRefE21_6x_6)</f>
        <v>100</v>
      </c>
      <c r="O77" s="1">
        <f>SUM(OSRRefE21_6x_7)</f>
        <v>100</v>
      </c>
      <c r="Q77" s="2">
        <f>SUM(OSRRefD20_6x)+IFERROR(SUM(OSRRefE20_6x),0)</f>
        <v>1350.47</v>
      </c>
    </row>
    <row r="78" spans="1:17" s="34" customFormat="1" hidden="1" outlineLevel="1" x14ac:dyDescent="0.25">
      <c r="A78" s="35"/>
      <c r="B78" s="13" t="str">
        <f>CONCATENATE("          ","6305", " - ","FREIGHT OUT")</f>
        <v xml:space="preserve">          6305 - FREIGHT OUT</v>
      </c>
      <c r="C78" s="15"/>
      <c r="D78" s="2">
        <v>5.61</v>
      </c>
      <c r="E78" s="2">
        <v>175.34</v>
      </c>
      <c r="F78" s="2">
        <v>83.71</v>
      </c>
      <c r="G78" s="2">
        <v>273.20999999999998</v>
      </c>
      <c r="H78" s="2">
        <v>100</v>
      </c>
      <c r="I78" s="2">
        <v>100</v>
      </c>
      <c r="J78" s="2">
        <v>100</v>
      </c>
      <c r="K78" s="2">
        <v>100</v>
      </c>
      <c r="L78" s="2">
        <v>100</v>
      </c>
      <c r="M78" s="2">
        <v>100</v>
      </c>
      <c r="N78" s="2">
        <v>100</v>
      </c>
      <c r="O78" s="2">
        <v>100</v>
      </c>
      <c r="P78" s="9"/>
      <c r="Q78" s="2">
        <f>SUM(OSRRefD21_6_0x)+IFERROR(SUM(OSRRefE21_6_0x),0)</f>
        <v>1337.87</v>
      </c>
    </row>
    <row r="79" spans="1:17" s="34" customFormat="1" hidden="1" outlineLevel="1" x14ac:dyDescent="0.25">
      <c r="A79" s="35"/>
      <c r="B79" s="13" t="str">
        <f>CONCATENATE("          ","6307", " - ","POSTAGE")</f>
        <v xml:space="preserve">          6307 - POSTAGE</v>
      </c>
      <c r="C79" s="15"/>
      <c r="D79" s="2">
        <v>5</v>
      </c>
      <c r="E79" s="2">
        <v>3.8</v>
      </c>
      <c r="F79" s="2">
        <v>3.8</v>
      </c>
      <c r="G79" s="2"/>
      <c r="H79" s="2"/>
      <c r="I79" s="2"/>
      <c r="J79" s="2"/>
      <c r="K79" s="2"/>
      <c r="L79" s="2"/>
      <c r="M79" s="2"/>
      <c r="N79" s="2"/>
      <c r="O79" s="2"/>
      <c r="P79" s="9"/>
      <c r="Q79" s="2">
        <f>SUM(OSRRefD21_6_1x)+IFERROR(SUM(OSRRefE21_6_1x),0)</f>
        <v>12.600000000000001</v>
      </c>
    </row>
    <row r="80" spans="1:17" s="34" customFormat="1" collapsed="1" x14ac:dyDescent="0.25">
      <c r="A80" s="35"/>
      <c r="B80" s="15" t="str">
        <f>CONCATENATE("     ","General                                           ")</f>
        <v xml:space="preserve">     General                                           </v>
      </c>
      <c r="C80" s="15"/>
      <c r="D80" s="1">
        <f>SUM(OSRRefD21_7x_0)</f>
        <v>-30.15</v>
      </c>
      <c r="E80" s="1">
        <f>SUM(OSRRefD21_7x_1)</f>
        <v>0</v>
      </c>
      <c r="F80" s="1">
        <f>SUM(OSRRefD21_7x_2)</f>
        <v>0</v>
      </c>
      <c r="G80" s="1">
        <f>SUM(OSRRefD21_7x_3)</f>
        <v>0</v>
      </c>
      <c r="H80" s="1">
        <f>SUM(OSRRefE21_7x_0)</f>
        <v>30</v>
      </c>
      <c r="I80" s="1">
        <f>SUM(OSRRefE21_7x_1)</f>
        <v>30</v>
      </c>
      <c r="J80" s="1">
        <f>SUM(OSRRefE21_7x_2)</f>
        <v>30</v>
      </c>
      <c r="K80" s="1">
        <f>SUM(OSRRefE21_7x_3)</f>
        <v>30</v>
      </c>
      <c r="L80" s="1">
        <f>SUM(OSRRefE21_7x_4)</f>
        <v>30</v>
      </c>
      <c r="M80" s="1">
        <f>SUM(OSRRefE21_7x_5)</f>
        <v>30</v>
      </c>
      <c r="N80" s="1">
        <f>SUM(OSRRefE21_7x_6)</f>
        <v>30</v>
      </c>
      <c r="O80" s="1">
        <f>SUM(OSRRefE21_7x_7)</f>
        <v>30</v>
      </c>
      <c r="Q80" s="2">
        <f>SUM(OSRRefD20_7x)+IFERROR(SUM(OSRRefE20_7x),0)</f>
        <v>209.85</v>
      </c>
    </row>
    <row r="81" spans="1:17" s="34" customFormat="1" hidden="1" outlineLevel="1" x14ac:dyDescent="0.25">
      <c r="A81" s="35"/>
      <c r="B81" s="13" t="str">
        <f>CONCATENATE("          ","6279", " - ","GENERAL EXPENSE")</f>
        <v xml:space="preserve">          6279 - GENERAL EXPENSE</v>
      </c>
      <c r="C81" s="15"/>
      <c r="D81" s="2">
        <v>-30.15</v>
      </c>
      <c r="E81" s="2"/>
      <c r="F81" s="2"/>
      <c r="G81" s="2"/>
      <c r="H81" s="2">
        <v>30</v>
      </c>
      <c r="I81" s="2">
        <v>30</v>
      </c>
      <c r="J81" s="2">
        <v>30</v>
      </c>
      <c r="K81" s="2">
        <v>30</v>
      </c>
      <c r="L81" s="2">
        <v>30</v>
      </c>
      <c r="M81" s="2">
        <v>30</v>
      </c>
      <c r="N81" s="2">
        <v>30</v>
      </c>
      <c r="O81" s="2">
        <v>30</v>
      </c>
      <c r="P81" s="9"/>
      <c r="Q81" s="2">
        <f>SUM(OSRRefD21_7_0x)+IFERROR(SUM(OSRRefE21_7_0x),0)</f>
        <v>209.85</v>
      </c>
    </row>
    <row r="82" spans="1:17" s="34" customFormat="1" collapsed="1" x14ac:dyDescent="0.25">
      <c r="A82" s="35"/>
      <c r="B82" s="15" t="str">
        <f>CONCATENATE("     ","Inventory Adjustment                              ")</f>
        <v xml:space="preserve">     Inventory Adjustment                              </v>
      </c>
      <c r="C82" s="15"/>
      <c r="D82" s="1">
        <f>SUM(OSRRefD21_8x_0)</f>
        <v>1250</v>
      </c>
      <c r="E82" s="1">
        <f>SUM(OSRRefD21_8x_1)</f>
        <v>1250</v>
      </c>
      <c r="F82" s="1">
        <f>SUM(OSRRefD21_8x_2)</f>
        <v>1250</v>
      </c>
      <c r="G82" s="1">
        <f>SUM(OSRRefD21_8x_3)</f>
        <v>1250</v>
      </c>
      <c r="H82" s="1">
        <f>SUM(OSRRefE21_8x_0)</f>
        <v>1250</v>
      </c>
      <c r="I82" s="1">
        <f>SUM(OSRRefE21_8x_1)</f>
        <v>1250</v>
      </c>
      <c r="J82" s="1">
        <f>SUM(OSRRefE21_8x_2)</f>
        <v>1250</v>
      </c>
      <c r="K82" s="1">
        <f>SUM(OSRRefE21_8x_3)</f>
        <v>1250</v>
      </c>
      <c r="L82" s="1">
        <f>SUM(OSRRefE21_8x_4)</f>
        <v>1250</v>
      </c>
      <c r="M82" s="1">
        <f>SUM(OSRRefE21_8x_5)</f>
        <v>1250</v>
      </c>
      <c r="N82" s="1">
        <f>SUM(OSRRefE21_8x_6)</f>
        <v>1250</v>
      </c>
      <c r="O82" s="1">
        <f>SUM(OSRRefE21_8x_7)</f>
        <v>1250</v>
      </c>
      <c r="Q82" s="2">
        <f>SUM(OSRRefD20_8x)+IFERROR(SUM(OSRRefE20_8x),0)</f>
        <v>15000</v>
      </c>
    </row>
    <row r="83" spans="1:17" s="34" customFormat="1" hidden="1" outlineLevel="1" x14ac:dyDescent="0.25">
      <c r="A83" s="35"/>
      <c r="B83" s="13" t="str">
        <f>CONCATENATE("          ","6408", " - ","INVENTORY ADJUSTMENT")</f>
        <v xml:space="preserve">          6408 - INVENTORY ADJUSTMENT</v>
      </c>
      <c r="C83" s="15"/>
      <c r="D83" s="2">
        <v>1250</v>
      </c>
      <c r="E83" s="2">
        <v>1250</v>
      </c>
      <c r="F83" s="2">
        <v>1250</v>
      </c>
      <c r="G83" s="2">
        <v>1250</v>
      </c>
      <c r="H83" s="2">
        <v>1250</v>
      </c>
      <c r="I83" s="2">
        <v>1250</v>
      </c>
      <c r="J83" s="2">
        <v>1250</v>
      </c>
      <c r="K83" s="2">
        <v>1250</v>
      </c>
      <c r="L83" s="2">
        <v>1250</v>
      </c>
      <c r="M83" s="2">
        <v>1250</v>
      </c>
      <c r="N83" s="2">
        <v>1250</v>
      </c>
      <c r="O83" s="2">
        <v>1250</v>
      </c>
      <c r="P83" s="9"/>
      <c r="Q83" s="2">
        <f>SUM(OSRRefD21_8_0x)+IFERROR(SUM(OSRRefE21_8_0x),0)</f>
        <v>15000</v>
      </c>
    </row>
    <row r="84" spans="1:17" s="34" customFormat="1" collapsed="1" x14ac:dyDescent="0.25">
      <c r="A84" s="35"/>
      <c r="B84" s="15" t="str">
        <f>CONCATENATE("     ","Repair and Maintenance                            ")</f>
        <v xml:space="preserve">     Repair and Maintenance                            </v>
      </c>
      <c r="C84" s="15"/>
      <c r="D84" s="1">
        <f>SUM(OSRRefD21_9x_0)</f>
        <v>0</v>
      </c>
      <c r="E84" s="1">
        <f>SUM(OSRRefD21_9x_1)</f>
        <v>0</v>
      </c>
      <c r="F84" s="1">
        <f>SUM(OSRRefD21_9x_2)</f>
        <v>0</v>
      </c>
      <c r="G84" s="1">
        <f>SUM(OSRRefD21_9x_3)</f>
        <v>0</v>
      </c>
      <c r="H84" s="1">
        <f>SUM(OSRRefE21_9x_0)</f>
        <v>20</v>
      </c>
      <c r="I84" s="1">
        <f>SUM(OSRRefE21_9x_1)</f>
        <v>20</v>
      </c>
      <c r="J84" s="1">
        <f>SUM(OSRRefE21_9x_2)</f>
        <v>20</v>
      </c>
      <c r="K84" s="1">
        <f>SUM(OSRRefE21_9x_3)</f>
        <v>20</v>
      </c>
      <c r="L84" s="1">
        <f>SUM(OSRRefE21_9x_4)</f>
        <v>20</v>
      </c>
      <c r="M84" s="1">
        <f>SUM(OSRRefE21_9x_5)</f>
        <v>20</v>
      </c>
      <c r="N84" s="1">
        <f>SUM(OSRRefE21_9x_6)</f>
        <v>20</v>
      </c>
      <c r="O84" s="1">
        <f>SUM(OSRRefE21_9x_7)</f>
        <v>20</v>
      </c>
      <c r="Q84" s="2">
        <f>SUM(OSRRefD20_9x)+IFERROR(SUM(OSRRefE20_9x),0)</f>
        <v>160</v>
      </c>
    </row>
    <row r="85" spans="1:17" s="34" customFormat="1" hidden="1" outlineLevel="1" x14ac:dyDescent="0.25">
      <c r="A85" s="35"/>
      <c r="B85" s="13" t="str">
        <f>CONCATENATE("          ","6375", " - ","OUTSIDE REPAIRS &amp; MAINTENANCE")</f>
        <v xml:space="preserve">          6375 - OUTSIDE REPAIRS &amp; MAINTENANCE</v>
      </c>
      <c r="C85" s="15"/>
      <c r="D85" s="2"/>
      <c r="E85" s="2"/>
      <c r="F85" s="2"/>
      <c r="G85" s="2"/>
      <c r="H85" s="2">
        <v>20</v>
      </c>
      <c r="I85" s="2">
        <v>20</v>
      </c>
      <c r="J85" s="2">
        <v>20</v>
      </c>
      <c r="K85" s="2">
        <v>20</v>
      </c>
      <c r="L85" s="2">
        <v>20</v>
      </c>
      <c r="M85" s="2">
        <v>20</v>
      </c>
      <c r="N85" s="2">
        <v>20</v>
      </c>
      <c r="O85" s="2">
        <v>20</v>
      </c>
      <c r="P85" s="9"/>
      <c r="Q85" s="2">
        <f>SUM(OSRRefD21_9_0x)+IFERROR(SUM(OSRRefE21_9_0x),0)</f>
        <v>160</v>
      </c>
    </row>
    <row r="86" spans="1:17" s="34" customFormat="1" collapsed="1" x14ac:dyDescent="0.25">
      <c r="A86" s="35"/>
      <c r="B86" s="15" t="str">
        <f>CONCATENATE("     ","Supplies                                          ")</f>
        <v xml:space="preserve">     Supplies                                          </v>
      </c>
      <c r="C86" s="15"/>
      <c r="D86" s="1">
        <f>SUM(OSRRefD21_10x_0)</f>
        <v>668.12</v>
      </c>
      <c r="E86" s="1">
        <f>SUM(OSRRefD21_10x_1)</f>
        <v>787.43</v>
      </c>
      <c r="F86" s="1">
        <f>SUM(OSRRefD21_10x_2)</f>
        <v>39.36</v>
      </c>
      <c r="G86" s="1">
        <f>SUM(OSRRefD21_10x_3)</f>
        <v>29.59</v>
      </c>
      <c r="H86" s="1">
        <f>SUM(OSRRefE21_10x_0)</f>
        <v>400</v>
      </c>
      <c r="I86" s="1">
        <f>SUM(OSRRefE21_10x_1)</f>
        <v>400</v>
      </c>
      <c r="J86" s="1">
        <f>SUM(OSRRefE21_10x_2)</f>
        <v>400</v>
      </c>
      <c r="K86" s="1">
        <f>SUM(OSRRefE21_10x_3)</f>
        <v>400</v>
      </c>
      <c r="L86" s="1">
        <f>SUM(OSRRefE21_10x_4)</f>
        <v>400</v>
      </c>
      <c r="M86" s="1">
        <f>SUM(OSRRefE21_10x_5)</f>
        <v>400</v>
      </c>
      <c r="N86" s="1">
        <f>SUM(OSRRefE21_10x_6)</f>
        <v>400</v>
      </c>
      <c r="O86" s="1">
        <f>SUM(OSRRefE21_10x_7)</f>
        <v>400</v>
      </c>
      <c r="Q86" s="2">
        <f>SUM(OSRRefD20_10x)+IFERROR(SUM(OSRRefE20_10x),0)</f>
        <v>4724.5</v>
      </c>
    </row>
    <row r="87" spans="1:17" s="34" customFormat="1" hidden="1" outlineLevel="1" x14ac:dyDescent="0.25">
      <c r="A87" s="35"/>
      <c r="B87" s="13" t="str">
        <f>CONCATENATE("          ","6235", " - ","COVID-19 EXPENSES")</f>
        <v xml:space="preserve">          6235 - COVID-19 EXPENSES</v>
      </c>
      <c r="C87" s="15"/>
      <c r="D87" s="2">
        <v>668.12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9"/>
      <c r="Q87" s="2">
        <f>SUM(OSRRefD21_10_0x)+IFERROR(SUM(OSRRefE21_10_0x),0)</f>
        <v>668.12</v>
      </c>
    </row>
    <row r="88" spans="1:17" s="34" customFormat="1" hidden="1" outlineLevel="1" x14ac:dyDescent="0.25">
      <c r="A88" s="35"/>
      <c r="B88" s="13" t="str">
        <f>CONCATENATE("          ","6241", " - ","OFFICE EXPENSE")</f>
        <v xml:space="preserve">          6241 - OFFICE EXPENSE</v>
      </c>
      <c r="C88" s="15"/>
      <c r="D88" s="2"/>
      <c r="E88" s="2">
        <v>787.43</v>
      </c>
      <c r="F88" s="2">
        <v>39.36</v>
      </c>
      <c r="G88" s="2">
        <v>29.59</v>
      </c>
      <c r="H88" s="2">
        <v>150</v>
      </c>
      <c r="I88" s="2">
        <v>150</v>
      </c>
      <c r="J88" s="2">
        <v>150</v>
      </c>
      <c r="K88" s="2">
        <v>150</v>
      </c>
      <c r="L88" s="2">
        <v>150</v>
      </c>
      <c r="M88" s="2">
        <v>150</v>
      </c>
      <c r="N88" s="2">
        <v>150</v>
      </c>
      <c r="O88" s="2">
        <v>150</v>
      </c>
      <c r="P88" s="9"/>
      <c r="Q88" s="2">
        <f>SUM(OSRRefD21_10_1x)+IFERROR(SUM(OSRRefE21_10_1x),0)</f>
        <v>2056.38</v>
      </c>
    </row>
    <row r="89" spans="1:17" s="34" customFormat="1" hidden="1" outlineLevel="1" x14ac:dyDescent="0.25">
      <c r="A89" s="35"/>
      <c r="B89" s="13" t="str">
        <f>CONCATENATE("          ","6247", " - ","STORE SUPPLIES")</f>
        <v xml:space="preserve">          6247 - STORE SUPPLIES</v>
      </c>
      <c r="C89" s="15"/>
      <c r="D89" s="2"/>
      <c r="E89" s="2"/>
      <c r="F89" s="2"/>
      <c r="G89" s="2"/>
      <c r="H89" s="2">
        <v>250</v>
      </c>
      <c r="I89" s="2">
        <v>250</v>
      </c>
      <c r="J89" s="2">
        <v>250</v>
      </c>
      <c r="K89" s="2">
        <v>250</v>
      </c>
      <c r="L89" s="2">
        <v>250</v>
      </c>
      <c r="M89" s="2">
        <v>250</v>
      </c>
      <c r="N89" s="2">
        <v>250</v>
      </c>
      <c r="O89" s="2">
        <v>250</v>
      </c>
      <c r="P89" s="9"/>
      <c r="Q89" s="2">
        <f>SUM(OSRRefD21_10_2x)+IFERROR(SUM(OSRRefE21_10_2x),0)</f>
        <v>2000</v>
      </c>
    </row>
    <row r="90" spans="1:17" s="34" customFormat="1" collapsed="1" x14ac:dyDescent="0.25">
      <c r="A90" s="35"/>
      <c r="B90" s="15" t="str">
        <f>CONCATENATE("     ","Telephone/Data Lines                              ")</f>
        <v xml:space="preserve">     Telephone/Data Lines                              </v>
      </c>
      <c r="C90" s="15"/>
      <c r="D90" s="1">
        <f>SUM(OSRRefD21_11x_0)</f>
        <v>304.8</v>
      </c>
      <c r="E90" s="1">
        <f>SUM(OSRRefD21_11x_1)</f>
        <v>306.75</v>
      </c>
      <c r="F90" s="1">
        <f>SUM(OSRRefD21_11x_2)</f>
        <v>300</v>
      </c>
      <c r="G90" s="1">
        <f>SUM(OSRRefD21_11x_3)</f>
        <v>354.3</v>
      </c>
      <c r="H90" s="1">
        <f>SUM(OSRRefE21_11x_0)</f>
        <v>310</v>
      </c>
      <c r="I90" s="1">
        <f>SUM(OSRRefE21_11x_1)</f>
        <v>310</v>
      </c>
      <c r="J90" s="1">
        <f>SUM(OSRRefE21_11x_2)</f>
        <v>310</v>
      </c>
      <c r="K90" s="1">
        <f>SUM(OSRRefE21_11x_3)</f>
        <v>310</v>
      </c>
      <c r="L90" s="1">
        <f>SUM(OSRRefE21_11x_4)</f>
        <v>310</v>
      </c>
      <c r="M90" s="1">
        <f>SUM(OSRRefE21_11x_5)</f>
        <v>310</v>
      </c>
      <c r="N90" s="1">
        <f>SUM(OSRRefE21_11x_6)</f>
        <v>310</v>
      </c>
      <c r="O90" s="1">
        <f>SUM(OSRRefE21_11x_7)</f>
        <v>310</v>
      </c>
      <c r="Q90" s="2">
        <f>SUM(OSRRefD20_11x)+IFERROR(SUM(OSRRefE20_11x),0)</f>
        <v>3745.85</v>
      </c>
    </row>
    <row r="91" spans="1:17" s="34" customFormat="1" hidden="1" outlineLevel="1" x14ac:dyDescent="0.25">
      <c r="A91" s="35"/>
      <c r="B91" s="13" t="str">
        <f>CONCATENATE("          ","6309", " - ","TELEPHONE")</f>
        <v xml:space="preserve">          6309 - TELEPHONE</v>
      </c>
      <c r="C91" s="15"/>
      <c r="D91" s="2">
        <v>304.8</v>
      </c>
      <c r="E91" s="2">
        <v>306.75</v>
      </c>
      <c r="F91" s="2">
        <v>300</v>
      </c>
      <c r="G91" s="2">
        <v>354.3</v>
      </c>
      <c r="H91" s="2">
        <v>310</v>
      </c>
      <c r="I91" s="2">
        <v>310</v>
      </c>
      <c r="J91" s="2">
        <v>310</v>
      </c>
      <c r="K91" s="2">
        <v>310</v>
      </c>
      <c r="L91" s="2">
        <v>310</v>
      </c>
      <c r="M91" s="2">
        <v>310</v>
      </c>
      <c r="N91" s="2">
        <v>310</v>
      </c>
      <c r="O91" s="2">
        <v>310</v>
      </c>
      <c r="P91" s="9"/>
      <c r="Q91" s="2">
        <f>SUM(OSRRefD21_11_0x)+IFERROR(SUM(OSRRefE21_11_0x),0)</f>
        <v>3745.85</v>
      </c>
    </row>
    <row r="92" spans="1:17" s="34" customFormat="1" collapsed="1" x14ac:dyDescent="0.25">
      <c r="A92" s="35"/>
      <c r="B92" s="15" t="str">
        <f>CONCATENATE("     ","Training                                          ")</f>
        <v xml:space="preserve">     Training                                          </v>
      </c>
      <c r="C92" s="15"/>
      <c r="D92" s="1">
        <f>SUM(OSRRefD21_12x_0)</f>
        <v>0</v>
      </c>
      <c r="E92" s="1">
        <f>SUM(OSRRefD21_12x_1)</f>
        <v>0</v>
      </c>
      <c r="F92" s="1">
        <f>SUM(OSRRefD21_12x_2)</f>
        <v>0</v>
      </c>
      <c r="G92" s="1">
        <f>SUM(OSRRefD21_12x_3)</f>
        <v>100</v>
      </c>
      <c r="H92" s="1">
        <f>SUM(OSRRefE21_12x_0)</f>
        <v>0</v>
      </c>
      <c r="I92" s="1">
        <f>SUM(OSRRefE21_12x_1)</f>
        <v>0</v>
      </c>
      <c r="J92" s="1">
        <f>SUM(OSRRefE21_12x_2)</f>
        <v>1500</v>
      </c>
      <c r="K92" s="1">
        <f>SUM(OSRRefE21_12x_3)</f>
        <v>1000</v>
      </c>
      <c r="L92" s="1">
        <f>SUM(OSRRefE21_12x_4)</f>
        <v>0</v>
      </c>
      <c r="M92" s="1">
        <f>SUM(OSRRefE21_12x_5)</f>
        <v>0</v>
      </c>
      <c r="N92" s="1">
        <f>SUM(OSRRefE21_12x_6)</f>
        <v>0</v>
      </c>
      <c r="O92" s="1">
        <f>SUM(OSRRefE21_12x_7)</f>
        <v>0</v>
      </c>
      <c r="Q92" s="2">
        <f>SUM(OSRRefD20_12x)+IFERROR(SUM(OSRRefE20_12x),0)</f>
        <v>2600</v>
      </c>
    </row>
    <row r="93" spans="1:17" s="34" customFormat="1" hidden="1" outlineLevel="1" x14ac:dyDescent="0.25">
      <c r="A93" s="35"/>
      <c r="B93" s="13" t="str">
        <f>CONCATENATE("          ","6376", " - ","TRAINING")</f>
        <v xml:space="preserve">          6376 - TRAINING</v>
      </c>
      <c r="C93" s="15"/>
      <c r="D93" s="2"/>
      <c r="E93" s="2"/>
      <c r="F93" s="2"/>
      <c r="G93" s="2">
        <v>100</v>
      </c>
      <c r="H93" s="2"/>
      <c r="I93" s="2"/>
      <c r="J93" s="2">
        <v>1500</v>
      </c>
      <c r="K93" s="2">
        <v>1000</v>
      </c>
      <c r="L93" s="2"/>
      <c r="M93" s="2"/>
      <c r="N93" s="2"/>
      <c r="O93" s="2"/>
      <c r="P93" s="9"/>
      <c r="Q93" s="2">
        <f>SUM(OSRRefD21_12_0x)+IFERROR(SUM(OSRRefE21_12_0x),0)</f>
        <v>2600</v>
      </c>
    </row>
    <row r="94" spans="1:17" s="28" customFormat="1" x14ac:dyDescent="0.25">
      <c r="A94" s="20"/>
      <c r="B94" s="20"/>
      <c r="C94" s="20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Q94" s="1"/>
    </row>
    <row r="95" spans="1:17" s="9" customFormat="1" x14ac:dyDescent="0.25">
      <c r="A95" s="22"/>
      <c r="B95" s="16" t="s">
        <v>0</v>
      </c>
      <c r="C95" s="23"/>
      <c r="D95" s="3">
        <f>-375.36</f>
        <v>-375.36</v>
      </c>
      <c r="E95" s="3">
        <f>-138.8</f>
        <v>-138.80000000000001</v>
      </c>
      <c r="F95" s="3">
        <f>--281.44</f>
        <v>281.44</v>
      </c>
      <c r="G95" s="3">
        <f>--1355.96</f>
        <v>1355.96</v>
      </c>
      <c r="H95" s="3">
        <v>1034</v>
      </c>
      <c r="I95" s="3">
        <v>545</v>
      </c>
      <c r="J95" s="3">
        <v>1386</v>
      </c>
      <c r="K95" s="3">
        <v>808</v>
      </c>
      <c r="L95" s="3">
        <v>736</v>
      </c>
      <c r="M95" s="3">
        <v>1941</v>
      </c>
      <c r="N95" s="3">
        <v>746</v>
      </c>
      <c r="O95" s="3">
        <v>2182</v>
      </c>
      <c r="Q95" s="2">
        <f>SUM(OSRRefD23_0x)+IFERROR(SUM(OSRRefE23_0x),0)</f>
        <v>10501.24</v>
      </c>
    </row>
    <row r="96" spans="1:17" x14ac:dyDescent="0.25">
      <c r="A96" s="5"/>
      <c r="B96" s="8"/>
      <c r="C96" s="8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4" customFormat="1" x14ac:dyDescent="0.25">
      <c r="A97" s="8"/>
      <c r="B97" s="17" t="s">
        <v>3</v>
      </c>
      <c r="C97" s="17"/>
      <c r="D97" s="6">
        <f t="shared" ref="D97:O97" si="4">IFERROR(+D43-D46+D95, 0)</f>
        <v>11856.049999999947</v>
      </c>
      <c r="E97" s="6">
        <f t="shared" si="4"/>
        <v>-2067.4899999999461</v>
      </c>
      <c r="F97" s="6">
        <f t="shared" si="4"/>
        <v>-10530.249999999936</v>
      </c>
      <c r="G97" s="6">
        <f t="shared" si="4"/>
        <v>2806.6700000000483</v>
      </c>
      <c r="H97" s="6">
        <f t="shared" si="4"/>
        <v>-7399.6462528461543</v>
      </c>
      <c r="I97" s="6">
        <f t="shared" si="4"/>
        <v>-13155.309101846149</v>
      </c>
      <c r="J97" s="6">
        <f t="shared" si="4"/>
        <v>-9394.2162457576887</v>
      </c>
      <c r="K97" s="6">
        <f t="shared" si="4"/>
        <v>-10111.671382846156</v>
      </c>
      <c r="L97" s="6">
        <f t="shared" si="4"/>
        <v>-9493.6713828461561</v>
      </c>
      <c r="M97" s="6">
        <f t="shared" si="4"/>
        <v>-5557.4058945576908</v>
      </c>
      <c r="N97" s="6">
        <f t="shared" si="4"/>
        <v>-9213.6222988461559</v>
      </c>
      <c r="O97" s="6">
        <f t="shared" si="4"/>
        <v>-527.98884044615261</v>
      </c>
      <c r="Q97" s="6">
        <f>IFERROR(+Q43-Q46+Q95, 0)</f>
        <v>-62788.551399992539</v>
      </c>
    </row>
    <row r="98" spans="1:17" s="8" customFormat="1" x14ac:dyDescent="0.25">
      <c r="B98" s="16"/>
      <c r="C98" s="16"/>
      <c r="D98" s="4">
        <f t="shared" ref="D98:O98" si="5">IFERROR(D97/D10, 0)</f>
        <v>5.700926593811196E-2</v>
      </c>
      <c r="E98" s="4">
        <f t="shared" si="5"/>
        <v>-4.2050263192191274E-3</v>
      </c>
      <c r="F98" s="4">
        <f t="shared" si="5"/>
        <v>-3.9940785871872005E-2</v>
      </c>
      <c r="G98" s="4">
        <f t="shared" si="5"/>
        <v>1.623884496820149E-2</v>
      </c>
      <c r="H98" s="4">
        <f t="shared" si="5"/>
        <v>-5.6925172536492735E-2</v>
      </c>
      <c r="I98" s="4">
        <f t="shared" si="5"/>
        <v>-0.19220824776596801</v>
      </c>
      <c r="J98" s="4">
        <f t="shared" si="5"/>
        <v>-5.3911669569116499E-2</v>
      </c>
      <c r="K98" s="4">
        <f t="shared" si="5"/>
        <v>-9.9449932952182976E-2</v>
      </c>
      <c r="L98" s="4">
        <f t="shared" si="5"/>
        <v>-0.10254116675501335</v>
      </c>
      <c r="M98" s="4">
        <f t="shared" si="5"/>
        <v>-2.276533750028753E-2</v>
      </c>
      <c r="N98" s="4">
        <f t="shared" si="5"/>
        <v>-9.8115373872235595E-2</v>
      </c>
      <c r="O98" s="4">
        <f t="shared" si="5"/>
        <v>-1.9241645940624879E-3</v>
      </c>
      <c r="P98" s="18"/>
      <c r="Q98" s="4">
        <f>IFERROR(Q97/Q10, 0)</f>
        <v>-2.7116773718920666E-2</v>
      </c>
    </row>
    <row r="99" spans="1:17" x14ac:dyDescent="0.25">
      <c r="A99" s="5"/>
      <c r="B99" s="8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s="14" customFormat="1" x14ac:dyDescent="0.25">
      <c r="A100" s="25"/>
      <c r="B100" s="8" t="s">
        <v>8</v>
      </c>
      <c r="C100" s="8"/>
      <c r="D100" s="3">
        <v>100199.48000000001</v>
      </c>
      <c r="E100" s="3">
        <v>17925.129999999997</v>
      </c>
      <c r="F100" s="3">
        <v>60328.69</v>
      </c>
      <c r="G100" s="3">
        <v>67655.090000000011</v>
      </c>
      <c r="H100" s="3">
        <v>43383</v>
      </c>
      <c r="I100" s="3">
        <v>29724</v>
      </c>
      <c r="J100" s="3">
        <v>10587</v>
      </c>
      <c r="K100" s="3">
        <v>16899</v>
      </c>
      <c r="L100" s="3">
        <v>26609</v>
      </c>
      <c r="M100" s="3">
        <v>57036</v>
      </c>
      <c r="N100" s="3">
        <v>26566</v>
      </c>
      <c r="O100" s="3">
        <v>16960</v>
      </c>
      <c r="Q100" s="2">
        <f>SUM(OSRRefD28_0x)+IFERROR(SUM(OSRRefE28_0x),0)</f>
        <v>473872.39</v>
      </c>
    </row>
    <row r="101" spans="1:17" x14ac:dyDescent="0.25">
      <c r="A101" s="5"/>
      <c r="B101" s="8"/>
      <c r="C101" s="8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4" customFormat="1" ht="15.75" thickBot="1" x14ac:dyDescent="0.3">
      <c r="A102" s="8"/>
      <c r="B102" s="17" t="s">
        <v>4</v>
      </c>
      <c r="C102" s="17"/>
      <c r="D102" s="7">
        <f t="shared" ref="D102:O102" si="6">IFERROR(+D97-D100, 0)</f>
        <v>-88343.430000000066</v>
      </c>
      <c r="E102" s="7">
        <f t="shared" si="6"/>
        <v>-19992.619999999944</v>
      </c>
      <c r="F102" s="7">
        <f t="shared" si="6"/>
        <v>-70858.939999999944</v>
      </c>
      <c r="G102" s="7">
        <f t="shared" si="6"/>
        <v>-64848.419999999962</v>
      </c>
      <c r="H102" s="7">
        <f t="shared" si="6"/>
        <v>-50782.646252846156</v>
      </c>
      <c r="I102" s="7">
        <f t="shared" si="6"/>
        <v>-42879.309101846149</v>
      </c>
      <c r="J102" s="7">
        <f t="shared" si="6"/>
        <v>-19981.216245757689</v>
      </c>
      <c r="K102" s="7">
        <f t="shared" si="6"/>
        <v>-27010.671382846158</v>
      </c>
      <c r="L102" s="7">
        <f t="shared" si="6"/>
        <v>-36102.671382846158</v>
      </c>
      <c r="M102" s="7">
        <f t="shared" si="6"/>
        <v>-62593.405894557691</v>
      </c>
      <c r="N102" s="7">
        <f t="shared" si="6"/>
        <v>-35779.622298846152</v>
      </c>
      <c r="O102" s="7">
        <f t="shared" si="6"/>
        <v>-17487.988840446153</v>
      </c>
      <c r="Q102" s="7">
        <f>IFERROR(+Q97-Q100, 0)</f>
        <v>-536660.94139999256</v>
      </c>
    </row>
    <row r="103" spans="1:17" ht="15.75" thickTop="1" x14ac:dyDescent="0.25">
      <c r="A103" s="5"/>
      <c r="B103" s="5"/>
      <c r="C103" s="5"/>
      <c r="D103" s="4">
        <f t="shared" ref="D103:O103" si="7">IFERROR(D102/D10, 0)</f>
        <v>-0.42479528129140859</v>
      </c>
      <c r="E103" s="4">
        <f t="shared" si="7"/>
        <v>-4.0662587625646882E-2</v>
      </c>
      <c r="F103" s="4">
        <f t="shared" si="7"/>
        <v>-0.26876491532944052</v>
      </c>
      <c r="G103" s="4">
        <f t="shared" si="7"/>
        <v>-0.37520030456476827</v>
      </c>
      <c r="H103" s="4">
        <f t="shared" si="7"/>
        <v>-0.390668796997024</v>
      </c>
      <c r="I103" s="4">
        <f t="shared" si="7"/>
        <v>-0.62649663372216513</v>
      </c>
      <c r="J103" s="4">
        <f t="shared" si="7"/>
        <v>-0.11466850449784043</v>
      </c>
      <c r="K103" s="4">
        <f t="shared" si="7"/>
        <v>-0.2656543469731909</v>
      </c>
      <c r="L103" s="4">
        <f t="shared" si="7"/>
        <v>-0.3899450378342495</v>
      </c>
      <c r="M103" s="4">
        <f t="shared" si="7"/>
        <v>-0.25640740257564076</v>
      </c>
      <c r="N103" s="4">
        <f t="shared" si="7"/>
        <v>-0.38101529507002907</v>
      </c>
      <c r="O103" s="4">
        <f t="shared" si="7"/>
        <v>-6.3731970016093903E-2</v>
      </c>
      <c r="P103" s="18"/>
      <c r="Q103" s="4">
        <f>IFERROR(Q102/Q10, 0)</f>
        <v>-0.23177017126928448</v>
      </c>
    </row>
    <row r="104" spans="1:17" x14ac:dyDescent="0.25">
      <c r="A104" s="5"/>
      <c r="B104" s="5"/>
      <c r="C104" s="5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x14ac:dyDescent="0.25">
      <c r="A105" s="5"/>
      <c r="B105" s="5"/>
      <c r="C105" s="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s="14" customFormat="1" ht="15.75" thickBot="1" x14ac:dyDescent="0.3">
      <c r="A106" s="8"/>
      <c r="B106" s="17" t="s">
        <v>5</v>
      </c>
      <c r="C106" s="17"/>
      <c r="D106" s="7">
        <f t="shared" ref="D106:O106" si="8">IFERROR(SUM(D102:D105), 0)</f>
        <v>-88343.854795281353</v>
      </c>
      <c r="E106" s="7">
        <f t="shared" si="8"/>
        <v>-19992.660662587568</v>
      </c>
      <c r="F106" s="7">
        <f t="shared" si="8"/>
        <v>-70859.208764915267</v>
      </c>
      <c r="G106" s="7">
        <f t="shared" si="8"/>
        <v>-64848.795200304528</v>
      </c>
      <c r="H106" s="7">
        <f t="shared" si="8"/>
        <v>-50783.03692164315</v>
      </c>
      <c r="I106" s="7">
        <f t="shared" si="8"/>
        <v>-42879.935598479875</v>
      </c>
      <c r="J106" s="7">
        <f t="shared" si="8"/>
        <v>-19981.330914262187</v>
      </c>
      <c r="K106" s="7">
        <f t="shared" si="8"/>
        <v>-27010.937037193133</v>
      </c>
      <c r="L106" s="7">
        <f t="shared" si="8"/>
        <v>-36103.061327883996</v>
      </c>
      <c r="M106" s="7">
        <f t="shared" si="8"/>
        <v>-62593.662301960263</v>
      </c>
      <c r="N106" s="7">
        <f t="shared" si="8"/>
        <v>-35780.00331414122</v>
      </c>
      <c r="O106" s="7">
        <f t="shared" si="8"/>
        <v>-17488.052572416167</v>
      </c>
      <c r="Q106" s="7">
        <f>IFERROR(SUM(Q102:Q105), 0)</f>
        <v>-536661.17317016388</v>
      </c>
    </row>
    <row r="107" spans="1:17" ht="15.75" thickTop="1" x14ac:dyDescent="0.25">
      <c r="A107" s="5"/>
      <c r="C107" s="5"/>
      <c r="D107" s="4">
        <f t="shared" ref="D107:O107" si="9">IFERROR(D106/D10, 0)</f>
        <v>-0.42479732389979508</v>
      </c>
      <c r="E107" s="4">
        <f t="shared" si="9"/>
        <v>-4.0662670328465836E-2</v>
      </c>
      <c r="F107" s="4">
        <f t="shared" si="9"/>
        <v>-0.26876593474321825</v>
      </c>
      <c r="G107" s="4">
        <f t="shared" si="9"/>
        <v>-0.37520247540051949</v>
      </c>
      <c r="H107" s="4">
        <f t="shared" si="9"/>
        <v>-0.39067180239591925</v>
      </c>
      <c r="I107" s="4">
        <f t="shared" si="9"/>
        <v>-0.62650578727524908</v>
      </c>
      <c r="J107" s="4">
        <f t="shared" si="9"/>
        <v>-0.11466916255917974</v>
      </c>
      <c r="K107" s="4">
        <f t="shared" si="9"/>
        <v>-0.26565695972690834</v>
      </c>
      <c r="L107" s="4">
        <f t="shared" si="9"/>
        <v>-0.38994924963151295</v>
      </c>
      <c r="M107" s="4">
        <f t="shared" si="9"/>
        <v>-0.2564084529220016</v>
      </c>
      <c r="N107" s="4">
        <f t="shared" si="9"/>
        <v>-0.38101935248164354</v>
      </c>
      <c r="O107" s="4">
        <f t="shared" si="9"/>
        <v>-6.3732202276306285E-2</v>
      </c>
      <c r="P107" s="18"/>
      <c r="Q107" s="4">
        <f>IFERROR(Q106/Q10, 0)</f>
        <v>-0.23177027136490941</v>
      </c>
    </row>
    <row r="108" spans="1:17" x14ac:dyDescent="0.25">
      <c r="A108" s="5"/>
      <c r="B108" s="26">
        <v>44151.564694560184</v>
      </c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Q108" s="12"/>
    </row>
    <row r="109" spans="1:17" x14ac:dyDescent="0.25">
      <c r="A109" s="5"/>
      <c r="B109" s="30" t="s">
        <v>311</v>
      </c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Q109" s="12"/>
    </row>
    <row r="110" spans="1:17" x14ac:dyDescent="0.25">
      <c r="A110" s="5"/>
      <c r="B110" s="31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Q110" s="12"/>
    </row>
    <row r="111" spans="1:17" x14ac:dyDescent="0.25"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Q11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1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","317", " - ", "Computer Store")</f>
        <v>Department 317 - Computer Store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207967.07</v>
      </c>
      <c r="E10" s="3">
        <f>SUM(OSRRefD11x_1)</f>
        <v>491671.12000000005</v>
      </c>
      <c r="F10" s="3">
        <f>SUM(OSRRefD11x_2)</f>
        <v>263646.53999999998</v>
      </c>
      <c r="G10" s="3">
        <f>SUM(OSRRefD11x_3)</f>
        <v>172836.80000000005</v>
      </c>
      <c r="H10" s="3">
        <f>SUM(OSRRefE11x_0)</f>
        <v>129989</v>
      </c>
      <c r="I10" s="3">
        <f>SUM(OSRRefE11x_1)</f>
        <v>68443</v>
      </c>
      <c r="J10" s="3">
        <f>SUM(OSRRefE11x_2)</f>
        <v>174252</v>
      </c>
      <c r="K10" s="3">
        <f>SUM(OSRRefE11x_3)</f>
        <v>101676</v>
      </c>
      <c r="L10" s="3">
        <f>SUM(OSRRefE11x_4)</f>
        <v>92584</v>
      </c>
      <c r="M10" s="3">
        <f>SUM(OSRRefE11x_5)</f>
        <v>244117</v>
      </c>
      <c r="N10" s="3">
        <f>SUM(OSRRefE11x_6)</f>
        <v>93906</v>
      </c>
      <c r="O10" s="3">
        <f>SUM(OSRRefE11x_7)</f>
        <v>274399</v>
      </c>
      <c r="P10" s="24"/>
      <c r="Q10" s="3">
        <f>SUM(OSRRefG11x)</f>
        <v>2315487.5300000003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-370.91</f>
        <v>-370.91</v>
      </c>
      <c r="E11" s="2">
        <f>-803.28</f>
        <v>-803.28</v>
      </c>
      <c r="F11" s="2">
        <f>-549.51</f>
        <v>-549.51</v>
      </c>
      <c r="G11" s="2">
        <f>-178.39</f>
        <v>-178.39</v>
      </c>
      <c r="H11" s="2">
        <v>115690</v>
      </c>
      <c r="I11" s="2">
        <v>60914</v>
      </c>
      <c r="J11" s="2">
        <v>155084</v>
      </c>
      <c r="K11" s="2">
        <v>90492</v>
      </c>
      <c r="L11" s="2">
        <v>82400</v>
      </c>
      <c r="M11" s="2">
        <v>217264</v>
      </c>
      <c r="N11" s="2">
        <v>83576</v>
      </c>
      <c r="O11" s="2">
        <v>244215</v>
      </c>
      <c r="Q11" s="2">
        <f>SUM(OSRRefD11_0x)+IFERROR(SUM(OSRRefE11_0x),0)</f>
        <v>1047732.91</v>
      </c>
    </row>
    <row r="12" spans="1:18" s="9" customFormat="1" hidden="1" outlineLevel="1" x14ac:dyDescent="0.25">
      <c r="A12" s="22"/>
      <c r="B12" s="13" t="str">
        <f>CONCATENATE("          ","4081", " - ","TAXABLE SALES-ELECTRONICS")</f>
        <v xml:space="preserve">          4081 - TAXABLE SALES-ELECTRONICS</v>
      </c>
      <c r="C12" s="23"/>
      <c r="D12" s="2">
        <f>--21557.16</f>
        <v>21557.16</v>
      </c>
      <c r="E12" s="2">
        <f>--16305.86</f>
        <v>16305.86</v>
      </c>
      <c r="F12" s="2">
        <f>--12167.65</f>
        <v>12167.65</v>
      </c>
      <c r="G12" s="2">
        <f>--5014.67</f>
        <v>5014.67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55045.340000000004</v>
      </c>
    </row>
    <row r="13" spans="1:18" s="9" customFormat="1" hidden="1" outlineLevel="1" x14ac:dyDescent="0.25">
      <c r="A13" s="22"/>
      <c r="B13" s="13" t="str">
        <f>CONCATENATE("          ","4082", " - ","TAXABLE SALES-COMPUTER HARDWAR")</f>
        <v xml:space="preserve">          4082 - TAXABLE SALES-COMPUTER HARDWAR</v>
      </c>
      <c r="C13" s="23"/>
      <c r="D13" s="2">
        <f>--137228.87</f>
        <v>137228.87</v>
      </c>
      <c r="E13" s="2">
        <f>--403983.14</f>
        <v>403983.14</v>
      </c>
      <c r="F13" s="2">
        <f>--198101.2</f>
        <v>198101.2</v>
      </c>
      <c r="G13" s="2">
        <f>--152786.78</f>
        <v>152786.78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892099.99</v>
      </c>
    </row>
    <row r="14" spans="1:18" s="9" customFormat="1" hidden="1" outlineLevel="1" x14ac:dyDescent="0.25">
      <c r="A14" s="22"/>
      <c r="B14" s="13" t="str">
        <f>CONCATENATE("          ","4083", " - ","TAXABLE SALES-COMPUTER EQUIPME")</f>
        <v xml:space="preserve">          4083 - TAXABLE SALES-COMPUTER EQUIPME</v>
      </c>
      <c r="C14" s="23"/>
      <c r="D14" s="2">
        <f>--6790.15</f>
        <v>6790.15</v>
      </c>
      <c r="E14" s="2">
        <f>--42925.21</f>
        <v>42925.21</v>
      </c>
      <c r="F14" s="2">
        <f>--18937.34</f>
        <v>18937.34</v>
      </c>
      <c r="G14" s="2">
        <f>--3392.4</f>
        <v>3392.4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72045.099999999991</v>
      </c>
    </row>
    <row r="15" spans="1:18" s="9" customFormat="1" hidden="1" outlineLevel="1" x14ac:dyDescent="0.25">
      <c r="A15" s="22"/>
      <c r="B15" s="13" t="str">
        <f>CONCATENATE("          ","4085", " - ","TAXABLE SALES-SOFTWARE")</f>
        <v xml:space="preserve">          4085 - TAXABLE SALES-SOFTWARE</v>
      </c>
      <c r="C15" s="23"/>
      <c r="D15" s="2">
        <f>0</f>
        <v>0</v>
      </c>
      <c r="E15" s="2">
        <f>--129</f>
        <v>129</v>
      </c>
      <c r="F15" s="2">
        <f>--852.96</f>
        <v>852.96</v>
      </c>
      <c r="G15" s="2">
        <f>--139</f>
        <v>139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1120.96</v>
      </c>
    </row>
    <row r="16" spans="1:18" s="9" customFormat="1" hidden="1" outlineLevel="1" x14ac:dyDescent="0.25">
      <c r="A16" s="22"/>
      <c r="B16" s="13" t="str">
        <f>CONCATENATE("          ","4086", " - ","TAXABLE SALES-COMPUTER SUPPLIE")</f>
        <v xml:space="preserve">          4086 - TAXABLE SALES-COMPUTER SUPPLIE</v>
      </c>
      <c r="C16" s="23"/>
      <c r="D16" s="2">
        <f>--25959.21</f>
        <v>25959.21</v>
      </c>
      <c r="E16" s="2">
        <f>--1308.27</f>
        <v>1308.27</v>
      </c>
      <c r="F16" s="2">
        <f>--713.93</f>
        <v>713.93</v>
      </c>
      <c r="G16" s="2">
        <f>--1385.25</f>
        <v>1385.25</v>
      </c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29366.66</v>
      </c>
    </row>
    <row r="17" spans="1:17" s="9" customFormat="1" hidden="1" outlineLevel="1" x14ac:dyDescent="0.25">
      <c r="A17" s="22"/>
      <c r="B17" s="13" t="str">
        <f>CONCATENATE("          ","4100", " - ","NON-TAXABLE SALES")</f>
        <v xml:space="preserve">          4100 - NON-TAXABLE SALES</v>
      </c>
      <c r="C17" s="23"/>
      <c r="D17" s="2">
        <f t="shared" ref="D17:G17" si="0">0</f>
        <v>0</v>
      </c>
      <c r="E17" s="2">
        <f t="shared" si="0"/>
        <v>0</v>
      </c>
      <c r="F17" s="2">
        <f t="shared" si="0"/>
        <v>0</v>
      </c>
      <c r="G17" s="2">
        <f t="shared" si="0"/>
        <v>0</v>
      </c>
      <c r="H17" s="2">
        <v>14299</v>
      </c>
      <c r="I17" s="2">
        <v>7529</v>
      </c>
      <c r="J17" s="2">
        <v>19168</v>
      </c>
      <c r="K17" s="2">
        <v>11184</v>
      </c>
      <c r="L17" s="2">
        <v>10184</v>
      </c>
      <c r="M17" s="2">
        <v>26853</v>
      </c>
      <c r="N17" s="2">
        <v>10330</v>
      </c>
      <c r="O17" s="2">
        <v>30184</v>
      </c>
      <c r="Q17" s="2">
        <f>SUM(OSRRefD11_6x)+IFERROR(SUM(OSRRefE11_6x),0)</f>
        <v>129731</v>
      </c>
    </row>
    <row r="18" spans="1:17" s="9" customFormat="1" hidden="1" outlineLevel="1" x14ac:dyDescent="0.25">
      <c r="A18" s="22"/>
      <c r="B18" s="13" t="str">
        <f>CONCATENATE("          ","4181", " - ","NON-TAXABLE SALES-ELECTRONICS")</f>
        <v xml:space="preserve">          4181 - NON-TAXABLE SALES-ELECTRONICS</v>
      </c>
      <c r="C18" s="23"/>
      <c r="D18" s="2">
        <f>--289.98</f>
        <v>289.98</v>
      </c>
      <c r="E18" s="2">
        <f>--2349.29</f>
        <v>2349.29</v>
      </c>
      <c r="F18" s="2">
        <f>--669.89</f>
        <v>669.89</v>
      </c>
      <c r="G18" s="2">
        <f>--194.97</f>
        <v>194.97</v>
      </c>
      <c r="H18" s="2"/>
      <c r="I18" s="2"/>
      <c r="J18" s="2"/>
      <c r="K18" s="2"/>
      <c r="L18" s="2"/>
      <c r="M18" s="2"/>
      <c r="N18" s="2"/>
      <c r="O18" s="2"/>
      <c r="Q18" s="2">
        <f>SUM(OSRRefD11_7x)+IFERROR(SUM(OSRRefE11_7x),0)</f>
        <v>3504.1299999999997</v>
      </c>
    </row>
    <row r="19" spans="1:17" s="9" customFormat="1" hidden="1" outlineLevel="1" x14ac:dyDescent="0.25">
      <c r="A19" s="22"/>
      <c r="B19" s="13" t="str">
        <f>CONCATENATE("          ","4182", " - ","NON-TAXABLE SALES-COMPUTER HAR")</f>
        <v xml:space="preserve">          4182 - NON-TAXABLE SALES-COMPUTER HAR</v>
      </c>
      <c r="C19" s="23"/>
      <c r="D19" s="2">
        <f>--35876.99</f>
        <v>35876.99</v>
      </c>
      <c r="E19" s="2">
        <f>--46190.39</f>
        <v>46190.39</v>
      </c>
      <c r="F19" s="2">
        <f>--38657</f>
        <v>38657</v>
      </c>
      <c r="G19" s="2">
        <f>--24570</f>
        <v>24570</v>
      </c>
      <c r="H19" s="2"/>
      <c r="I19" s="2"/>
      <c r="J19" s="2"/>
      <c r="K19" s="2"/>
      <c r="L19" s="2"/>
      <c r="M19" s="2"/>
      <c r="N19" s="2"/>
      <c r="O19" s="2"/>
      <c r="Q19" s="2">
        <f>SUM(OSRRefD11_8x)+IFERROR(SUM(OSRRefE11_8x),0)</f>
        <v>145294.38</v>
      </c>
    </row>
    <row r="20" spans="1:17" s="9" customFormat="1" hidden="1" outlineLevel="1" x14ac:dyDescent="0.25">
      <c r="A20" s="22"/>
      <c r="B20" s="13" t="str">
        <f>CONCATENATE("          ","4183", " - ","NON-TAXABLE SALES-COMPUTER EQU")</f>
        <v xml:space="preserve">          4183 - NON-TAXABLE SALES-COMPUTER EQU</v>
      </c>
      <c r="C20" s="23"/>
      <c r="D20" s="2">
        <f>--1359.85</f>
        <v>1359.85</v>
      </c>
      <c r="E20" s="2">
        <f>--1759.83</f>
        <v>1759.83</v>
      </c>
      <c r="F20" s="2">
        <f>--1946.8</f>
        <v>1946.8</v>
      </c>
      <c r="G20" s="2">
        <f>--1269.91</f>
        <v>1269.9100000000001</v>
      </c>
      <c r="H20" s="2"/>
      <c r="I20" s="2"/>
      <c r="J20" s="2"/>
      <c r="K20" s="2"/>
      <c r="L20" s="2"/>
      <c r="M20" s="2"/>
      <c r="N20" s="2"/>
      <c r="O20" s="2"/>
      <c r="Q20" s="2">
        <f>SUM(OSRRefD11_9x)+IFERROR(SUM(OSRRefE11_9x),0)</f>
        <v>6336.3899999999994</v>
      </c>
    </row>
    <row r="21" spans="1:17" s="9" customFormat="1" hidden="1" outlineLevel="1" x14ac:dyDescent="0.25">
      <c r="A21" s="22"/>
      <c r="B21" s="13" t="str">
        <f>CONCATENATE("          ","4185", " - ","NON-TAXABLE SALES-SOFTWARE")</f>
        <v xml:space="preserve">          4185 - NON-TAXABLE SALES-SOFTWARE</v>
      </c>
      <c r="C21" s="23"/>
      <c r="D21" s="2">
        <f>--6187.74</f>
        <v>6187.74</v>
      </c>
      <c r="E21" s="2">
        <f>--4610.75</f>
        <v>4610.75</v>
      </c>
      <c r="F21" s="2">
        <f>--8427.6</f>
        <v>8427.6</v>
      </c>
      <c r="G21" s="2">
        <f>--4590.76</f>
        <v>4590.76</v>
      </c>
      <c r="H21" s="2"/>
      <c r="I21" s="2"/>
      <c r="J21" s="2"/>
      <c r="K21" s="2"/>
      <c r="L21" s="2"/>
      <c r="M21" s="2"/>
      <c r="N21" s="2"/>
      <c r="O21" s="2"/>
      <c r="Q21" s="2">
        <f>SUM(OSRRefD11_10x)+IFERROR(SUM(OSRRefE11_10x),0)</f>
        <v>23816.85</v>
      </c>
    </row>
    <row r="22" spans="1:17" s="9" customFormat="1" hidden="1" outlineLevel="1" x14ac:dyDescent="0.25">
      <c r="A22" s="22"/>
      <c r="B22" s="13" t="str">
        <f>CONCATENATE("          ","4186", " - ","NON-TAXABLE SALES-COMPUTER SUP")</f>
        <v xml:space="preserve">          4186 - NON-TAXABLE SALES-COMPUTER SUP</v>
      </c>
      <c r="C22" s="23"/>
      <c r="D22" s="2">
        <f>--154.95</f>
        <v>154.94999999999999</v>
      </c>
      <c r="E22" s="2">
        <f>--257.95</f>
        <v>257.95</v>
      </c>
      <c r="F22" s="2">
        <f>--460.89</f>
        <v>460.89</v>
      </c>
      <c r="G22" s="2">
        <f>--855.98</f>
        <v>855.98</v>
      </c>
      <c r="H22" s="2"/>
      <c r="I22" s="2"/>
      <c r="J22" s="2"/>
      <c r="K22" s="2"/>
      <c r="L22" s="2"/>
      <c r="M22" s="2"/>
      <c r="N22" s="2"/>
      <c r="O22" s="2"/>
      <c r="Q22" s="2">
        <f>SUM(OSRRefD11_11x)+IFERROR(SUM(OSRRefE11_11x),0)</f>
        <v>1729.77</v>
      </c>
    </row>
    <row r="23" spans="1:17" s="9" customFormat="1" hidden="1" outlineLevel="1" x14ac:dyDescent="0.25">
      <c r="A23" s="22"/>
      <c r="B23" s="13" t="str">
        <f>CONCATENATE("          ","4281", " - ","SALES RETURN TAXABLE-ELECTRONI")</f>
        <v xml:space="preserve">          4281 - SALES RETURN TAXABLE-ELECTRONI</v>
      </c>
      <c r="C23" s="23"/>
      <c r="D23" s="2">
        <f>-6291.99</f>
        <v>-6291.99</v>
      </c>
      <c r="E23" s="2">
        <f>-7424.23</f>
        <v>-7424.23</v>
      </c>
      <c r="F23" s="2">
        <f>-557.94</f>
        <v>-557.94000000000005</v>
      </c>
      <c r="G23" s="2">
        <f>-357.99</f>
        <v>-357.99</v>
      </c>
      <c r="H23" s="2"/>
      <c r="I23" s="2"/>
      <c r="J23" s="2"/>
      <c r="K23" s="2"/>
      <c r="L23" s="2"/>
      <c r="M23" s="2"/>
      <c r="N23" s="2"/>
      <c r="O23" s="2"/>
      <c r="Q23" s="2">
        <f>SUM(OSRRefD11_12x)+IFERROR(SUM(OSRRefE11_12x),0)</f>
        <v>-14632.15</v>
      </c>
    </row>
    <row r="24" spans="1:17" s="9" customFormat="1" hidden="1" outlineLevel="1" x14ac:dyDescent="0.25">
      <c r="A24" s="22"/>
      <c r="B24" s="13" t="str">
        <f>CONCATENATE("          ","4282", " - ","SALES RETURN TAXABLE-COMPUTER")</f>
        <v xml:space="preserve">          4282 - SALES RETURN TAXABLE-COMPUTER</v>
      </c>
      <c r="C24" s="23"/>
      <c r="D24" s="2">
        <f>-18207</f>
        <v>-18207</v>
      </c>
      <c r="E24" s="2">
        <f>-15442</f>
        <v>-15442</v>
      </c>
      <c r="F24" s="2">
        <f>-14636</f>
        <v>-14636</v>
      </c>
      <c r="G24" s="2">
        <f>-20038</f>
        <v>-20038</v>
      </c>
      <c r="H24" s="2"/>
      <c r="I24" s="2"/>
      <c r="J24" s="2"/>
      <c r="K24" s="2"/>
      <c r="L24" s="2"/>
      <c r="M24" s="2"/>
      <c r="N24" s="2"/>
      <c r="O24" s="2"/>
      <c r="Q24" s="2">
        <f>SUM(OSRRefD11_13x)+IFERROR(SUM(OSRRefE11_13x),0)</f>
        <v>-68323</v>
      </c>
    </row>
    <row r="25" spans="1:17" s="9" customFormat="1" hidden="1" outlineLevel="1" x14ac:dyDescent="0.25">
      <c r="A25" s="22"/>
      <c r="B25" s="13" t="str">
        <f>CONCATENATE("          ","4283", " - ","SALES RETURN TAXABLE-COMPUTER")</f>
        <v xml:space="preserve">          4283 - SALES RETURN TAXABLE-COMPUTER</v>
      </c>
      <c r="C25" s="23"/>
      <c r="D25" s="2">
        <f>-818.93</f>
        <v>-818.93</v>
      </c>
      <c r="E25" s="2">
        <f>-699.9</f>
        <v>-699.9</v>
      </c>
      <c r="F25" s="2">
        <f>-483.9</f>
        <v>-483.9</v>
      </c>
      <c r="G25" s="2">
        <f>-629.58</f>
        <v>-629.58000000000004</v>
      </c>
      <c r="H25" s="2"/>
      <c r="I25" s="2"/>
      <c r="J25" s="2"/>
      <c r="K25" s="2"/>
      <c r="L25" s="2"/>
      <c r="M25" s="2"/>
      <c r="N25" s="2"/>
      <c r="O25" s="2"/>
      <c r="Q25" s="2">
        <f>SUM(OSRRefD11_14x)+IFERROR(SUM(OSRRefE11_14x),0)</f>
        <v>-2632.31</v>
      </c>
    </row>
    <row r="26" spans="1:17" s="9" customFormat="1" hidden="1" outlineLevel="1" x14ac:dyDescent="0.25">
      <c r="A26" s="22"/>
      <c r="B26" s="13" t="str">
        <f>CONCATENATE("          ","4285", " - ","SALES RETURN TAXABLE-SOFTWARE")</f>
        <v xml:space="preserve">          4285 - SALES RETURN TAXABLE-SOFTWARE</v>
      </c>
      <c r="C26" s="23"/>
      <c r="D26" s="2">
        <f t="shared" ref="D26:D27" si="1">0</f>
        <v>0</v>
      </c>
      <c r="E26" s="2">
        <f>0</f>
        <v>0</v>
      </c>
      <c r="F26" s="2">
        <f>-552.98</f>
        <v>-552.98</v>
      </c>
      <c r="G26" s="2">
        <f>0</f>
        <v>0</v>
      </c>
      <c r="H26" s="2"/>
      <c r="I26" s="2"/>
      <c r="J26" s="2"/>
      <c r="K26" s="2"/>
      <c r="L26" s="2"/>
      <c r="M26" s="2"/>
      <c r="N26" s="2"/>
      <c r="O26" s="2"/>
      <c r="Q26" s="2">
        <f>SUM(OSRRefD11_15x)+IFERROR(SUM(OSRRefE11_15x),0)</f>
        <v>-552.98</v>
      </c>
    </row>
    <row r="27" spans="1:17" s="9" customFormat="1" hidden="1" outlineLevel="1" x14ac:dyDescent="0.25">
      <c r="A27" s="22"/>
      <c r="B27" s="13" t="str">
        <f>CONCATENATE("          ","4286", " - ","SALES RETURN TAXABLE-COMPUTER")</f>
        <v xml:space="preserve">          4286 - SALES RETURN TAXABLE-COMPUTER</v>
      </c>
      <c r="C27" s="23"/>
      <c r="D27" s="2">
        <f t="shared" si="1"/>
        <v>0</v>
      </c>
      <c r="E27" s="2">
        <f>-153.96</f>
        <v>-153.96</v>
      </c>
      <c r="F27" s="2">
        <f>-258.44</f>
        <v>-258.44</v>
      </c>
      <c r="G27" s="2">
        <f>-158.96</f>
        <v>-158.96</v>
      </c>
      <c r="H27" s="2"/>
      <c r="I27" s="2"/>
      <c r="J27" s="2"/>
      <c r="K27" s="2"/>
      <c r="L27" s="2"/>
      <c r="M27" s="2"/>
      <c r="N27" s="2"/>
      <c r="O27" s="2"/>
      <c r="Q27" s="2">
        <f>SUM(OSRRefD11_16x)+IFERROR(SUM(OSRRefE11_16x),0)</f>
        <v>-571.36</v>
      </c>
    </row>
    <row r="28" spans="1:17" s="9" customFormat="1" hidden="1" outlineLevel="1" x14ac:dyDescent="0.25">
      <c r="A28" s="22"/>
      <c r="B28" s="13" t="str">
        <f>CONCATENATE("          ","4381", " - ","SALES RETURN NON TAXABLE-ELECT")</f>
        <v xml:space="preserve">          4381 - SALES RETURN NON TAXABLE-ELECT</v>
      </c>
      <c r="C28" s="23"/>
      <c r="D28" s="2">
        <f>-1749</f>
        <v>-1749</v>
      </c>
      <c r="E28" s="2">
        <f>-3625.2</f>
        <v>-3625.2</v>
      </c>
      <c r="F28" s="2">
        <f>-249.95</f>
        <v>-249.95</v>
      </c>
      <c r="G28" s="2">
        <f>0</f>
        <v>0</v>
      </c>
      <c r="H28" s="2"/>
      <c r="I28" s="2"/>
      <c r="J28" s="2"/>
      <c r="K28" s="2"/>
      <c r="L28" s="2"/>
      <c r="M28" s="2"/>
      <c r="N28" s="2"/>
      <c r="O28" s="2"/>
      <c r="Q28" s="2">
        <f>SUM(OSRRefD11_17x)+IFERROR(SUM(OSRRefE11_17x),0)</f>
        <v>-5624.15</v>
      </c>
    </row>
    <row r="29" spans="1:17" x14ac:dyDescent="0.25">
      <c r="A29" s="5"/>
      <c r="B29" s="8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9" customFormat="1" collapsed="1" x14ac:dyDescent="0.25">
      <c r="A30" s="22"/>
      <c r="B30" s="16" t="s">
        <v>290</v>
      </c>
      <c r="C30" s="23"/>
      <c r="D30" s="3">
        <f>SUM(OSRRefD14x_0)</f>
        <v>183956.00000000006</v>
      </c>
      <c r="E30" s="3">
        <f>SUM(OSRRefD14x_1)</f>
        <v>478464</v>
      </c>
      <c r="F30" s="3">
        <f>SUM(OSRRefD14x_2)</f>
        <v>262131.99999999991</v>
      </c>
      <c r="G30" s="3">
        <f>SUM(OSRRefD14x_3)</f>
        <v>156723</v>
      </c>
      <c r="H30" s="3">
        <f>SUM(OSRRefE14x_0)</f>
        <v>123489</v>
      </c>
      <c r="I30" s="3">
        <f>SUM(OSRRefE14x_1)</f>
        <v>65020</v>
      </c>
      <c r="J30" s="3">
        <f>SUM(OSRRefE14x_2)</f>
        <v>165539</v>
      </c>
      <c r="K30" s="3">
        <f>SUM(OSRRefE14x_3)</f>
        <v>96593</v>
      </c>
      <c r="L30" s="3">
        <f>SUM(OSRRefE14x_4)</f>
        <v>87956</v>
      </c>
      <c r="M30" s="3">
        <f>SUM(OSRRefE14x_5)</f>
        <v>231911</v>
      </c>
      <c r="N30" s="3">
        <f>SUM(OSRRefE14x_6)</f>
        <v>89210</v>
      </c>
      <c r="O30" s="3">
        <f>SUM(OSRRefE14x_7)</f>
        <v>260679</v>
      </c>
      <c r="Q30" s="3">
        <f>SUM(OSRRefG14x)</f>
        <v>2201672.0000000005</v>
      </c>
    </row>
    <row r="31" spans="1:17" s="9" customFormat="1" hidden="1" outlineLevel="1" x14ac:dyDescent="0.25">
      <c r="A31" s="22"/>
      <c r="B31" s="13" t="str">
        <f>CONCATENATE("          ","5000", " - ","PURCHASES @ COST")</f>
        <v xml:space="preserve">          5000 - PURCHASES @ COST</v>
      </c>
      <c r="C31" s="23"/>
      <c r="D31" s="2"/>
      <c r="E31" s="2"/>
      <c r="F31" s="2"/>
      <c r="G31" s="2"/>
      <c r="H31" s="2">
        <v>123489</v>
      </c>
      <c r="I31" s="2">
        <v>65020</v>
      </c>
      <c r="J31" s="2">
        <v>165539</v>
      </c>
      <c r="K31" s="2">
        <v>96593</v>
      </c>
      <c r="L31" s="2">
        <v>87956</v>
      </c>
      <c r="M31" s="2">
        <v>231911</v>
      </c>
      <c r="N31" s="2">
        <v>89210</v>
      </c>
      <c r="O31" s="2">
        <v>260679</v>
      </c>
      <c r="Q31" s="2">
        <f>SUM(OSRRefD14_0x)+IFERROR(SUM(OSRRefE14_0x),0)</f>
        <v>1120397</v>
      </c>
    </row>
    <row r="32" spans="1:17" s="9" customFormat="1" hidden="1" outlineLevel="1" x14ac:dyDescent="0.25">
      <c r="A32" s="22"/>
      <c r="B32" s="13" t="str">
        <f>CONCATENATE("          ","5081", " - ","PURCHASES @ COST-ELECTRONICS")</f>
        <v xml:space="preserve">          5081 - PURCHASES @ COST-ELECTRONICS</v>
      </c>
      <c r="C32" s="23"/>
      <c r="D32" s="2">
        <v>6676.92</v>
      </c>
      <c r="E32" s="2">
        <v>745.55</v>
      </c>
      <c r="F32" s="2">
        <v>8274.98</v>
      </c>
      <c r="G32" s="2">
        <v>6249.76</v>
      </c>
      <c r="H32" s="2"/>
      <c r="I32" s="2"/>
      <c r="J32" s="2"/>
      <c r="K32" s="2"/>
      <c r="L32" s="2"/>
      <c r="M32" s="2"/>
      <c r="N32" s="2"/>
      <c r="O32" s="2"/>
      <c r="Q32" s="2">
        <f>SUM(OSRRefD14_1x)+IFERROR(SUM(OSRRefE14_1x),0)</f>
        <v>21947.21</v>
      </c>
    </row>
    <row r="33" spans="1:17" s="9" customFormat="1" hidden="1" outlineLevel="1" x14ac:dyDescent="0.25">
      <c r="A33" s="22"/>
      <c r="B33" s="13" t="str">
        <f>CONCATENATE("          ","5082", " - ","PURCHASES @ COST-COMPUTER HARD")</f>
        <v xml:space="preserve">          5082 - PURCHASES @ COST-COMPUTER HARD</v>
      </c>
      <c r="C33" s="23"/>
      <c r="D33" s="2">
        <v>186472.57</v>
      </c>
      <c r="E33" s="2">
        <v>56751.23</v>
      </c>
      <c r="F33" s="2">
        <v>470149.41</v>
      </c>
      <c r="G33" s="2">
        <v>175404.87</v>
      </c>
      <c r="H33" s="2"/>
      <c r="I33" s="2"/>
      <c r="J33" s="2"/>
      <c r="K33" s="2"/>
      <c r="L33" s="2"/>
      <c r="M33" s="2"/>
      <c r="N33" s="2"/>
      <c r="O33" s="2"/>
      <c r="Q33" s="2">
        <f>SUM(OSRRefD14_2x)+IFERROR(SUM(OSRRefE14_2x),0)</f>
        <v>888778.08</v>
      </c>
    </row>
    <row r="34" spans="1:17" s="9" customFormat="1" hidden="1" outlineLevel="1" x14ac:dyDescent="0.25">
      <c r="A34" s="22"/>
      <c r="B34" s="13" t="str">
        <f>CONCATENATE("          ","5083", " - ","PURCHASES @ COST-COMPUTER EQUI")</f>
        <v xml:space="preserve">          5083 - PURCHASES @ COST-COMPUTER EQUI</v>
      </c>
      <c r="C34" s="23"/>
      <c r="D34" s="2">
        <v>29938.300000000003</v>
      </c>
      <c r="E34" s="2">
        <v>7340.55</v>
      </c>
      <c r="F34" s="2">
        <v>24155.15</v>
      </c>
      <c r="G34" s="2">
        <v>11838.95</v>
      </c>
      <c r="H34" s="2"/>
      <c r="I34" s="2"/>
      <c r="J34" s="2"/>
      <c r="K34" s="2"/>
      <c r="L34" s="2"/>
      <c r="M34" s="2"/>
      <c r="N34" s="2"/>
      <c r="O34" s="2"/>
      <c r="Q34" s="2">
        <f>SUM(OSRRefD14_3x)+IFERROR(SUM(OSRRefE14_3x),0)</f>
        <v>73272.950000000012</v>
      </c>
    </row>
    <row r="35" spans="1:17" s="9" customFormat="1" hidden="1" outlineLevel="1" x14ac:dyDescent="0.25">
      <c r="A35" s="22"/>
      <c r="B35" s="13" t="str">
        <f>CONCATENATE("          ","5085", " - ","PURCHASES @ COST-SOFTWARE")</f>
        <v xml:space="preserve">          5085 - PURCHASES @ COST-SOFTWARE</v>
      </c>
      <c r="C35" s="23"/>
      <c r="D35" s="2">
        <v>3864.34</v>
      </c>
      <c r="E35" s="2">
        <v>2364.2199999999998</v>
      </c>
      <c r="F35" s="2">
        <v>8609.1200000000008</v>
      </c>
      <c r="G35" s="2">
        <v>5843.52</v>
      </c>
      <c r="H35" s="2"/>
      <c r="I35" s="2"/>
      <c r="J35" s="2"/>
      <c r="K35" s="2"/>
      <c r="L35" s="2"/>
      <c r="M35" s="2"/>
      <c r="N35" s="2"/>
      <c r="O35" s="2"/>
      <c r="Q35" s="2">
        <f>SUM(OSRRefD14_4x)+IFERROR(SUM(OSRRefE14_4x),0)</f>
        <v>20681.2</v>
      </c>
    </row>
    <row r="36" spans="1:17" s="9" customFormat="1" hidden="1" outlineLevel="1" x14ac:dyDescent="0.25">
      <c r="A36" s="22"/>
      <c r="B36" s="13" t="str">
        <f>CONCATENATE("          ","5086", " - ","PURCHASES @ COST-COMPUTER SUPP")</f>
        <v xml:space="preserve">          5086 - PURCHASES @ COST-COMPUTER SUPP</v>
      </c>
      <c r="C36" s="23"/>
      <c r="D36" s="2">
        <v>87.25</v>
      </c>
      <c r="E36" s="2">
        <v>21649.96</v>
      </c>
      <c r="F36" s="2">
        <v>18.760000000000002</v>
      </c>
      <c r="G36" s="2">
        <v>773.47</v>
      </c>
      <c r="H36" s="2"/>
      <c r="I36" s="2"/>
      <c r="J36" s="2"/>
      <c r="K36" s="2"/>
      <c r="L36" s="2"/>
      <c r="M36" s="2"/>
      <c r="N36" s="2"/>
      <c r="O36" s="2"/>
      <c r="Q36" s="2">
        <f>SUM(OSRRefD14_5x)+IFERROR(SUM(OSRRefE14_5x),0)</f>
        <v>22529.439999999999</v>
      </c>
    </row>
    <row r="37" spans="1:17" s="9" customFormat="1" hidden="1" outlineLevel="1" x14ac:dyDescent="0.25">
      <c r="A37" s="22"/>
      <c r="B37" s="13" t="str">
        <f>CONCATENATE("          ","5200", " - ","PURCHASES OFFSET")</f>
        <v xml:space="preserve">          5200 - PURCHASES OFFSET</v>
      </c>
      <c r="C37" s="23"/>
      <c r="D37" s="2">
        <v>-227056.77</v>
      </c>
      <c r="E37" s="2">
        <v>-88875.62999999999</v>
      </c>
      <c r="F37" s="2">
        <v>-511387.42000000004</v>
      </c>
      <c r="G37" s="2">
        <v>-200232.35</v>
      </c>
      <c r="H37" s="2"/>
      <c r="I37" s="2"/>
      <c r="J37" s="2"/>
      <c r="K37" s="2"/>
      <c r="L37" s="2"/>
      <c r="M37" s="2"/>
      <c r="N37" s="2"/>
      <c r="O37" s="2"/>
      <c r="Q37" s="2">
        <f>SUM(OSRRefD14_6x)+IFERROR(SUM(OSRRefE14_6x),0)</f>
        <v>-1027552.17</v>
      </c>
    </row>
    <row r="38" spans="1:17" s="9" customFormat="1" hidden="1" outlineLevel="1" x14ac:dyDescent="0.25">
      <c r="A38" s="22"/>
      <c r="B38" s="13" t="str">
        <f>CONCATENATE("          ","5300", " - ","COG$ OFFSET")</f>
        <v xml:space="preserve">          5300 - COG$ OFFSET</v>
      </c>
      <c r="C38" s="23"/>
      <c r="D38" s="2">
        <v>183956</v>
      </c>
      <c r="E38" s="2">
        <v>478464</v>
      </c>
      <c r="F38" s="2">
        <v>262131.99999999997</v>
      </c>
      <c r="G38" s="2">
        <v>156723</v>
      </c>
      <c r="H38" s="2"/>
      <c r="I38" s="2"/>
      <c r="J38" s="2"/>
      <c r="K38" s="2"/>
      <c r="L38" s="2"/>
      <c r="M38" s="2"/>
      <c r="N38" s="2"/>
      <c r="O38" s="2"/>
      <c r="Q38" s="2">
        <f>SUM(OSRRefD14_7x)+IFERROR(SUM(OSRRefE14_7x),0)</f>
        <v>1081275</v>
      </c>
    </row>
    <row r="39" spans="1:17" s="9" customFormat="1" hidden="1" outlineLevel="1" x14ac:dyDescent="0.25">
      <c r="A39" s="22"/>
      <c r="B39" s="13" t="str">
        <f>CONCATENATE("          ","5582", " - ","FREIGHT-IN-COMPUTER HARDWARE")</f>
        <v xml:space="preserve">          5582 - FREIGHT-IN-COMPUTER HARDWARE</v>
      </c>
      <c r="C39" s="23"/>
      <c r="D39" s="2"/>
      <c r="E39" s="2"/>
      <c r="F39" s="2">
        <v>24</v>
      </c>
      <c r="G39" s="2">
        <v>70</v>
      </c>
      <c r="H39" s="2"/>
      <c r="I39" s="2"/>
      <c r="J39" s="2"/>
      <c r="K39" s="2"/>
      <c r="L39" s="2"/>
      <c r="M39" s="2"/>
      <c r="N39" s="2"/>
      <c r="O39" s="2"/>
      <c r="Q39" s="2">
        <f>SUM(OSRRefD14_8x)+IFERROR(SUM(OSRRefE14_8x),0)</f>
        <v>94</v>
      </c>
    </row>
    <row r="40" spans="1:17" s="9" customFormat="1" hidden="1" outlineLevel="1" x14ac:dyDescent="0.25">
      <c r="A40" s="22"/>
      <c r="B40" s="13" t="str">
        <f>CONCATENATE("          ","5583", " - ","FREIGHT-IN-COMPUTER EQUIPMENT")</f>
        <v xml:space="preserve">          5583 - FREIGHT-IN-COMPUTER EQUIPMENT</v>
      </c>
      <c r="C40" s="23"/>
      <c r="D40" s="2">
        <v>17.39</v>
      </c>
      <c r="E40" s="2"/>
      <c r="F40" s="2">
        <v>156</v>
      </c>
      <c r="G40" s="2">
        <v>51.78</v>
      </c>
      <c r="H40" s="2"/>
      <c r="I40" s="2"/>
      <c r="J40" s="2"/>
      <c r="K40" s="2"/>
      <c r="L40" s="2"/>
      <c r="M40" s="2"/>
      <c r="N40" s="2"/>
      <c r="O40" s="2"/>
      <c r="Q40" s="2">
        <f>SUM(OSRRefD14_9x)+IFERROR(SUM(OSRRefE14_9x),0)</f>
        <v>225.17</v>
      </c>
    </row>
    <row r="41" spans="1:17" s="9" customFormat="1" hidden="1" outlineLevel="1" x14ac:dyDescent="0.25">
      <c r="A41" s="22"/>
      <c r="B41" s="13" t="str">
        <f>CONCATENATE("          ","5586", " - ","FREIGHT-IN-COMPUTER SUPPLIES")</f>
        <v xml:space="preserve">          5586 - FREIGHT-IN-COMPUTER SUPPLIES</v>
      </c>
      <c r="C41" s="23"/>
      <c r="D41" s="2"/>
      <c r="E41" s="2">
        <v>24.12</v>
      </c>
      <c r="F41" s="2"/>
      <c r="G41" s="2"/>
      <c r="H41" s="2"/>
      <c r="I41" s="2"/>
      <c r="J41" s="2"/>
      <c r="K41" s="2"/>
      <c r="L41" s="2"/>
      <c r="M41" s="2"/>
      <c r="N41" s="2"/>
      <c r="O41" s="2"/>
      <c r="Q41" s="2">
        <f>SUM(OSRRefD14_10x)+IFERROR(SUM(OSRRefE14_10x),0)</f>
        <v>24.12</v>
      </c>
    </row>
    <row r="42" spans="1:17" x14ac:dyDescent="0.25">
      <c r="A42" s="5"/>
      <c r="B42" s="8"/>
      <c r="C42" s="8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Q42" s="3"/>
    </row>
    <row r="43" spans="1:17" s="14" customFormat="1" x14ac:dyDescent="0.25">
      <c r="A43" s="8"/>
      <c r="B43" s="17" t="s">
        <v>6</v>
      </c>
      <c r="C43" s="17"/>
      <c r="D43" s="6">
        <f t="shared" ref="D43:O43" si="2">IFERROR(+D10-D30, 0)</f>
        <v>24011.069999999949</v>
      </c>
      <c r="E43" s="6">
        <f t="shared" si="2"/>
        <v>13207.120000000054</v>
      </c>
      <c r="F43" s="6">
        <f t="shared" si="2"/>
        <v>1514.5400000000664</v>
      </c>
      <c r="G43" s="6">
        <f t="shared" si="2"/>
        <v>16113.800000000047</v>
      </c>
      <c r="H43" s="6">
        <f t="shared" si="2"/>
        <v>6500</v>
      </c>
      <c r="I43" s="6">
        <f t="shared" si="2"/>
        <v>3423</v>
      </c>
      <c r="J43" s="6">
        <f t="shared" si="2"/>
        <v>8713</v>
      </c>
      <c r="K43" s="6">
        <f t="shared" si="2"/>
        <v>5083</v>
      </c>
      <c r="L43" s="6">
        <f t="shared" si="2"/>
        <v>4628</v>
      </c>
      <c r="M43" s="6">
        <f t="shared" si="2"/>
        <v>12206</v>
      </c>
      <c r="N43" s="6">
        <f t="shared" si="2"/>
        <v>4696</v>
      </c>
      <c r="O43" s="6">
        <f t="shared" si="2"/>
        <v>13720</v>
      </c>
      <c r="Q43" s="6">
        <f>IFERROR(+Q10-Q30, 0)</f>
        <v>113815.5299999998</v>
      </c>
    </row>
    <row r="44" spans="1:17" s="8" customFormat="1" x14ac:dyDescent="0.25">
      <c r="B44" s="16"/>
      <c r="C44" s="16"/>
      <c r="D44" s="4">
        <f t="shared" ref="D44:O44" si="3">IFERROR(D43/D10, 0)</f>
        <v>0.11545611523978266</v>
      </c>
      <c r="E44" s="4">
        <f t="shared" si="3"/>
        <v>2.6861695679827709E-2</v>
      </c>
      <c r="F44" s="4">
        <f t="shared" si="3"/>
        <v>5.7445851555649715E-3</v>
      </c>
      <c r="G44" s="4">
        <f t="shared" si="3"/>
        <v>9.3231302592966553E-2</v>
      </c>
      <c r="H44" s="4">
        <f t="shared" si="3"/>
        <v>5.0004231127249228E-2</v>
      </c>
      <c r="I44" s="4">
        <f t="shared" si="3"/>
        <v>5.0012419093260083E-2</v>
      </c>
      <c r="J44" s="4">
        <f t="shared" si="3"/>
        <v>5.0002295526019785E-2</v>
      </c>
      <c r="K44" s="4">
        <f t="shared" si="3"/>
        <v>4.999213186986113E-2</v>
      </c>
      <c r="L44" s="4">
        <f t="shared" si="3"/>
        <v>4.998703879720038E-2</v>
      </c>
      <c r="M44" s="4">
        <f t="shared" si="3"/>
        <v>5.000061445946001E-2</v>
      </c>
      <c r="N44" s="4">
        <f t="shared" si="3"/>
        <v>5.0007454262773414E-2</v>
      </c>
      <c r="O44" s="4">
        <f t="shared" si="3"/>
        <v>5.0000182216407493E-2</v>
      </c>
      <c r="P44" s="18"/>
      <c r="Q44" s="4">
        <f>IFERROR(Q43/Q10, 0)</f>
        <v>4.915402416354183E-2</v>
      </c>
    </row>
    <row r="45" spans="1:17" x14ac:dyDescent="0.25">
      <c r="A45" s="5"/>
      <c r="B45" s="8"/>
      <c r="C45" s="5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Q45" s="1"/>
    </row>
    <row r="46" spans="1:17" s="14" customFormat="1" x14ac:dyDescent="0.25">
      <c r="A46" s="8"/>
      <c r="B46" s="16" t="s">
        <v>291</v>
      </c>
      <c r="C46" s="8"/>
      <c r="D46" s="10">
        <f>SUM(OSRRefD20x_0)</f>
        <v>11779.660000000002</v>
      </c>
      <c r="E46" s="10">
        <f>SUM(OSRRefD20x_1)</f>
        <v>15135.81</v>
      </c>
      <c r="F46" s="10">
        <f>SUM(OSRRefD20x_2)</f>
        <v>12326.230000000003</v>
      </c>
      <c r="G46" s="10">
        <f>SUM(OSRRefD20x_3)</f>
        <v>14663.089999999998</v>
      </c>
      <c r="H46" s="10">
        <f>SUM(OSRRefE20x_0)</f>
        <v>14933.646252846154</v>
      </c>
      <c r="I46" s="10">
        <f>SUM(OSRRefE20x_1)</f>
        <v>17123.309101846149</v>
      </c>
      <c r="J46" s="10">
        <f>SUM(OSRRefE20x_2)</f>
        <v>19493.216245757689</v>
      </c>
      <c r="K46" s="10">
        <f>SUM(OSRRefE20x_3)</f>
        <v>16002.671382846156</v>
      </c>
      <c r="L46" s="10">
        <f>SUM(OSRRefE20x_4)</f>
        <v>14857.671382846156</v>
      </c>
      <c r="M46" s="10">
        <f>SUM(OSRRefE20x_5)</f>
        <v>19704.405894557691</v>
      </c>
      <c r="N46" s="10">
        <f>SUM(OSRRefE20x_6)</f>
        <v>14655.622298846156</v>
      </c>
      <c r="O46" s="10">
        <f>SUM(OSRRefE20x_7)</f>
        <v>16429.988840446153</v>
      </c>
      <c r="Q46" s="10">
        <f>SUM(OSRRefG20x)</f>
        <v>187105.32139999233</v>
      </c>
    </row>
    <row r="47" spans="1:17" s="34" customFormat="1" collapsed="1" x14ac:dyDescent="0.25">
      <c r="A47" s="35"/>
      <c r="B47" s="15" t="str">
        <f>CONCATENATE("     ","*Benefits                                         ")</f>
        <v xml:space="preserve">     *Benefits                                         </v>
      </c>
      <c r="C47" s="15"/>
      <c r="D47" s="1">
        <f>SUM(OSRRefD21_0x_0)</f>
        <v>2728.3700000000003</v>
      </c>
      <c r="E47" s="1">
        <f>SUM(OSRRefD21_0x_1)</f>
        <v>2843.1500000000005</v>
      </c>
      <c r="F47" s="1">
        <f>SUM(OSRRefD21_0x_2)</f>
        <v>2917.2400000000007</v>
      </c>
      <c r="G47" s="1">
        <f>SUM(OSRRefD21_0x_3)</f>
        <v>3471.1499999999996</v>
      </c>
      <c r="H47" s="1">
        <f>SUM(OSRRefE21_0x_0)</f>
        <v>2309.9762528461542</v>
      </c>
      <c r="I47" s="1">
        <f>SUM(OSRRefE21_0x_1)</f>
        <v>3182.3841018461499</v>
      </c>
      <c r="J47" s="1">
        <f>SUM(OSRRefE21_0x_2)</f>
        <v>2756.1305557576898</v>
      </c>
      <c r="K47" s="1">
        <f>SUM(OSRRefE21_0x_3)</f>
        <v>2335.9503828461543</v>
      </c>
      <c r="L47" s="1">
        <f>SUM(OSRRefE21_0x_4)</f>
        <v>2335.9503828461543</v>
      </c>
      <c r="M47" s="1">
        <f>SUM(OSRRefE21_0x_5)</f>
        <v>2786.1164445576901</v>
      </c>
      <c r="N47" s="1">
        <f>SUM(OSRRefE21_0x_6)</f>
        <v>2324.7880988461538</v>
      </c>
      <c r="O47" s="1">
        <f>SUM(OSRRefE21_0x_7)</f>
        <v>2406.5494404461542</v>
      </c>
      <c r="Q47" s="2">
        <f>SUM(OSRRefD20_0x)+IFERROR(SUM(OSRRefE20_0x),0)</f>
        <v>32397.755659992305</v>
      </c>
    </row>
    <row r="48" spans="1:17" s="34" customFormat="1" hidden="1" outlineLevel="1" x14ac:dyDescent="0.25">
      <c r="A48" s="35"/>
      <c r="B48" s="13" t="str">
        <f>CONCATENATE("          ","6111", " - ","F.I.C.A.")</f>
        <v xml:space="preserve">          6111 - F.I.C.A.</v>
      </c>
      <c r="C48" s="15"/>
      <c r="D48" s="2">
        <v>419.8</v>
      </c>
      <c r="E48" s="2">
        <v>618.58000000000004</v>
      </c>
      <c r="F48" s="2">
        <v>530.98</v>
      </c>
      <c r="G48" s="2">
        <v>929.65</v>
      </c>
      <c r="H48" s="2">
        <v>425.68281899999999</v>
      </c>
      <c r="I48" s="2">
        <v>600.34723799999995</v>
      </c>
      <c r="J48" s="2">
        <v>532.10352375000002</v>
      </c>
      <c r="K48" s="2">
        <v>425.68281899999999</v>
      </c>
      <c r="L48" s="2">
        <v>425.68281899999999</v>
      </c>
      <c r="M48" s="2">
        <v>532.10352375000002</v>
      </c>
      <c r="N48" s="2">
        <v>425.68281899999999</v>
      </c>
      <c r="O48" s="2">
        <v>569.52248459999998</v>
      </c>
      <c r="P48" s="9"/>
      <c r="Q48" s="2">
        <f>SUM(OSRRefD21_0_0x)+IFERROR(SUM(OSRRefE21_0_0x),0)</f>
        <v>6435.8180461000011</v>
      </c>
    </row>
    <row r="49" spans="1:17" s="34" customFormat="1" hidden="1" outlineLevel="1" x14ac:dyDescent="0.25">
      <c r="A49" s="35"/>
      <c r="B49" s="13" t="str">
        <f>CONCATENATE("          ","6112", " - ","COMPENSATION INSURANCE")</f>
        <v xml:space="preserve">          6112 - COMPENSATION INSURANCE</v>
      </c>
      <c r="C49" s="15"/>
      <c r="D49" s="2">
        <v>53.05</v>
      </c>
      <c r="E49" s="2">
        <v>90.86</v>
      </c>
      <c r="F49" s="2">
        <v>168.59</v>
      </c>
      <c r="G49" s="2">
        <v>156.43</v>
      </c>
      <c r="H49" s="2">
        <v>154.78579999999999</v>
      </c>
      <c r="I49" s="2">
        <v>199.43185</v>
      </c>
      <c r="J49" s="2">
        <v>191.8658495</v>
      </c>
      <c r="K49" s="2">
        <v>164.18934999999999</v>
      </c>
      <c r="L49" s="2">
        <v>164.18934999999999</v>
      </c>
      <c r="M49" s="2">
        <v>202.72179750000001</v>
      </c>
      <c r="N49" s="2">
        <v>160.14821000000001</v>
      </c>
      <c r="O49" s="2">
        <v>137.67366999999999</v>
      </c>
      <c r="P49" s="9"/>
      <c r="Q49" s="2">
        <f>SUM(OSRRefD21_0_1x)+IFERROR(SUM(OSRRefE21_0_1x),0)</f>
        <v>1843.9358770000001</v>
      </c>
    </row>
    <row r="50" spans="1:17" s="34" customFormat="1" hidden="1" outlineLevel="1" x14ac:dyDescent="0.25">
      <c r="A50" s="35"/>
      <c r="B50" s="13" t="str">
        <f>CONCATENATE("          ","6113", " - ","GROUP INSURANCE")</f>
        <v xml:space="preserve">          6113 - GROUP INSURANCE</v>
      </c>
      <c r="C50" s="15"/>
      <c r="D50" s="2">
        <v>1035.69</v>
      </c>
      <c r="E50" s="2">
        <v>1035.69</v>
      </c>
      <c r="F50" s="2">
        <v>1035.69</v>
      </c>
      <c r="G50" s="2">
        <v>1035.69</v>
      </c>
      <c r="H50" s="2">
        <v>946.34615384615404</v>
      </c>
      <c r="I50" s="2">
        <v>1278.8461538461499</v>
      </c>
      <c r="J50" s="2">
        <v>1099.8076923076899</v>
      </c>
      <c r="K50" s="2">
        <v>946.34615384615404</v>
      </c>
      <c r="L50" s="2">
        <v>946.34615384615404</v>
      </c>
      <c r="M50" s="2">
        <v>1099.8076923076899</v>
      </c>
      <c r="N50" s="2">
        <v>946.34615384615404</v>
      </c>
      <c r="O50" s="2">
        <v>946.34615384615404</v>
      </c>
      <c r="P50" s="9"/>
      <c r="Q50" s="2">
        <f>SUM(OSRRefD21_0_2x)+IFERROR(SUM(OSRRefE21_0_2x),0)</f>
        <v>12352.9523076923</v>
      </c>
    </row>
    <row r="51" spans="1:17" s="34" customFormat="1" hidden="1" outlineLevel="1" x14ac:dyDescent="0.25">
      <c r="A51" s="35"/>
      <c r="B51" s="13" t="str">
        <f>CONCATENATE("          ","6114", " - ","STATE UNEMPLOYMENT INSURANCE")</f>
        <v xml:space="preserve">          6114 - STATE UNEMPLOYMENT INSURANCE</v>
      </c>
      <c r="C51" s="15"/>
      <c r="D51" s="2">
        <v>14.46</v>
      </c>
      <c r="E51" s="2">
        <v>20.47</v>
      </c>
      <c r="F51" s="2">
        <v>23.69</v>
      </c>
      <c r="G51" s="2">
        <v>21.98</v>
      </c>
      <c r="H51" s="2">
        <v>21.753679999999999</v>
      </c>
      <c r="I51" s="2">
        <v>28.02826</v>
      </c>
      <c r="J51" s="2">
        <v>26.964930200000001</v>
      </c>
      <c r="K51" s="2">
        <v>23.07526</v>
      </c>
      <c r="L51" s="2">
        <v>23.07526</v>
      </c>
      <c r="M51" s="2">
        <v>28.490631</v>
      </c>
      <c r="N51" s="2">
        <v>22.507315999999999</v>
      </c>
      <c r="O51" s="2">
        <v>19.348731999999998</v>
      </c>
      <c r="P51" s="9"/>
      <c r="Q51" s="2">
        <f>SUM(OSRRefD21_0_3x)+IFERROR(SUM(OSRRefE21_0_3x),0)</f>
        <v>273.84406920000004</v>
      </c>
    </row>
    <row r="52" spans="1:17" s="34" customFormat="1" hidden="1" outlineLevel="1" x14ac:dyDescent="0.25">
      <c r="A52" s="35"/>
      <c r="B52" s="13" t="str">
        <f>CONCATENATE("          ","6115", " - ","P.E.R.S.")</f>
        <v xml:space="preserve">          6115 - P.E.R.S.</v>
      </c>
      <c r="C52" s="15"/>
      <c r="D52" s="2">
        <v>264.63</v>
      </c>
      <c r="E52" s="2">
        <v>176.42</v>
      </c>
      <c r="F52" s="2">
        <v>176.42</v>
      </c>
      <c r="G52" s="2">
        <v>176.42</v>
      </c>
      <c r="H52" s="2">
        <v>196.27780000000001</v>
      </c>
      <c r="I52" s="2">
        <v>392.55560000000003</v>
      </c>
      <c r="J52" s="2">
        <v>245.34725</v>
      </c>
      <c r="K52" s="2">
        <v>196.27780000000001</v>
      </c>
      <c r="L52" s="2">
        <v>196.27780000000001</v>
      </c>
      <c r="M52" s="2">
        <v>245.34725</v>
      </c>
      <c r="N52" s="2">
        <v>196.27780000000001</v>
      </c>
      <c r="O52" s="2">
        <v>196.27780000000001</v>
      </c>
      <c r="P52" s="9"/>
      <c r="Q52" s="2">
        <f>SUM(OSRRefD21_0_4x)+IFERROR(SUM(OSRRefE21_0_4x),0)</f>
        <v>2658.5291000000002</v>
      </c>
    </row>
    <row r="53" spans="1:17" s="34" customFormat="1" hidden="1" outlineLevel="1" x14ac:dyDescent="0.25">
      <c r="A53" s="35"/>
      <c r="B53" s="13" t="str">
        <f>CONCATENATE("          ","6116", " - ","EDUCATIONAL BENEFITS")</f>
        <v xml:space="preserve">          6116 - EDUCATIONAL BENEFITS</v>
      </c>
      <c r="C53" s="15"/>
      <c r="D53" s="2"/>
      <c r="E53" s="2"/>
      <c r="F53" s="2"/>
      <c r="G53" s="2"/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SUM(OSRRefD21_0_5x)+IFERROR(SUM(OSRRefE21_0_5x),0)</f>
        <v>0</v>
      </c>
    </row>
    <row r="54" spans="1:17" s="34" customFormat="1" hidden="1" outlineLevel="1" x14ac:dyDescent="0.25">
      <c r="A54" s="35"/>
      <c r="B54" s="13" t="str">
        <f>CONCATENATE("          ","6117", " - ","RETIREMENT STAFF HOURLY")</f>
        <v xml:space="preserve">          6117 - RETIREMENT STAFF HOURLY</v>
      </c>
      <c r="C54" s="15"/>
      <c r="D54" s="2">
        <v>247.54</v>
      </c>
      <c r="E54" s="2">
        <v>190.54</v>
      </c>
      <c r="F54" s="2">
        <v>185.73</v>
      </c>
      <c r="G54" s="2">
        <v>155.75</v>
      </c>
      <c r="H54" s="2"/>
      <c r="I54" s="2"/>
      <c r="J54" s="2"/>
      <c r="K54" s="2"/>
      <c r="L54" s="2"/>
      <c r="M54" s="2"/>
      <c r="N54" s="2"/>
      <c r="O54" s="2"/>
      <c r="P54" s="9"/>
      <c r="Q54" s="2">
        <f>SUM(OSRRefD21_0_6x)+IFERROR(SUM(OSRRefE21_0_6x),0)</f>
        <v>779.56</v>
      </c>
    </row>
    <row r="55" spans="1:17" s="34" customFormat="1" hidden="1" outlineLevel="1" x14ac:dyDescent="0.25">
      <c r="A55" s="35"/>
      <c r="B55" s="13" t="str">
        <f>CONCATENATE("          ","6118", " - ","VACATION")</f>
        <v xml:space="preserve">          6118 - VACATION</v>
      </c>
      <c r="C55" s="15"/>
      <c r="D55" s="2">
        <v>257.8</v>
      </c>
      <c r="E55" s="2">
        <v>257.8</v>
      </c>
      <c r="F55" s="2">
        <v>257.8</v>
      </c>
      <c r="G55" s="2">
        <v>386.7</v>
      </c>
      <c r="H55" s="2">
        <v>194.749</v>
      </c>
      <c r="I55" s="2">
        <v>263.21800000000002</v>
      </c>
      <c r="J55" s="2">
        <v>243.43625</v>
      </c>
      <c r="K55" s="2">
        <v>194.749</v>
      </c>
      <c r="L55" s="2">
        <v>194.749</v>
      </c>
      <c r="M55" s="2">
        <v>243.43625</v>
      </c>
      <c r="N55" s="2">
        <v>194.749</v>
      </c>
      <c r="O55" s="2">
        <v>194.749</v>
      </c>
      <c r="P55" s="9"/>
      <c r="Q55" s="2">
        <f>SUM(OSRRefD21_0_7x)+IFERROR(SUM(OSRRefE21_0_7x),0)</f>
        <v>2883.9355</v>
      </c>
    </row>
    <row r="56" spans="1:17" s="34" customFormat="1" hidden="1" outlineLevel="1" x14ac:dyDescent="0.25">
      <c r="A56" s="35"/>
      <c r="B56" s="13" t="str">
        <f>CONCATENATE("          ","6119", " - ","SICK LEAVE")</f>
        <v xml:space="preserve">          6119 - SICK LEAVE</v>
      </c>
      <c r="C56" s="15"/>
      <c r="D56" s="2">
        <v>256.57</v>
      </c>
      <c r="E56" s="2">
        <v>256.57</v>
      </c>
      <c r="F56" s="2">
        <v>256.57</v>
      </c>
      <c r="G56" s="2">
        <v>384.85</v>
      </c>
      <c r="H56" s="2">
        <v>195.381</v>
      </c>
      <c r="I56" s="2">
        <v>244.95699999999999</v>
      </c>
      <c r="J56" s="2">
        <v>241.60506000000001</v>
      </c>
      <c r="K56" s="2">
        <v>210.63</v>
      </c>
      <c r="L56" s="2">
        <v>210.63</v>
      </c>
      <c r="M56" s="2">
        <v>259.20929999999998</v>
      </c>
      <c r="N56" s="2">
        <v>204.07679999999999</v>
      </c>
      <c r="O56" s="2">
        <v>167.63159999999999</v>
      </c>
      <c r="P56" s="9"/>
      <c r="Q56" s="2">
        <f>SUM(OSRRefD21_0_8x)+IFERROR(SUM(OSRRefE21_0_8x),0)</f>
        <v>2888.6807599999997</v>
      </c>
    </row>
    <row r="57" spans="1:17" s="34" customFormat="1" hidden="1" outlineLevel="1" x14ac:dyDescent="0.25">
      <c r="A57" s="35"/>
      <c r="B57" s="13" t="str">
        <f>CONCATENATE("          ","6156", " - ","EMPLOYEE MEALS")</f>
        <v xml:space="preserve">          6156 - EMPLOYEE MEALS</v>
      </c>
      <c r="C57" s="15"/>
      <c r="D57" s="2">
        <v>178.83</v>
      </c>
      <c r="E57" s="2">
        <v>196.22</v>
      </c>
      <c r="F57" s="2">
        <v>281.77</v>
      </c>
      <c r="G57" s="2">
        <v>223.68</v>
      </c>
      <c r="H57" s="2">
        <v>175</v>
      </c>
      <c r="I57" s="2">
        <v>175</v>
      </c>
      <c r="J57" s="2">
        <v>175</v>
      </c>
      <c r="K57" s="2">
        <v>175</v>
      </c>
      <c r="L57" s="2">
        <v>175</v>
      </c>
      <c r="M57" s="2">
        <v>175</v>
      </c>
      <c r="N57" s="2">
        <v>175</v>
      </c>
      <c r="O57" s="2">
        <v>175</v>
      </c>
      <c r="P57" s="9"/>
      <c r="Q57" s="2">
        <f>SUM(OSRRefD21_0_9x)+IFERROR(SUM(OSRRefE21_0_9x),0)</f>
        <v>2280.5</v>
      </c>
    </row>
    <row r="58" spans="1:17" s="34" customFormat="1" collapsed="1" x14ac:dyDescent="0.25">
      <c r="A58" s="35"/>
      <c r="B58" s="15" t="str">
        <f>CONCATENATE("     ","*Payroll                                          ")</f>
        <v xml:space="preserve">     *Payroll                                          </v>
      </c>
      <c r="C58" s="15"/>
      <c r="D58" s="1">
        <f>SUM(OSRRefD21_1x_0)</f>
        <v>6417.82</v>
      </c>
      <c r="E58" s="1">
        <f>SUM(OSRRefD21_1x_1)</f>
        <v>9389.67</v>
      </c>
      <c r="F58" s="1">
        <f>SUM(OSRRefD21_1x_2)</f>
        <v>7451.68</v>
      </c>
      <c r="G58" s="1">
        <f>SUM(OSRRefD21_1x_3)</f>
        <v>8904.4</v>
      </c>
      <c r="H58" s="1">
        <f>SUM(OSRRefE21_1x_0)</f>
        <v>7976.67</v>
      </c>
      <c r="I58" s="1">
        <f>SUM(OSRRefE21_1x_1)</f>
        <v>10271.924999999999</v>
      </c>
      <c r="J58" s="1">
        <f>SUM(OSRRefE21_1x_2)</f>
        <v>9886.0856899999999</v>
      </c>
      <c r="K58" s="1">
        <f>SUM(OSRRefE21_1x_3)</f>
        <v>8469.7210000000014</v>
      </c>
      <c r="L58" s="1">
        <f>SUM(OSRRefE21_1x_4)</f>
        <v>8469.7210000000014</v>
      </c>
      <c r="M58" s="1">
        <f>SUM(OSRRefE21_1x_5)</f>
        <v>10455.28945</v>
      </c>
      <c r="N58" s="1">
        <f>SUM(OSRRefE21_1x_6)</f>
        <v>8257.8342000000011</v>
      </c>
      <c r="O58" s="1">
        <f>SUM(OSRRefE21_1x_7)</f>
        <v>7079.4394000000002</v>
      </c>
      <c r="Q58" s="2">
        <f>SUM(OSRRefD20_1x)+IFERROR(SUM(OSRRefE20_1x),0)</f>
        <v>103030.25573999999</v>
      </c>
    </row>
    <row r="59" spans="1:17" s="34" customFormat="1" hidden="1" outlineLevel="1" x14ac:dyDescent="0.25">
      <c r="A59" s="35"/>
      <c r="B59" s="13" t="str">
        <f>CONCATENATE("          ","6001", " - ","ADMINISTRATIVE SALARIES")</f>
        <v xml:space="preserve">          6001 - ADMINISTRATIVE SALARIES</v>
      </c>
      <c r="C59" s="15"/>
      <c r="D59" s="2"/>
      <c r="E59" s="2"/>
      <c r="F59" s="2"/>
      <c r="G59" s="2"/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SUM(OSRRefD21_1_0x)+IFERROR(SUM(OSRRefE21_1_0x),0)</f>
        <v>0</v>
      </c>
    </row>
    <row r="60" spans="1:17" s="34" customFormat="1" hidden="1" outlineLevel="1" x14ac:dyDescent="0.25">
      <c r="A60" s="35"/>
      <c r="B60" s="13" t="str">
        <f>CONCATENATE("          ","6002", " - ","STAFF SALARIES")</f>
        <v xml:space="preserve">          6002 - STAFF SALARIES</v>
      </c>
      <c r="C60" s="15"/>
      <c r="D60" s="2">
        <v>2625.07</v>
      </c>
      <c r="E60" s="2">
        <v>2054.0700000000002</v>
      </c>
      <c r="F60" s="2">
        <v>2282.3000000000002</v>
      </c>
      <c r="G60" s="2">
        <v>2395.9899999999998</v>
      </c>
      <c r="H60" s="2">
        <v>2168.1849999999999</v>
      </c>
      <c r="I60" s="2">
        <v>4336.37</v>
      </c>
      <c r="J60" s="2">
        <v>2710.2312499999998</v>
      </c>
      <c r="K60" s="2">
        <v>2168.1849999999999</v>
      </c>
      <c r="L60" s="2">
        <v>2168.1849999999999</v>
      </c>
      <c r="M60" s="2">
        <v>2710.2312499999998</v>
      </c>
      <c r="N60" s="2">
        <v>2168.1849999999999</v>
      </c>
      <c r="O60" s="2">
        <v>2168.1849999999999</v>
      </c>
      <c r="P60" s="9"/>
      <c r="Q60" s="2">
        <f>SUM(OSRRefD21_1_1x)+IFERROR(SUM(OSRRefE21_1_1x),0)</f>
        <v>29955.187500000004</v>
      </c>
    </row>
    <row r="61" spans="1:17" s="34" customFormat="1" hidden="1" outlineLevel="1" x14ac:dyDescent="0.25">
      <c r="A61" s="35"/>
      <c r="B61" s="13" t="str">
        <f>CONCATENATE("          ","6003", " - ","STAFF HOURLY-9 MONTH")</f>
        <v xml:space="preserve">          6003 - STAFF HOURLY-9 MONTH</v>
      </c>
      <c r="C61" s="15"/>
      <c r="D61" s="2"/>
      <c r="E61" s="2"/>
      <c r="F61" s="2"/>
      <c r="G61" s="2"/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SUM(OSRRefD21_1_2x)+IFERROR(SUM(OSRRefE21_1_2x),0)</f>
        <v>0</v>
      </c>
    </row>
    <row r="62" spans="1:17" s="34" customFormat="1" hidden="1" outlineLevel="1" x14ac:dyDescent="0.25">
      <c r="A62" s="35"/>
      <c r="B62" s="13" t="str">
        <f>CONCATENATE("          ","6004", " - ","STAFF HOURLY")</f>
        <v xml:space="preserve">          6004 - STAFF HOURLY</v>
      </c>
      <c r="C62" s="15"/>
      <c r="D62" s="2">
        <v>3023.75</v>
      </c>
      <c r="E62" s="2">
        <v>3810.96</v>
      </c>
      <c r="F62" s="2">
        <v>3714.5</v>
      </c>
      <c r="G62" s="2">
        <v>3871.43</v>
      </c>
      <c r="H62" s="2">
        <v>3088.12</v>
      </c>
      <c r="I62" s="2">
        <v>3088.12</v>
      </c>
      <c r="J62" s="2">
        <v>3860.15</v>
      </c>
      <c r="K62" s="2">
        <v>3088.12</v>
      </c>
      <c r="L62" s="2">
        <v>3088.12</v>
      </c>
      <c r="M62" s="2">
        <v>3860.15</v>
      </c>
      <c r="N62" s="2">
        <v>3088.12</v>
      </c>
      <c r="O62" s="2">
        <v>3088.12</v>
      </c>
      <c r="P62" s="9"/>
      <c r="Q62" s="2">
        <f>SUM(OSRRefD21_1_3x)+IFERROR(SUM(OSRRefE21_1_3x),0)</f>
        <v>40669.659999999996</v>
      </c>
    </row>
    <row r="63" spans="1:17" s="34" customFormat="1" hidden="1" outlineLevel="1" x14ac:dyDescent="0.25">
      <c r="A63" s="35"/>
      <c r="B63" s="13" t="str">
        <f>CONCATENATE("          ","6005", " - ","TEMPORARY WAGES-HOURLY")</f>
        <v xml:space="preserve">          6005 - TEMPORARY WAGES-HOURLY</v>
      </c>
      <c r="C63" s="15"/>
      <c r="D63" s="2"/>
      <c r="E63" s="2"/>
      <c r="F63" s="2"/>
      <c r="G63" s="2"/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SUM(OSRRefD21_1_4x)+IFERROR(SUM(OSRRefE21_1_4x),0)</f>
        <v>0</v>
      </c>
    </row>
    <row r="64" spans="1:17" s="34" customFormat="1" hidden="1" outlineLevel="1" x14ac:dyDescent="0.25">
      <c r="A64" s="35"/>
      <c r="B64" s="13" t="str">
        <f>CONCATENATE("          ","6006", " - ","TEMPORARY PART TIME")</f>
        <v xml:space="preserve">          6006 - TEMPORARY PART TIME</v>
      </c>
      <c r="C64" s="15"/>
      <c r="D64" s="2"/>
      <c r="E64" s="2"/>
      <c r="F64" s="2"/>
      <c r="G64" s="2"/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SUM(OSRRefD21_1_5x)+IFERROR(SUM(OSRRefE21_1_5x),0)</f>
        <v>0</v>
      </c>
    </row>
    <row r="65" spans="1:17" s="34" customFormat="1" hidden="1" outlineLevel="1" x14ac:dyDescent="0.25">
      <c r="A65" s="35"/>
      <c r="B65" s="13" t="str">
        <f>CONCATENATE("          ","6007", " - ","STUDENT HOURLY")</f>
        <v xml:space="preserve">          6007 - STUDENT HOURLY</v>
      </c>
      <c r="C65" s="15"/>
      <c r="D65" s="2">
        <v>769</v>
      </c>
      <c r="E65" s="2">
        <v>3524.64</v>
      </c>
      <c r="F65" s="2">
        <v>1454.88</v>
      </c>
      <c r="G65" s="2">
        <v>2636.98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1823.1343999999999</v>
      </c>
      <c r="P65" s="9"/>
      <c r="Q65" s="2">
        <f>SUM(OSRRefD21_1_6x)+IFERROR(SUM(OSRRefE21_1_6x),0)</f>
        <v>10208.634399999999</v>
      </c>
    </row>
    <row r="66" spans="1:17" s="34" customFormat="1" hidden="1" outlineLevel="1" x14ac:dyDescent="0.25">
      <c r="A66" s="35"/>
      <c r="B66" s="13" t="str">
        <f>CONCATENATE("          ","6008", " - ","STUDENT HOURLY-FICA EXEMPT")</f>
        <v xml:space="preserve">          6008 - STUDENT HOURLY-FICA EXEMPT</v>
      </c>
      <c r="C66" s="15"/>
      <c r="D66" s="2"/>
      <c r="E66" s="2"/>
      <c r="F66" s="2"/>
      <c r="G66" s="2"/>
      <c r="H66" s="2">
        <v>2720.3649999999998</v>
      </c>
      <c r="I66" s="2">
        <v>2847.4349999999999</v>
      </c>
      <c r="J66" s="2">
        <v>3315.70444</v>
      </c>
      <c r="K66" s="2">
        <v>3213.4160000000002</v>
      </c>
      <c r="L66" s="2">
        <v>3213.4160000000002</v>
      </c>
      <c r="M66" s="2">
        <v>3884.9081999999999</v>
      </c>
      <c r="N66" s="2">
        <v>3001.5291999999999</v>
      </c>
      <c r="O66" s="2">
        <v>0</v>
      </c>
      <c r="P66" s="9"/>
      <c r="Q66" s="2">
        <f>SUM(OSRRefD21_1_7x)+IFERROR(SUM(OSRRefE21_1_7x),0)</f>
        <v>22196.773839999998</v>
      </c>
    </row>
    <row r="67" spans="1:17" s="34" customFormat="1" hidden="1" outlineLevel="1" x14ac:dyDescent="0.25">
      <c r="A67" s="35"/>
      <c r="B67" s="13" t="str">
        <f>CONCATENATE("          ","6009", " - ","TEMPORARY-SEASONAL")</f>
        <v xml:space="preserve">          6009 - TEMPORARY-SEASONAL</v>
      </c>
      <c r="C67" s="15"/>
      <c r="D67" s="2"/>
      <c r="E67" s="2"/>
      <c r="F67" s="2"/>
      <c r="G67" s="2"/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SUM(OSRRefD21_1_8x)+IFERROR(SUM(OSRRefE21_1_8x),0)</f>
        <v>0</v>
      </c>
    </row>
    <row r="68" spans="1:17" s="34" customFormat="1" hidden="1" outlineLevel="1" x14ac:dyDescent="0.25">
      <c r="A68" s="35"/>
      <c r="B68" s="13" t="str">
        <f>CONCATENATE("          ","6010", " - ","GRATUITY")</f>
        <v xml:space="preserve">          6010 - GRATUITY</v>
      </c>
      <c r="C68" s="15"/>
      <c r="D68" s="2"/>
      <c r="E68" s="2"/>
      <c r="F68" s="2"/>
      <c r="G68" s="2"/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SUM(OSRRefD21_1_9x)+IFERROR(SUM(OSRRefE21_1_9x),0)</f>
        <v>0</v>
      </c>
    </row>
    <row r="69" spans="1:17" s="34" customFormat="1" collapsed="1" x14ac:dyDescent="0.25">
      <c r="A69" s="35"/>
      <c r="B69" s="15" t="str">
        <f>CONCATENATE("     ","Advertising/Promo                                 ")</f>
        <v xml:space="preserve">     Advertising/Promo                                 </v>
      </c>
      <c r="C69" s="15"/>
      <c r="D69" s="1">
        <f>SUM(OSRRefD21_2x_0)</f>
        <v>149.65</v>
      </c>
      <c r="E69" s="1">
        <f>SUM(OSRRefD21_2x_1)</f>
        <v>99.23</v>
      </c>
      <c r="F69" s="1">
        <f>SUM(OSRRefD21_2x_2)</f>
        <v>0</v>
      </c>
      <c r="G69" s="1">
        <f>SUM(OSRRefD21_2x_3)</f>
        <v>0</v>
      </c>
      <c r="H69" s="1">
        <f>SUM(OSRRefE21_2x_0)</f>
        <v>150</v>
      </c>
      <c r="I69" s="1">
        <f>SUM(OSRRefE21_2x_1)</f>
        <v>150</v>
      </c>
      <c r="J69" s="1">
        <f>SUM(OSRRefE21_2x_2)</f>
        <v>150</v>
      </c>
      <c r="K69" s="1">
        <f>SUM(OSRRefE21_2x_3)</f>
        <v>150</v>
      </c>
      <c r="L69" s="1">
        <f>SUM(OSRRefE21_2x_4)</f>
        <v>150</v>
      </c>
      <c r="M69" s="1">
        <f>SUM(OSRRefE21_2x_5)</f>
        <v>150</v>
      </c>
      <c r="N69" s="1">
        <f>SUM(OSRRefE21_2x_6)</f>
        <v>150</v>
      </c>
      <c r="O69" s="1">
        <f>SUM(OSRRefE21_2x_7)</f>
        <v>150</v>
      </c>
      <c r="Q69" s="2">
        <f>SUM(OSRRefD20_2x)+IFERROR(SUM(OSRRefE20_2x),0)</f>
        <v>1448.88</v>
      </c>
    </row>
    <row r="70" spans="1:17" s="34" customFormat="1" hidden="1" outlineLevel="1" x14ac:dyDescent="0.25">
      <c r="A70" s="35"/>
      <c r="B70" s="13" t="str">
        <f>CONCATENATE("          ","6362", " - ","ADVERTISING EXPENSE")</f>
        <v xml:space="preserve">          6362 - ADVERTISING EXPENSE</v>
      </c>
      <c r="C70" s="15"/>
      <c r="D70" s="2">
        <v>149.65</v>
      </c>
      <c r="E70" s="2">
        <v>99.23</v>
      </c>
      <c r="F70" s="2"/>
      <c r="G70" s="2"/>
      <c r="H70" s="2">
        <v>150</v>
      </c>
      <c r="I70" s="2">
        <v>150</v>
      </c>
      <c r="J70" s="2">
        <v>150</v>
      </c>
      <c r="K70" s="2">
        <v>150</v>
      </c>
      <c r="L70" s="2">
        <v>150</v>
      </c>
      <c r="M70" s="2">
        <v>150</v>
      </c>
      <c r="N70" s="2">
        <v>150</v>
      </c>
      <c r="O70" s="2">
        <v>150</v>
      </c>
      <c r="P70" s="9"/>
      <c r="Q70" s="2">
        <f>SUM(OSRRefD21_2_0x)+IFERROR(SUM(OSRRefE21_2_0x),0)</f>
        <v>1448.88</v>
      </c>
    </row>
    <row r="71" spans="1:17" s="34" customFormat="1" collapsed="1" x14ac:dyDescent="0.25">
      <c r="A71" s="35"/>
      <c r="B71" s="15" t="str">
        <f>CONCATENATE("     ","Depreciation                                      ")</f>
        <v xml:space="preserve">     Depreciation                                      </v>
      </c>
      <c r="C71" s="15"/>
      <c r="D71" s="1">
        <f>SUM(OSRRefD21_3x_0)</f>
        <v>280.44</v>
      </c>
      <c r="E71" s="1">
        <f>SUM(OSRRefD21_3x_1)</f>
        <v>280.44</v>
      </c>
      <c r="F71" s="1">
        <f>SUM(OSRRefD21_3x_2)</f>
        <v>280.44</v>
      </c>
      <c r="G71" s="1">
        <f>SUM(OSRRefD21_3x_3)</f>
        <v>280.44</v>
      </c>
      <c r="H71" s="1">
        <f>SUM(OSRRefE21_3x_0)</f>
        <v>300</v>
      </c>
      <c r="I71" s="1">
        <f>SUM(OSRRefE21_3x_1)</f>
        <v>300</v>
      </c>
      <c r="J71" s="1">
        <f>SUM(OSRRefE21_3x_2)</f>
        <v>300</v>
      </c>
      <c r="K71" s="1">
        <f>SUM(OSRRefE21_3x_3)</f>
        <v>300</v>
      </c>
      <c r="L71" s="1">
        <f>SUM(OSRRefE21_3x_4)</f>
        <v>300</v>
      </c>
      <c r="M71" s="1">
        <f>SUM(OSRRefE21_3x_5)</f>
        <v>300</v>
      </c>
      <c r="N71" s="1">
        <f>SUM(OSRRefE21_3x_6)</f>
        <v>300</v>
      </c>
      <c r="O71" s="1">
        <f>SUM(OSRRefE21_3x_7)</f>
        <v>300</v>
      </c>
      <c r="Q71" s="2">
        <f>SUM(OSRRefD20_3x)+IFERROR(SUM(OSRRefE20_3x),0)</f>
        <v>3521.76</v>
      </c>
    </row>
    <row r="72" spans="1:17" s="34" customFormat="1" hidden="1" outlineLevel="1" x14ac:dyDescent="0.25">
      <c r="A72" s="35"/>
      <c r="B72" s="13" t="str">
        <f>CONCATENATE("          ","6322", " - ","EQUIPMENT DEPRECIATION EXPENSE")</f>
        <v xml:space="preserve">          6322 - EQUIPMENT DEPRECIATION EXPENSE</v>
      </c>
      <c r="C72" s="15"/>
      <c r="D72" s="2">
        <v>280.44</v>
      </c>
      <c r="E72" s="2">
        <v>280.44</v>
      </c>
      <c r="F72" s="2">
        <v>280.44</v>
      </c>
      <c r="G72" s="2">
        <v>280.44</v>
      </c>
      <c r="H72" s="2">
        <v>300</v>
      </c>
      <c r="I72" s="2">
        <v>300</v>
      </c>
      <c r="J72" s="2">
        <v>300</v>
      </c>
      <c r="K72" s="2">
        <v>300</v>
      </c>
      <c r="L72" s="2">
        <v>300</v>
      </c>
      <c r="M72" s="2">
        <v>300</v>
      </c>
      <c r="N72" s="2">
        <v>300</v>
      </c>
      <c r="O72" s="2">
        <v>300</v>
      </c>
      <c r="P72" s="9"/>
      <c r="Q72" s="2">
        <f>SUM(OSRRefD21_3_0x)+IFERROR(SUM(OSRRefE21_3_0x),0)</f>
        <v>3521.76</v>
      </c>
    </row>
    <row r="73" spans="1:17" s="34" customFormat="1" collapsed="1" x14ac:dyDescent="0.25">
      <c r="A73" s="35"/>
      <c r="B73" s="15" t="str">
        <f>CONCATENATE("     ","Discounts and Markdowns                           ")</f>
        <v xml:space="preserve">     Discounts and Markdowns                           </v>
      </c>
      <c r="C73" s="15"/>
      <c r="D73" s="1">
        <f>SUM(OSRRefD21_4x_0)</f>
        <v>0</v>
      </c>
      <c r="E73" s="1">
        <f>SUM(OSRRefD21_4x_1)</f>
        <v>0</v>
      </c>
      <c r="F73" s="1">
        <f>SUM(OSRRefD21_4x_2)</f>
        <v>0</v>
      </c>
      <c r="G73" s="1">
        <f>SUM(OSRRefD21_4x_3)</f>
        <v>0</v>
      </c>
      <c r="H73" s="1">
        <f>SUM(OSRRefE21_4x_0)</f>
        <v>2067</v>
      </c>
      <c r="I73" s="1">
        <f>SUM(OSRRefE21_4x_1)</f>
        <v>1089</v>
      </c>
      <c r="J73" s="1">
        <f>SUM(OSRRefE21_4x_2)</f>
        <v>2771</v>
      </c>
      <c r="K73" s="1">
        <f>SUM(OSRRefE21_4x_3)</f>
        <v>1617</v>
      </c>
      <c r="L73" s="1">
        <f>SUM(OSRRefE21_4x_4)</f>
        <v>1472</v>
      </c>
      <c r="M73" s="1">
        <f>SUM(OSRRefE21_4x_5)</f>
        <v>3883</v>
      </c>
      <c r="N73" s="1">
        <f>SUM(OSRRefE21_4x_6)</f>
        <v>1493</v>
      </c>
      <c r="O73" s="1">
        <f>SUM(OSRRefE21_4x_7)</f>
        <v>4364</v>
      </c>
      <c r="Q73" s="2">
        <f>SUM(OSRRefD20_4x)+IFERROR(SUM(OSRRefE20_4x),0)</f>
        <v>18756</v>
      </c>
    </row>
    <row r="74" spans="1:17" s="34" customFormat="1" hidden="1" outlineLevel="1" x14ac:dyDescent="0.25">
      <c r="A74" s="35"/>
      <c r="B74" s="13" t="str">
        <f>CONCATENATE("          ","6382", " - ","DISCOUNTS/MARK DOWNS")</f>
        <v xml:space="preserve">          6382 - DISCOUNTS/MARK DOWNS</v>
      </c>
      <c r="C74" s="15"/>
      <c r="D74" s="2"/>
      <c r="E74" s="2"/>
      <c r="F74" s="2"/>
      <c r="G74" s="2"/>
      <c r="H74" s="2">
        <v>2067</v>
      </c>
      <c r="I74" s="2">
        <v>1089</v>
      </c>
      <c r="J74" s="2">
        <v>2771</v>
      </c>
      <c r="K74" s="2">
        <v>1617</v>
      </c>
      <c r="L74" s="2">
        <v>1472</v>
      </c>
      <c r="M74" s="2">
        <v>3883</v>
      </c>
      <c r="N74" s="2">
        <v>1493</v>
      </c>
      <c r="O74" s="2">
        <v>4364</v>
      </c>
      <c r="P74" s="9"/>
      <c r="Q74" s="2">
        <f>SUM(OSRRefD21_4_0x)+IFERROR(SUM(OSRRefE21_4_0x),0)</f>
        <v>18756</v>
      </c>
    </row>
    <row r="75" spans="1:17" s="34" customFormat="1" collapsed="1" x14ac:dyDescent="0.25">
      <c r="A75" s="35"/>
      <c r="B75" s="15" t="str">
        <f>CONCATENATE("     ","Employees' Appreciation                           ")</f>
        <v xml:space="preserve">     Employees' Appreciation                           </v>
      </c>
      <c r="C75" s="15"/>
      <c r="D75" s="1">
        <f>SUM(OSRRefD21_5x_0)</f>
        <v>0</v>
      </c>
      <c r="E75" s="1">
        <f>SUM(OSRRefD21_5x_1)</f>
        <v>0</v>
      </c>
      <c r="F75" s="1">
        <f>SUM(OSRRefD21_5x_2)</f>
        <v>0</v>
      </c>
      <c r="G75" s="1">
        <f>SUM(OSRRefD21_5x_3)</f>
        <v>0</v>
      </c>
      <c r="H75" s="1">
        <f>SUM(OSRRefE21_5x_0)</f>
        <v>20</v>
      </c>
      <c r="I75" s="1">
        <f>SUM(OSRRefE21_5x_1)</f>
        <v>20</v>
      </c>
      <c r="J75" s="1">
        <f>SUM(OSRRefE21_5x_2)</f>
        <v>20</v>
      </c>
      <c r="K75" s="1">
        <f>SUM(OSRRefE21_5x_3)</f>
        <v>20</v>
      </c>
      <c r="L75" s="1">
        <f>SUM(OSRRefE21_5x_4)</f>
        <v>20</v>
      </c>
      <c r="M75" s="1">
        <f>SUM(OSRRefE21_5x_5)</f>
        <v>20</v>
      </c>
      <c r="N75" s="1">
        <f>SUM(OSRRefE21_5x_6)</f>
        <v>20</v>
      </c>
      <c r="O75" s="1">
        <f>SUM(OSRRefE21_5x_7)</f>
        <v>20</v>
      </c>
      <c r="Q75" s="2">
        <f>SUM(OSRRefD20_5x)+IFERROR(SUM(OSRRefE20_5x),0)</f>
        <v>160</v>
      </c>
    </row>
    <row r="76" spans="1:17" s="34" customFormat="1" hidden="1" outlineLevel="1" x14ac:dyDescent="0.25">
      <c r="A76" s="35"/>
      <c r="B76" s="13" t="str">
        <f>CONCATENATE("          ","6277", " - ","EMPLOYEE APPRECIATION")</f>
        <v xml:space="preserve">          6277 - EMPLOYEE APPRECIATION</v>
      </c>
      <c r="C76" s="15"/>
      <c r="D76" s="2"/>
      <c r="E76" s="2"/>
      <c r="F76" s="2"/>
      <c r="G76" s="2"/>
      <c r="H76" s="2">
        <v>20</v>
      </c>
      <c r="I76" s="2">
        <v>20</v>
      </c>
      <c r="J76" s="2">
        <v>20</v>
      </c>
      <c r="K76" s="2">
        <v>20</v>
      </c>
      <c r="L76" s="2">
        <v>20</v>
      </c>
      <c r="M76" s="2">
        <v>20</v>
      </c>
      <c r="N76" s="2">
        <v>20</v>
      </c>
      <c r="O76" s="2">
        <v>20</v>
      </c>
      <c r="P76" s="9"/>
      <c r="Q76" s="2">
        <f>SUM(OSRRefD21_5_0x)+IFERROR(SUM(OSRRefE21_5_0x),0)</f>
        <v>160</v>
      </c>
    </row>
    <row r="77" spans="1:17" s="34" customFormat="1" collapsed="1" x14ac:dyDescent="0.25">
      <c r="A77" s="35"/>
      <c r="B77" s="15" t="str">
        <f>CONCATENATE("     ","Freight out/Postage                               ")</f>
        <v xml:space="preserve">     Freight out/Postage                               </v>
      </c>
      <c r="C77" s="15"/>
      <c r="D77" s="1">
        <f>SUM(OSRRefD21_6x_0)</f>
        <v>10.61</v>
      </c>
      <c r="E77" s="1">
        <f>SUM(OSRRefD21_6x_1)</f>
        <v>179.14000000000001</v>
      </c>
      <c r="F77" s="1">
        <f>SUM(OSRRefD21_6x_2)</f>
        <v>87.509999999999991</v>
      </c>
      <c r="G77" s="1">
        <f>SUM(OSRRefD21_6x_3)</f>
        <v>273.20999999999998</v>
      </c>
      <c r="H77" s="1">
        <f>SUM(OSRRefE21_6x_0)</f>
        <v>100</v>
      </c>
      <c r="I77" s="1">
        <f>SUM(OSRRefE21_6x_1)</f>
        <v>100</v>
      </c>
      <c r="J77" s="1">
        <f>SUM(OSRRefE21_6x_2)</f>
        <v>100</v>
      </c>
      <c r="K77" s="1">
        <f>SUM(OSRRefE21_6x_3)</f>
        <v>100</v>
      </c>
      <c r="L77" s="1">
        <f>SUM(OSRRefE21_6x_4)</f>
        <v>100</v>
      </c>
      <c r="M77" s="1">
        <f>SUM(OSRRefE21_6x_5)</f>
        <v>100</v>
      </c>
      <c r="N77" s="1">
        <f>SUM(OSRRefE21_6x_6)</f>
        <v>100</v>
      </c>
      <c r="O77" s="1">
        <f>SUM(OSRRefE21_6x_7)</f>
        <v>100</v>
      </c>
      <c r="Q77" s="2">
        <f>SUM(OSRRefD20_6x)+IFERROR(SUM(OSRRefE20_6x),0)</f>
        <v>1350.47</v>
      </c>
    </row>
    <row r="78" spans="1:17" s="34" customFormat="1" hidden="1" outlineLevel="1" x14ac:dyDescent="0.25">
      <c r="A78" s="35"/>
      <c r="B78" s="13" t="str">
        <f>CONCATENATE("          ","6305", " - ","FREIGHT OUT")</f>
        <v xml:space="preserve">          6305 - FREIGHT OUT</v>
      </c>
      <c r="C78" s="15"/>
      <c r="D78" s="2">
        <v>5.61</v>
      </c>
      <c r="E78" s="2">
        <v>175.34</v>
      </c>
      <c r="F78" s="2">
        <v>83.71</v>
      </c>
      <c r="G78" s="2">
        <v>273.20999999999998</v>
      </c>
      <c r="H78" s="2">
        <v>100</v>
      </c>
      <c r="I78" s="2">
        <v>100</v>
      </c>
      <c r="J78" s="2">
        <v>100</v>
      </c>
      <c r="K78" s="2">
        <v>100</v>
      </c>
      <c r="L78" s="2">
        <v>100</v>
      </c>
      <c r="M78" s="2">
        <v>100</v>
      </c>
      <c r="N78" s="2">
        <v>100</v>
      </c>
      <c r="O78" s="2">
        <v>100</v>
      </c>
      <c r="P78" s="9"/>
      <c r="Q78" s="2">
        <f>SUM(OSRRefD21_6_0x)+IFERROR(SUM(OSRRefE21_6_0x),0)</f>
        <v>1337.87</v>
      </c>
    </row>
    <row r="79" spans="1:17" s="34" customFormat="1" hidden="1" outlineLevel="1" x14ac:dyDescent="0.25">
      <c r="A79" s="35"/>
      <c r="B79" s="13" t="str">
        <f>CONCATENATE("          ","6307", " - ","POSTAGE")</f>
        <v xml:space="preserve">          6307 - POSTAGE</v>
      </c>
      <c r="C79" s="15"/>
      <c r="D79" s="2">
        <v>5</v>
      </c>
      <c r="E79" s="2">
        <v>3.8</v>
      </c>
      <c r="F79" s="2">
        <v>3.8</v>
      </c>
      <c r="G79" s="2"/>
      <c r="H79" s="2"/>
      <c r="I79" s="2"/>
      <c r="J79" s="2"/>
      <c r="K79" s="2"/>
      <c r="L79" s="2"/>
      <c r="M79" s="2"/>
      <c r="N79" s="2"/>
      <c r="O79" s="2"/>
      <c r="P79" s="9"/>
      <c r="Q79" s="2">
        <f>SUM(OSRRefD21_6_1x)+IFERROR(SUM(OSRRefE21_6_1x),0)</f>
        <v>12.600000000000001</v>
      </c>
    </row>
    <row r="80" spans="1:17" s="34" customFormat="1" collapsed="1" x14ac:dyDescent="0.25">
      <c r="A80" s="35"/>
      <c r="B80" s="15" t="str">
        <f>CONCATENATE("     ","General                                           ")</f>
        <v xml:space="preserve">     General                                           </v>
      </c>
      <c r="C80" s="15"/>
      <c r="D80" s="1">
        <f>SUM(OSRRefD21_7x_0)</f>
        <v>-30.15</v>
      </c>
      <c r="E80" s="1">
        <f>SUM(OSRRefD21_7x_1)</f>
        <v>0</v>
      </c>
      <c r="F80" s="1">
        <f>SUM(OSRRefD21_7x_2)</f>
        <v>0</v>
      </c>
      <c r="G80" s="1">
        <f>SUM(OSRRefD21_7x_3)</f>
        <v>0</v>
      </c>
      <c r="H80" s="1">
        <f>SUM(OSRRefE21_7x_0)</f>
        <v>30</v>
      </c>
      <c r="I80" s="1">
        <f>SUM(OSRRefE21_7x_1)</f>
        <v>30</v>
      </c>
      <c r="J80" s="1">
        <f>SUM(OSRRefE21_7x_2)</f>
        <v>30</v>
      </c>
      <c r="K80" s="1">
        <f>SUM(OSRRefE21_7x_3)</f>
        <v>30</v>
      </c>
      <c r="L80" s="1">
        <f>SUM(OSRRefE21_7x_4)</f>
        <v>30</v>
      </c>
      <c r="M80" s="1">
        <f>SUM(OSRRefE21_7x_5)</f>
        <v>30</v>
      </c>
      <c r="N80" s="1">
        <f>SUM(OSRRefE21_7x_6)</f>
        <v>30</v>
      </c>
      <c r="O80" s="1">
        <f>SUM(OSRRefE21_7x_7)</f>
        <v>30</v>
      </c>
      <c r="Q80" s="2">
        <f>SUM(OSRRefD20_7x)+IFERROR(SUM(OSRRefE20_7x),0)</f>
        <v>209.85</v>
      </c>
    </row>
    <row r="81" spans="1:17" s="34" customFormat="1" hidden="1" outlineLevel="1" x14ac:dyDescent="0.25">
      <c r="A81" s="35"/>
      <c r="B81" s="13" t="str">
        <f>CONCATENATE("          ","6279", " - ","GENERAL EXPENSE")</f>
        <v xml:space="preserve">          6279 - GENERAL EXPENSE</v>
      </c>
      <c r="C81" s="15"/>
      <c r="D81" s="2">
        <v>-30.15</v>
      </c>
      <c r="E81" s="2"/>
      <c r="F81" s="2"/>
      <c r="G81" s="2"/>
      <c r="H81" s="2">
        <v>30</v>
      </c>
      <c r="I81" s="2">
        <v>30</v>
      </c>
      <c r="J81" s="2">
        <v>30</v>
      </c>
      <c r="K81" s="2">
        <v>30</v>
      </c>
      <c r="L81" s="2">
        <v>30</v>
      </c>
      <c r="M81" s="2">
        <v>30</v>
      </c>
      <c r="N81" s="2">
        <v>30</v>
      </c>
      <c r="O81" s="2">
        <v>30</v>
      </c>
      <c r="P81" s="9"/>
      <c r="Q81" s="2">
        <f>SUM(OSRRefD21_7_0x)+IFERROR(SUM(OSRRefE21_7_0x),0)</f>
        <v>209.85</v>
      </c>
    </row>
    <row r="82" spans="1:17" s="34" customFormat="1" collapsed="1" x14ac:dyDescent="0.25">
      <c r="A82" s="35"/>
      <c r="B82" s="15" t="str">
        <f>CONCATENATE("     ","Inventory Adjustment                              ")</f>
        <v xml:space="preserve">     Inventory Adjustment                              </v>
      </c>
      <c r="C82" s="15"/>
      <c r="D82" s="1">
        <f>SUM(OSRRefD21_8x_0)</f>
        <v>1250</v>
      </c>
      <c r="E82" s="1">
        <f>SUM(OSRRefD21_8x_1)</f>
        <v>1250</v>
      </c>
      <c r="F82" s="1">
        <f>SUM(OSRRefD21_8x_2)</f>
        <v>1250</v>
      </c>
      <c r="G82" s="1">
        <f>SUM(OSRRefD21_8x_3)</f>
        <v>1250</v>
      </c>
      <c r="H82" s="1">
        <f>SUM(OSRRefE21_8x_0)</f>
        <v>1250</v>
      </c>
      <c r="I82" s="1">
        <f>SUM(OSRRefE21_8x_1)</f>
        <v>1250</v>
      </c>
      <c r="J82" s="1">
        <f>SUM(OSRRefE21_8x_2)</f>
        <v>1250</v>
      </c>
      <c r="K82" s="1">
        <f>SUM(OSRRefE21_8x_3)</f>
        <v>1250</v>
      </c>
      <c r="L82" s="1">
        <f>SUM(OSRRefE21_8x_4)</f>
        <v>1250</v>
      </c>
      <c r="M82" s="1">
        <f>SUM(OSRRefE21_8x_5)</f>
        <v>1250</v>
      </c>
      <c r="N82" s="1">
        <f>SUM(OSRRefE21_8x_6)</f>
        <v>1250</v>
      </c>
      <c r="O82" s="1">
        <f>SUM(OSRRefE21_8x_7)</f>
        <v>1250</v>
      </c>
      <c r="Q82" s="2">
        <f>SUM(OSRRefD20_8x)+IFERROR(SUM(OSRRefE20_8x),0)</f>
        <v>15000</v>
      </c>
    </row>
    <row r="83" spans="1:17" s="34" customFormat="1" hidden="1" outlineLevel="1" x14ac:dyDescent="0.25">
      <c r="A83" s="35"/>
      <c r="B83" s="13" t="str">
        <f>CONCATENATE("          ","6408", " - ","INVENTORY ADJUSTMENT")</f>
        <v xml:space="preserve">          6408 - INVENTORY ADJUSTMENT</v>
      </c>
      <c r="C83" s="15"/>
      <c r="D83" s="2">
        <v>1250</v>
      </c>
      <c r="E83" s="2">
        <v>1250</v>
      </c>
      <c r="F83" s="2">
        <v>1250</v>
      </c>
      <c r="G83" s="2">
        <v>1250</v>
      </c>
      <c r="H83" s="2">
        <v>1250</v>
      </c>
      <c r="I83" s="2">
        <v>1250</v>
      </c>
      <c r="J83" s="2">
        <v>1250</v>
      </c>
      <c r="K83" s="2">
        <v>1250</v>
      </c>
      <c r="L83" s="2">
        <v>1250</v>
      </c>
      <c r="M83" s="2">
        <v>1250</v>
      </c>
      <c r="N83" s="2">
        <v>1250</v>
      </c>
      <c r="O83" s="2">
        <v>1250</v>
      </c>
      <c r="P83" s="9"/>
      <c r="Q83" s="2">
        <f>SUM(OSRRefD21_8_0x)+IFERROR(SUM(OSRRefE21_8_0x),0)</f>
        <v>15000</v>
      </c>
    </row>
    <row r="84" spans="1:17" s="34" customFormat="1" collapsed="1" x14ac:dyDescent="0.25">
      <c r="A84" s="35"/>
      <c r="B84" s="15" t="str">
        <f>CONCATENATE("     ","Repair and Maintenance                            ")</f>
        <v xml:space="preserve">     Repair and Maintenance                            </v>
      </c>
      <c r="C84" s="15"/>
      <c r="D84" s="1">
        <f>SUM(OSRRefD21_9x_0)</f>
        <v>0</v>
      </c>
      <c r="E84" s="1">
        <f>SUM(OSRRefD21_9x_1)</f>
        <v>0</v>
      </c>
      <c r="F84" s="1">
        <f>SUM(OSRRefD21_9x_2)</f>
        <v>0</v>
      </c>
      <c r="G84" s="1">
        <f>SUM(OSRRefD21_9x_3)</f>
        <v>0</v>
      </c>
      <c r="H84" s="1">
        <f>SUM(OSRRefE21_9x_0)</f>
        <v>20</v>
      </c>
      <c r="I84" s="1">
        <f>SUM(OSRRefE21_9x_1)</f>
        <v>20</v>
      </c>
      <c r="J84" s="1">
        <f>SUM(OSRRefE21_9x_2)</f>
        <v>20</v>
      </c>
      <c r="K84" s="1">
        <f>SUM(OSRRefE21_9x_3)</f>
        <v>20</v>
      </c>
      <c r="L84" s="1">
        <f>SUM(OSRRefE21_9x_4)</f>
        <v>20</v>
      </c>
      <c r="M84" s="1">
        <f>SUM(OSRRefE21_9x_5)</f>
        <v>20</v>
      </c>
      <c r="N84" s="1">
        <f>SUM(OSRRefE21_9x_6)</f>
        <v>20</v>
      </c>
      <c r="O84" s="1">
        <f>SUM(OSRRefE21_9x_7)</f>
        <v>20</v>
      </c>
      <c r="Q84" s="2">
        <f>SUM(OSRRefD20_9x)+IFERROR(SUM(OSRRefE20_9x),0)</f>
        <v>160</v>
      </c>
    </row>
    <row r="85" spans="1:17" s="34" customFormat="1" hidden="1" outlineLevel="1" x14ac:dyDescent="0.25">
      <c r="A85" s="35"/>
      <c r="B85" s="13" t="str">
        <f>CONCATENATE("          ","6375", " - ","OUTSIDE REPAIRS &amp; MAINTENANCE")</f>
        <v xml:space="preserve">          6375 - OUTSIDE REPAIRS &amp; MAINTENANCE</v>
      </c>
      <c r="C85" s="15"/>
      <c r="D85" s="2"/>
      <c r="E85" s="2"/>
      <c r="F85" s="2"/>
      <c r="G85" s="2"/>
      <c r="H85" s="2">
        <v>20</v>
      </c>
      <c r="I85" s="2">
        <v>20</v>
      </c>
      <c r="J85" s="2">
        <v>20</v>
      </c>
      <c r="K85" s="2">
        <v>20</v>
      </c>
      <c r="L85" s="2">
        <v>20</v>
      </c>
      <c r="M85" s="2">
        <v>20</v>
      </c>
      <c r="N85" s="2">
        <v>20</v>
      </c>
      <c r="O85" s="2">
        <v>20</v>
      </c>
      <c r="P85" s="9"/>
      <c r="Q85" s="2">
        <f>SUM(OSRRefD21_9_0x)+IFERROR(SUM(OSRRefE21_9_0x),0)</f>
        <v>160</v>
      </c>
    </row>
    <row r="86" spans="1:17" s="34" customFormat="1" collapsed="1" x14ac:dyDescent="0.25">
      <c r="A86" s="35"/>
      <c r="B86" s="15" t="str">
        <f>CONCATENATE("     ","Supplies                                          ")</f>
        <v xml:space="preserve">     Supplies                                          </v>
      </c>
      <c r="C86" s="15"/>
      <c r="D86" s="1">
        <f>SUM(OSRRefD21_10x_0)</f>
        <v>668.12</v>
      </c>
      <c r="E86" s="1">
        <f>SUM(OSRRefD21_10x_1)</f>
        <v>787.43</v>
      </c>
      <c r="F86" s="1">
        <f>SUM(OSRRefD21_10x_2)</f>
        <v>39.36</v>
      </c>
      <c r="G86" s="1">
        <f>SUM(OSRRefD21_10x_3)</f>
        <v>29.59</v>
      </c>
      <c r="H86" s="1">
        <f>SUM(OSRRefE21_10x_0)</f>
        <v>400</v>
      </c>
      <c r="I86" s="1">
        <f>SUM(OSRRefE21_10x_1)</f>
        <v>400</v>
      </c>
      <c r="J86" s="1">
        <f>SUM(OSRRefE21_10x_2)</f>
        <v>400</v>
      </c>
      <c r="K86" s="1">
        <f>SUM(OSRRefE21_10x_3)</f>
        <v>400</v>
      </c>
      <c r="L86" s="1">
        <f>SUM(OSRRefE21_10x_4)</f>
        <v>400</v>
      </c>
      <c r="M86" s="1">
        <f>SUM(OSRRefE21_10x_5)</f>
        <v>400</v>
      </c>
      <c r="N86" s="1">
        <f>SUM(OSRRefE21_10x_6)</f>
        <v>400</v>
      </c>
      <c r="O86" s="1">
        <f>SUM(OSRRefE21_10x_7)</f>
        <v>400</v>
      </c>
      <c r="Q86" s="2">
        <f>SUM(OSRRefD20_10x)+IFERROR(SUM(OSRRefE20_10x),0)</f>
        <v>4724.5</v>
      </c>
    </row>
    <row r="87" spans="1:17" s="34" customFormat="1" hidden="1" outlineLevel="1" x14ac:dyDescent="0.25">
      <c r="A87" s="35"/>
      <c r="B87" s="13" t="str">
        <f>CONCATENATE("          ","6235", " - ","COVID-19 EXPENSES")</f>
        <v xml:space="preserve">          6235 - COVID-19 EXPENSES</v>
      </c>
      <c r="C87" s="15"/>
      <c r="D87" s="2">
        <v>668.12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9"/>
      <c r="Q87" s="2">
        <f>SUM(OSRRefD21_10_0x)+IFERROR(SUM(OSRRefE21_10_0x),0)</f>
        <v>668.12</v>
      </c>
    </row>
    <row r="88" spans="1:17" s="34" customFormat="1" hidden="1" outlineLevel="1" x14ac:dyDescent="0.25">
      <c r="A88" s="35"/>
      <c r="B88" s="13" t="str">
        <f>CONCATENATE("          ","6241", " - ","OFFICE EXPENSE")</f>
        <v xml:space="preserve">          6241 - OFFICE EXPENSE</v>
      </c>
      <c r="C88" s="15"/>
      <c r="D88" s="2"/>
      <c r="E88" s="2">
        <v>787.43</v>
      </c>
      <c r="F88" s="2">
        <v>39.36</v>
      </c>
      <c r="G88" s="2">
        <v>29.59</v>
      </c>
      <c r="H88" s="2">
        <v>150</v>
      </c>
      <c r="I88" s="2">
        <v>150</v>
      </c>
      <c r="J88" s="2">
        <v>150</v>
      </c>
      <c r="K88" s="2">
        <v>150</v>
      </c>
      <c r="L88" s="2">
        <v>150</v>
      </c>
      <c r="M88" s="2">
        <v>150</v>
      </c>
      <c r="N88" s="2">
        <v>150</v>
      </c>
      <c r="O88" s="2">
        <v>150</v>
      </c>
      <c r="P88" s="9"/>
      <c r="Q88" s="2">
        <f>SUM(OSRRefD21_10_1x)+IFERROR(SUM(OSRRefE21_10_1x),0)</f>
        <v>2056.38</v>
      </c>
    </row>
    <row r="89" spans="1:17" s="34" customFormat="1" hidden="1" outlineLevel="1" x14ac:dyDescent="0.25">
      <c r="A89" s="35"/>
      <c r="B89" s="13" t="str">
        <f>CONCATENATE("          ","6247", " - ","STORE SUPPLIES")</f>
        <v xml:space="preserve">          6247 - STORE SUPPLIES</v>
      </c>
      <c r="C89" s="15"/>
      <c r="D89" s="2"/>
      <c r="E89" s="2"/>
      <c r="F89" s="2"/>
      <c r="G89" s="2"/>
      <c r="H89" s="2">
        <v>250</v>
      </c>
      <c r="I89" s="2">
        <v>250</v>
      </c>
      <c r="J89" s="2">
        <v>250</v>
      </c>
      <c r="K89" s="2">
        <v>250</v>
      </c>
      <c r="L89" s="2">
        <v>250</v>
      </c>
      <c r="M89" s="2">
        <v>250</v>
      </c>
      <c r="N89" s="2">
        <v>250</v>
      </c>
      <c r="O89" s="2">
        <v>250</v>
      </c>
      <c r="P89" s="9"/>
      <c r="Q89" s="2">
        <f>SUM(OSRRefD21_10_2x)+IFERROR(SUM(OSRRefE21_10_2x),0)</f>
        <v>2000</v>
      </c>
    </row>
    <row r="90" spans="1:17" s="34" customFormat="1" collapsed="1" x14ac:dyDescent="0.25">
      <c r="A90" s="35"/>
      <c r="B90" s="15" t="str">
        <f>CONCATENATE("     ","Telephone/Data Lines                              ")</f>
        <v xml:space="preserve">     Telephone/Data Lines                              </v>
      </c>
      <c r="C90" s="15"/>
      <c r="D90" s="1">
        <f>SUM(OSRRefD21_11x_0)</f>
        <v>304.8</v>
      </c>
      <c r="E90" s="1">
        <f>SUM(OSRRefD21_11x_1)</f>
        <v>306.75</v>
      </c>
      <c r="F90" s="1">
        <f>SUM(OSRRefD21_11x_2)</f>
        <v>300</v>
      </c>
      <c r="G90" s="1">
        <f>SUM(OSRRefD21_11x_3)</f>
        <v>354.3</v>
      </c>
      <c r="H90" s="1">
        <f>SUM(OSRRefE21_11x_0)</f>
        <v>310</v>
      </c>
      <c r="I90" s="1">
        <f>SUM(OSRRefE21_11x_1)</f>
        <v>310</v>
      </c>
      <c r="J90" s="1">
        <f>SUM(OSRRefE21_11x_2)</f>
        <v>310</v>
      </c>
      <c r="K90" s="1">
        <f>SUM(OSRRefE21_11x_3)</f>
        <v>310</v>
      </c>
      <c r="L90" s="1">
        <f>SUM(OSRRefE21_11x_4)</f>
        <v>310</v>
      </c>
      <c r="M90" s="1">
        <f>SUM(OSRRefE21_11x_5)</f>
        <v>310</v>
      </c>
      <c r="N90" s="1">
        <f>SUM(OSRRefE21_11x_6)</f>
        <v>310</v>
      </c>
      <c r="O90" s="1">
        <f>SUM(OSRRefE21_11x_7)</f>
        <v>310</v>
      </c>
      <c r="Q90" s="2">
        <f>SUM(OSRRefD20_11x)+IFERROR(SUM(OSRRefE20_11x),0)</f>
        <v>3745.85</v>
      </c>
    </row>
    <row r="91" spans="1:17" s="34" customFormat="1" hidden="1" outlineLevel="1" x14ac:dyDescent="0.25">
      <c r="A91" s="35"/>
      <c r="B91" s="13" t="str">
        <f>CONCATENATE("          ","6309", " - ","TELEPHONE")</f>
        <v xml:space="preserve">          6309 - TELEPHONE</v>
      </c>
      <c r="C91" s="15"/>
      <c r="D91" s="2">
        <v>304.8</v>
      </c>
      <c r="E91" s="2">
        <v>306.75</v>
      </c>
      <c r="F91" s="2">
        <v>300</v>
      </c>
      <c r="G91" s="2">
        <v>354.3</v>
      </c>
      <c r="H91" s="2">
        <v>310</v>
      </c>
      <c r="I91" s="2">
        <v>310</v>
      </c>
      <c r="J91" s="2">
        <v>310</v>
      </c>
      <c r="K91" s="2">
        <v>310</v>
      </c>
      <c r="L91" s="2">
        <v>310</v>
      </c>
      <c r="M91" s="2">
        <v>310</v>
      </c>
      <c r="N91" s="2">
        <v>310</v>
      </c>
      <c r="O91" s="2">
        <v>310</v>
      </c>
      <c r="P91" s="9"/>
      <c r="Q91" s="2">
        <f>SUM(OSRRefD21_11_0x)+IFERROR(SUM(OSRRefE21_11_0x),0)</f>
        <v>3745.85</v>
      </c>
    </row>
    <row r="92" spans="1:17" s="34" customFormat="1" collapsed="1" x14ac:dyDescent="0.25">
      <c r="A92" s="35"/>
      <c r="B92" s="15" t="str">
        <f>CONCATENATE("     ","Training                                          ")</f>
        <v xml:space="preserve">     Training                                          </v>
      </c>
      <c r="C92" s="15"/>
      <c r="D92" s="1">
        <f>SUM(OSRRefD21_12x_0)</f>
        <v>0</v>
      </c>
      <c r="E92" s="1">
        <f>SUM(OSRRefD21_12x_1)</f>
        <v>0</v>
      </c>
      <c r="F92" s="1">
        <f>SUM(OSRRefD21_12x_2)</f>
        <v>0</v>
      </c>
      <c r="G92" s="1">
        <f>SUM(OSRRefD21_12x_3)</f>
        <v>100</v>
      </c>
      <c r="H92" s="1">
        <f>SUM(OSRRefE21_12x_0)</f>
        <v>0</v>
      </c>
      <c r="I92" s="1">
        <f>SUM(OSRRefE21_12x_1)</f>
        <v>0</v>
      </c>
      <c r="J92" s="1">
        <f>SUM(OSRRefE21_12x_2)</f>
        <v>1500</v>
      </c>
      <c r="K92" s="1">
        <f>SUM(OSRRefE21_12x_3)</f>
        <v>1000</v>
      </c>
      <c r="L92" s="1">
        <f>SUM(OSRRefE21_12x_4)</f>
        <v>0</v>
      </c>
      <c r="M92" s="1">
        <f>SUM(OSRRefE21_12x_5)</f>
        <v>0</v>
      </c>
      <c r="N92" s="1">
        <f>SUM(OSRRefE21_12x_6)</f>
        <v>0</v>
      </c>
      <c r="O92" s="1">
        <f>SUM(OSRRefE21_12x_7)</f>
        <v>0</v>
      </c>
      <c r="Q92" s="2">
        <f>SUM(OSRRefD20_12x)+IFERROR(SUM(OSRRefE20_12x),0)</f>
        <v>2600</v>
      </c>
    </row>
    <row r="93" spans="1:17" s="34" customFormat="1" hidden="1" outlineLevel="1" x14ac:dyDescent="0.25">
      <c r="A93" s="35"/>
      <c r="B93" s="13" t="str">
        <f>CONCATENATE("          ","6376", " - ","TRAINING")</f>
        <v xml:space="preserve">          6376 - TRAINING</v>
      </c>
      <c r="C93" s="15"/>
      <c r="D93" s="2"/>
      <c r="E93" s="2"/>
      <c r="F93" s="2"/>
      <c r="G93" s="2">
        <v>100</v>
      </c>
      <c r="H93" s="2"/>
      <c r="I93" s="2"/>
      <c r="J93" s="2">
        <v>1500</v>
      </c>
      <c r="K93" s="2">
        <v>1000</v>
      </c>
      <c r="L93" s="2"/>
      <c r="M93" s="2"/>
      <c r="N93" s="2"/>
      <c r="O93" s="2"/>
      <c r="P93" s="9"/>
      <c r="Q93" s="2">
        <f>SUM(OSRRefD21_12_0x)+IFERROR(SUM(OSRRefE21_12_0x),0)</f>
        <v>2600</v>
      </c>
    </row>
    <row r="94" spans="1:17" s="28" customFormat="1" x14ac:dyDescent="0.25">
      <c r="A94" s="20"/>
      <c r="B94" s="20"/>
      <c r="C94" s="20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Q94" s="1"/>
    </row>
    <row r="95" spans="1:17" s="9" customFormat="1" x14ac:dyDescent="0.25">
      <c r="A95" s="22"/>
      <c r="B95" s="16" t="s">
        <v>0</v>
      </c>
      <c r="C95" s="23"/>
      <c r="D95" s="3">
        <f>-375.36</f>
        <v>-375.36</v>
      </c>
      <c r="E95" s="3">
        <f>-138.8</f>
        <v>-138.80000000000001</v>
      </c>
      <c r="F95" s="3">
        <f>--281.44</f>
        <v>281.44</v>
      </c>
      <c r="G95" s="3">
        <f>--1355.96</f>
        <v>1355.96</v>
      </c>
      <c r="H95" s="3">
        <v>1034</v>
      </c>
      <c r="I95" s="3">
        <v>545</v>
      </c>
      <c r="J95" s="3">
        <v>1386</v>
      </c>
      <c r="K95" s="3">
        <v>808</v>
      </c>
      <c r="L95" s="3">
        <v>736</v>
      </c>
      <c r="M95" s="3">
        <v>1941</v>
      </c>
      <c r="N95" s="3">
        <v>746</v>
      </c>
      <c r="O95" s="3">
        <v>2182</v>
      </c>
      <c r="Q95" s="2">
        <f>SUM(OSRRefD23_0x)+IFERROR(SUM(OSRRefE23_0x),0)</f>
        <v>10501.24</v>
      </c>
    </row>
    <row r="96" spans="1:17" x14ac:dyDescent="0.25">
      <c r="A96" s="5"/>
      <c r="B96" s="8"/>
      <c r="C96" s="8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4" customFormat="1" x14ac:dyDescent="0.25">
      <c r="A97" s="8"/>
      <c r="B97" s="17" t="s">
        <v>3</v>
      </c>
      <c r="C97" s="17"/>
      <c r="D97" s="6">
        <f t="shared" ref="D97:O97" si="4">IFERROR(+D43-D46+D95, 0)</f>
        <v>11856.049999999947</v>
      </c>
      <c r="E97" s="6">
        <f t="shared" si="4"/>
        <v>-2067.4899999999461</v>
      </c>
      <c r="F97" s="6">
        <f t="shared" si="4"/>
        <v>-10530.249999999936</v>
      </c>
      <c r="G97" s="6">
        <f t="shared" si="4"/>
        <v>2806.6700000000483</v>
      </c>
      <c r="H97" s="6">
        <f t="shared" si="4"/>
        <v>-7399.6462528461543</v>
      </c>
      <c r="I97" s="6">
        <f t="shared" si="4"/>
        <v>-13155.309101846149</v>
      </c>
      <c r="J97" s="6">
        <f t="shared" si="4"/>
        <v>-9394.2162457576887</v>
      </c>
      <c r="K97" s="6">
        <f t="shared" si="4"/>
        <v>-10111.671382846156</v>
      </c>
      <c r="L97" s="6">
        <f t="shared" si="4"/>
        <v>-9493.6713828461561</v>
      </c>
      <c r="M97" s="6">
        <f t="shared" si="4"/>
        <v>-5557.4058945576908</v>
      </c>
      <c r="N97" s="6">
        <f t="shared" si="4"/>
        <v>-9213.6222988461559</v>
      </c>
      <c r="O97" s="6">
        <f t="shared" si="4"/>
        <v>-527.98884044615261</v>
      </c>
      <c r="Q97" s="6">
        <f>IFERROR(+Q43-Q46+Q95, 0)</f>
        <v>-62788.551399992539</v>
      </c>
    </row>
    <row r="98" spans="1:17" s="8" customFormat="1" x14ac:dyDescent="0.25">
      <c r="B98" s="16"/>
      <c r="C98" s="16"/>
      <c r="D98" s="4">
        <f t="shared" ref="D98:O98" si="5">IFERROR(D97/D10, 0)</f>
        <v>5.700926593811196E-2</v>
      </c>
      <c r="E98" s="4">
        <f t="shared" si="5"/>
        <v>-4.2050263192191274E-3</v>
      </c>
      <c r="F98" s="4">
        <f t="shared" si="5"/>
        <v>-3.9940785871872005E-2</v>
      </c>
      <c r="G98" s="4">
        <f t="shared" si="5"/>
        <v>1.623884496820149E-2</v>
      </c>
      <c r="H98" s="4">
        <f t="shared" si="5"/>
        <v>-5.6925172536492735E-2</v>
      </c>
      <c r="I98" s="4">
        <f t="shared" si="5"/>
        <v>-0.19220824776596801</v>
      </c>
      <c r="J98" s="4">
        <f t="shared" si="5"/>
        <v>-5.3911669569116499E-2</v>
      </c>
      <c r="K98" s="4">
        <f t="shared" si="5"/>
        <v>-9.9449932952182976E-2</v>
      </c>
      <c r="L98" s="4">
        <f t="shared" si="5"/>
        <v>-0.10254116675501335</v>
      </c>
      <c r="M98" s="4">
        <f t="shared" si="5"/>
        <v>-2.276533750028753E-2</v>
      </c>
      <c r="N98" s="4">
        <f t="shared" si="5"/>
        <v>-9.8115373872235595E-2</v>
      </c>
      <c r="O98" s="4">
        <f t="shared" si="5"/>
        <v>-1.9241645940624879E-3</v>
      </c>
      <c r="P98" s="18"/>
      <c r="Q98" s="4">
        <f>IFERROR(Q97/Q10, 0)</f>
        <v>-2.7116773718920666E-2</v>
      </c>
    </row>
    <row r="99" spans="1:17" x14ac:dyDescent="0.25">
      <c r="A99" s="5"/>
      <c r="B99" s="8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s="14" customFormat="1" x14ac:dyDescent="0.25">
      <c r="A100" s="25"/>
      <c r="B100" s="8" t="s">
        <v>8</v>
      </c>
      <c r="C100" s="8"/>
      <c r="D100" s="3">
        <v>100199.48000000001</v>
      </c>
      <c r="E100" s="3">
        <v>17925.129999999997</v>
      </c>
      <c r="F100" s="3">
        <v>60328.69</v>
      </c>
      <c r="G100" s="3">
        <v>67655.090000000011</v>
      </c>
      <c r="H100" s="3">
        <v>43383</v>
      </c>
      <c r="I100" s="3">
        <v>29724</v>
      </c>
      <c r="J100" s="3">
        <v>10587</v>
      </c>
      <c r="K100" s="3">
        <v>16899</v>
      </c>
      <c r="L100" s="3">
        <v>26609</v>
      </c>
      <c r="M100" s="3">
        <v>57036</v>
      </c>
      <c r="N100" s="3">
        <v>26566</v>
      </c>
      <c r="O100" s="3">
        <v>16960</v>
      </c>
      <c r="Q100" s="2">
        <f>SUM(OSRRefD28_0x)+IFERROR(SUM(OSRRefE28_0x),0)</f>
        <v>473872.39</v>
      </c>
    </row>
    <row r="101" spans="1:17" x14ac:dyDescent="0.25">
      <c r="A101" s="5"/>
      <c r="B101" s="8"/>
      <c r="C101" s="8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4" customFormat="1" ht="15.75" thickBot="1" x14ac:dyDescent="0.3">
      <c r="A102" s="8"/>
      <c r="B102" s="17" t="s">
        <v>4</v>
      </c>
      <c r="C102" s="17"/>
      <c r="D102" s="7">
        <f t="shared" ref="D102:O102" si="6">IFERROR(+D97-D100, 0)</f>
        <v>-88343.430000000066</v>
      </c>
      <c r="E102" s="7">
        <f t="shared" si="6"/>
        <v>-19992.619999999944</v>
      </c>
      <c r="F102" s="7">
        <f t="shared" si="6"/>
        <v>-70858.939999999944</v>
      </c>
      <c r="G102" s="7">
        <f t="shared" si="6"/>
        <v>-64848.419999999962</v>
      </c>
      <c r="H102" s="7">
        <f t="shared" si="6"/>
        <v>-50782.646252846156</v>
      </c>
      <c r="I102" s="7">
        <f t="shared" si="6"/>
        <v>-42879.309101846149</v>
      </c>
      <c r="J102" s="7">
        <f t="shared" si="6"/>
        <v>-19981.216245757689</v>
      </c>
      <c r="K102" s="7">
        <f t="shared" si="6"/>
        <v>-27010.671382846158</v>
      </c>
      <c r="L102" s="7">
        <f t="shared" si="6"/>
        <v>-36102.671382846158</v>
      </c>
      <c r="M102" s="7">
        <f t="shared" si="6"/>
        <v>-62593.405894557691</v>
      </c>
      <c r="N102" s="7">
        <f t="shared" si="6"/>
        <v>-35779.622298846152</v>
      </c>
      <c r="O102" s="7">
        <f t="shared" si="6"/>
        <v>-17487.988840446153</v>
      </c>
      <c r="Q102" s="7">
        <f>IFERROR(+Q97-Q100, 0)</f>
        <v>-536660.94139999256</v>
      </c>
    </row>
    <row r="103" spans="1:17" ht="15.75" thickTop="1" x14ac:dyDescent="0.25">
      <c r="A103" s="5"/>
      <c r="B103" s="5"/>
      <c r="C103" s="5"/>
      <c r="D103" s="4">
        <f t="shared" ref="D103:O103" si="7">IFERROR(D102/D10, 0)</f>
        <v>-0.42479528129140859</v>
      </c>
      <c r="E103" s="4">
        <f t="shared" si="7"/>
        <v>-4.0662587625646882E-2</v>
      </c>
      <c r="F103" s="4">
        <f t="shared" si="7"/>
        <v>-0.26876491532944052</v>
      </c>
      <c r="G103" s="4">
        <f t="shared" si="7"/>
        <v>-0.37520030456476827</v>
      </c>
      <c r="H103" s="4">
        <f t="shared" si="7"/>
        <v>-0.390668796997024</v>
      </c>
      <c r="I103" s="4">
        <f t="shared" si="7"/>
        <v>-0.62649663372216513</v>
      </c>
      <c r="J103" s="4">
        <f t="shared" si="7"/>
        <v>-0.11466850449784043</v>
      </c>
      <c r="K103" s="4">
        <f t="shared" si="7"/>
        <v>-0.2656543469731909</v>
      </c>
      <c r="L103" s="4">
        <f t="shared" si="7"/>
        <v>-0.3899450378342495</v>
      </c>
      <c r="M103" s="4">
        <f t="shared" si="7"/>
        <v>-0.25640740257564076</v>
      </c>
      <c r="N103" s="4">
        <f t="shared" si="7"/>
        <v>-0.38101529507002907</v>
      </c>
      <c r="O103" s="4">
        <f t="shared" si="7"/>
        <v>-6.3731970016093903E-2</v>
      </c>
      <c r="P103" s="18"/>
      <c r="Q103" s="4">
        <f>IFERROR(Q102/Q10, 0)</f>
        <v>-0.23177017126928448</v>
      </c>
    </row>
    <row r="104" spans="1:17" x14ac:dyDescent="0.25">
      <c r="A104" s="5"/>
      <c r="B104" s="5"/>
      <c r="C104" s="5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x14ac:dyDescent="0.25">
      <c r="A105" s="5"/>
      <c r="B105" s="5"/>
      <c r="C105" s="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s="14" customFormat="1" ht="15.75" thickBot="1" x14ac:dyDescent="0.3">
      <c r="A106" s="8"/>
      <c r="B106" s="17" t="s">
        <v>5</v>
      </c>
      <c r="C106" s="17"/>
      <c r="D106" s="7">
        <f t="shared" ref="D106:O106" si="8">IFERROR(SUM(D102:D105), 0)</f>
        <v>-88343.854795281353</v>
      </c>
      <c r="E106" s="7">
        <f t="shared" si="8"/>
        <v>-19992.660662587568</v>
      </c>
      <c r="F106" s="7">
        <f t="shared" si="8"/>
        <v>-70859.208764915267</v>
      </c>
      <c r="G106" s="7">
        <f t="shared" si="8"/>
        <v>-64848.795200304528</v>
      </c>
      <c r="H106" s="7">
        <f t="shared" si="8"/>
        <v>-50783.03692164315</v>
      </c>
      <c r="I106" s="7">
        <f t="shared" si="8"/>
        <v>-42879.935598479875</v>
      </c>
      <c r="J106" s="7">
        <f t="shared" si="8"/>
        <v>-19981.330914262187</v>
      </c>
      <c r="K106" s="7">
        <f t="shared" si="8"/>
        <v>-27010.937037193133</v>
      </c>
      <c r="L106" s="7">
        <f t="shared" si="8"/>
        <v>-36103.061327883996</v>
      </c>
      <c r="M106" s="7">
        <f t="shared" si="8"/>
        <v>-62593.662301960263</v>
      </c>
      <c r="N106" s="7">
        <f t="shared" si="8"/>
        <v>-35780.00331414122</v>
      </c>
      <c r="O106" s="7">
        <f t="shared" si="8"/>
        <v>-17488.052572416167</v>
      </c>
      <c r="Q106" s="7">
        <f>IFERROR(SUM(Q102:Q105), 0)</f>
        <v>-536661.17317016388</v>
      </c>
    </row>
    <row r="107" spans="1:17" ht="15.75" thickTop="1" x14ac:dyDescent="0.25">
      <c r="A107" s="5"/>
      <c r="C107" s="5"/>
      <c r="D107" s="4">
        <f t="shared" ref="D107:O107" si="9">IFERROR(D106/D10, 0)</f>
        <v>-0.42479732389979508</v>
      </c>
      <c r="E107" s="4">
        <f t="shared" si="9"/>
        <v>-4.0662670328465836E-2</v>
      </c>
      <c r="F107" s="4">
        <f t="shared" si="9"/>
        <v>-0.26876593474321825</v>
      </c>
      <c r="G107" s="4">
        <f t="shared" si="9"/>
        <v>-0.37520247540051949</v>
      </c>
      <c r="H107" s="4">
        <f t="shared" si="9"/>
        <v>-0.39067180239591925</v>
      </c>
      <c r="I107" s="4">
        <f t="shared" si="9"/>
        <v>-0.62650578727524908</v>
      </c>
      <c r="J107" s="4">
        <f t="shared" si="9"/>
        <v>-0.11466916255917974</v>
      </c>
      <c r="K107" s="4">
        <f t="shared" si="9"/>
        <v>-0.26565695972690834</v>
      </c>
      <c r="L107" s="4">
        <f t="shared" si="9"/>
        <v>-0.38994924963151295</v>
      </c>
      <c r="M107" s="4">
        <f t="shared" si="9"/>
        <v>-0.2564084529220016</v>
      </c>
      <c r="N107" s="4">
        <f t="shared" si="9"/>
        <v>-0.38101935248164354</v>
      </c>
      <c r="O107" s="4">
        <f t="shared" si="9"/>
        <v>-6.3732202276306285E-2</v>
      </c>
      <c r="P107" s="18"/>
      <c r="Q107" s="4">
        <f>IFERROR(Q106/Q10, 0)</f>
        <v>-0.23177027136490941</v>
      </c>
    </row>
    <row r="108" spans="1:17" x14ac:dyDescent="0.25">
      <c r="A108" s="5"/>
      <c r="B108" s="26">
        <v>44151.564867442132</v>
      </c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Q108" s="12"/>
    </row>
    <row r="109" spans="1:17" x14ac:dyDescent="0.25">
      <c r="A109" s="5"/>
      <c r="B109" s="30" t="s">
        <v>311</v>
      </c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Q109" s="12"/>
    </row>
    <row r="110" spans="1:17" x14ac:dyDescent="0.25">
      <c r="A110" s="5"/>
      <c r="B110" s="31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Q110" s="12"/>
    </row>
    <row r="111" spans="1:17" x14ac:dyDescent="0.25"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Q11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09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">
        <v>298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824</v>
      </c>
      <c r="F10" s="3">
        <f>SUM(OSRRefD11x_2)</f>
        <v>1762.4699999999998</v>
      </c>
      <c r="G10" s="3">
        <f>SUM(OSRRefD11x_3)</f>
        <v>0</v>
      </c>
      <c r="H10" s="3">
        <f>SUM(OSRRefE11x_0)</f>
        <v>309</v>
      </c>
      <c r="I10" s="3">
        <f>SUM(OSRRefE11x_1)</f>
        <v>546</v>
      </c>
      <c r="J10" s="3">
        <f>SUM(OSRRefE11x_2)</f>
        <v>358</v>
      </c>
      <c r="K10" s="3">
        <f>SUM(OSRRefE11x_3)</f>
        <v>428</v>
      </c>
      <c r="L10" s="3">
        <f>SUM(OSRRefE11x_4)</f>
        <v>843</v>
      </c>
      <c r="M10" s="3">
        <f>SUM(OSRRefE11x_5)</f>
        <v>538</v>
      </c>
      <c r="N10" s="3">
        <f>SUM(OSRRefE11x_6)</f>
        <v>731</v>
      </c>
      <c r="O10" s="3">
        <f>SUM(OSRRefE11x_7)</f>
        <v>151</v>
      </c>
      <c r="P10" s="24"/>
      <c r="Q10" s="3">
        <f>SUM(OSRRefG11x)</f>
        <v>6490.47</v>
      </c>
      <c r="R10" s="24"/>
    </row>
    <row r="11" spans="1:18" s="9" customFormat="1" hidden="1" outlineLevel="1" x14ac:dyDescent="0.25">
      <c r="A11" s="22"/>
      <c r="B11" s="13" t="str">
        <f>CONCATENATE("          ","4032", " - ","TAXABLE SALES-JUICE")</f>
        <v xml:space="preserve">          4032 - TAXABLE SALES-JUICE</v>
      </c>
      <c r="C11" s="23"/>
      <c r="D11" s="2">
        <f t="shared" ref="D11:D14" si="0">0</f>
        <v>0</v>
      </c>
      <c r="E11" s="2">
        <f>--88.2</f>
        <v>88.2</v>
      </c>
      <c r="F11" s="2">
        <f>--356.39</f>
        <v>356.39</v>
      </c>
      <c r="G11" s="2">
        <f t="shared" ref="G11:G14" si="1">0</f>
        <v>0</v>
      </c>
      <c r="H11" s="2"/>
      <c r="I11" s="2"/>
      <c r="J11" s="2"/>
      <c r="K11" s="2"/>
      <c r="L11" s="2"/>
      <c r="M11" s="2"/>
      <c r="N11" s="2"/>
      <c r="O11" s="2"/>
      <c r="Q11" s="2">
        <f>SUM(OSRRefD11_0x)+IFERROR(SUM(OSRRefE11_0x),0)</f>
        <v>444.59</v>
      </c>
    </row>
    <row r="12" spans="1:18" s="9" customFormat="1" hidden="1" outlineLevel="1" x14ac:dyDescent="0.2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ref="E12:F12" si="2">0</f>
        <v>0</v>
      </c>
      <c r="F12" s="2">
        <f t="shared" si="2"/>
        <v>0</v>
      </c>
      <c r="G12" s="2">
        <f t="shared" si="1"/>
        <v>0</v>
      </c>
      <c r="H12" s="2">
        <v>309</v>
      </c>
      <c r="I12" s="2">
        <v>546</v>
      </c>
      <c r="J12" s="2">
        <v>358</v>
      </c>
      <c r="K12" s="2">
        <v>428</v>
      </c>
      <c r="L12" s="2">
        <v>843</v>
      </c>
      <c r="M12" s="2">
        <v>538</v>
      </c>
      <c r="N12" s="2">
        <v>731</v>
      </c>
      <c r="O12" s="2">
        <v>151</v>
      </c>
      <c r="Q12" s="2">
        <f>SUM(OSRRefD11_1x)+IFERROR(SUM(OSRRefE11_1x),0)</f>
        <v>3904</v>
      </c>
    </row>
    <row r="13" spans="1:18" s="9" customFormat="1" hidden="1" outlineLevel="1" x14ac:dyDescent="0.25">
      <c r="A13" s="22"/>
      <c r="B13" s="13" t="str">
        <f>CONCATENATE("          ","4132", " - ","NON-TAXABLE SALES-JUICE")</f>
        <v xml:space="preserve">          4132 - NON-TAXABLE SALES-JUICE</v>
      </c>
      <c r="C13" s="23"/>
      <c r="D13" s="2">
        <f t="shared" si="0"/>
        <v>0</v>
      </c>
      <c r="E13" s="2">
        <f>--625.8</f>
        <v>625.79999999999995</v>
      </c>
      <c r="F13" s="2">
        <f>--1406.08</f>
        <v>1406.08</v>
      </c>
      <c r="G13" s="2">
        <f t="shared" si="1"/>
        <v>0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2031.8799999999999</v>
      </c>
    </row>
    <row r="14" spans="1:18" s="9" customFormat="1" hidden="1" outlineLevel="1" x14ac:dyDescent="0.25">
      <c r="A14" s="22"/>
      <c r="B14" s="13" t="str">
        <f>CONCATENATE("          ","4153", " - ","NON-TAXABLE SALES-FOOD")</f>
        <v xml:space="preserve">          4153 - NON-TAXABLE SALES-FOOD</v>
      </c>
      <c r="C14" s="23"/>
      <c r="D14" s="2">
        <f t="shared" si="0"/>
        <v>0</v>
      </c>
      <c r="E14" s="2">
        <f>--110</f>
        <v>110</v>
      </c>
      <c r="F14" s="2">
        <f>0</f>
        <v>0</v>
      </c>
      <c r="G14" s="2">
        <f t="shared" si="1"/>
        <v>0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110</v>
      </c>
    </row>
    <row r="15" spans="1:18" x14ac:dyDescent="0.2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290</v>
      </c>
      <c r="C16" s="23"/>
      <c r="D16" s="3">
        <f>SUM(OSRRefD14x_0)</f>
        <v>-226.87</v>
      </c>
      <c r="E16" s="3">
        <f>SUM(OSRRefD14x_1)</f>
        <v>-2042.7699999999998</v>
      </c>
      <c r="F16" s="3">
        <f>SUM(OSRRefD14x_2)</f>
        <v>53.15</v>
      </c>
      <c r="G16" s="3">
        <f>SUM(OSRRefD14x_3)</f>
        <v>11058.83</v>
      </c>
      <c r="H16" s="3">
        <f>SUM(OSRRefE14x_0)</f>
        <v>155</v>
      </c>
      <c r="I16" s="3">
        <f>SUM(OSRRefE14x_1)</f>
        <v>273</v>
      </c>
      <c r="J16" s="3">
        <f>SUM(OSRRefE14x_2)</f>
        <v>179</v>
      </c>
      <c r="K16" s="3">
        <f>SUM(OSRRefE14x_3)</f>
        <v>214</v>
      </c>
      <c r="L16" s="3">
        <f>SUM(OSRRefE14x_4)</f>
        <v>422</v>
      </c>
      <c r="M16" s="3">
        <f>SUM(OSRRefE14x_5)</f>
        <v>269</v>
      </c>
      <c r="N16" s="3">
        <f>SUM(OSRRefE14x_6)</f>
        <v>366</v>
      </c>
      <c r="O16" s="3">
        <f>SUM(OSRRefE14x_7)</f>
        <v>75</v>
      </c>
      <c r="Q16" s="3">
        <f>SUM(OSRRefG14x)</f>
        <v>10795.34</v>
      </c>
    </row>
    <row r="17" spans="1:17" s="9" customFormat="1" hidden="1" outlineLevel="1" x14ac:dyDescent="0.25">
      <c r="A17" s="22"/>
      <c r="B17" s="13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>
        <v>155</v>
      </c>
      <c r="I17" s="2">
        <v>273</v>
      </c>
      <c r="J17" s="2">
        <v>179</v>
      </c>
      <c r="K17" s="2">
        <v>214</v>
      </c>
      <c r="L17" s="2">
        <v>422</v>
      </c>
      <c r="M17" s="2">
        <v>269</v>
      </c>
      <c r="N17" s="2">
        <v>366</v>
      </c>
      <c r="O17" s="2">
        <v>75</v>
      </c>
      <c r="Q17" s="2">
        <f>SUM(OSRRefD14_0x)+IFERROR(SUM(OSRRefE14_0x),0)</f>
        <v>1953</v>
      </c>
    </row>
    <row r="18" spans="1:17" s="9" customFormat="1" hidden="1" outlineLevel="1" x14ac:dyDescent="0.25">
      <c r="A18" s="22"/>
      <c r="B18" s="13" t="str">
        <f>CONCATENATE("          ","5053", " - ","PURCHASES @ COST-FOOD")</f>
        <v xml:space="preserve">          5053 - PURCHASES @ COST-FOOD</v>
      </c>
      <c r="C18" s="23"/>
      <c r="D18" s="2">
        <v>-226.87</v>
      </c>
      <c r="E18" s="2">
        <v>-2111.6799999999998</v>
      </c>
      <c r="F18" s="2">
        <v>53.15</v>
      </c>
      <c r="G18" s="2">
        <v>-570.16999999999996</v>
      </c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-2855.5699999999997</v>
      </c>
    </row>
    <row r="19" spans="1:17" s="9" customFormat="1" hidden="1" outlineLevel="1" x14ac:dyDescent="0.25">
      <c r="A19" s="22"/>
      <c r="B19" s="13" t="str">
        <f>CONCATENATE("          ","5059", " - ","PURCHASES @ COST-FOOD")</f>
        <v xml:space="preserve">          5059 - PURCHASES @ COST-FOOD</v>
      </c>
      <c r="C19" s="23"/>
      <c r="D19" s="2"/>
      <c r="E19" s="2">
        <v>68.91</v>
      </c>
      <c r="F19" s="2"/>
      <c r="G19" s="2">
        <v>11629</v>
      </c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11697.91</v>
      </c>
    </row>
    <row r="20" spans="1:17" x14ac:dyDescent="0.2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25">
      <c r="A21" s="8"/>
      <c r="B21" s="17" t="s">
        <v>6</v>
      </c>
      <c r="C21" s="17"/>
      <c r="D21" s="6">
        <f t="shared" ref="D21:O21" si="3">IFERROR(+D10-D16, 0)</f>
        <v>226.87</v>
      </c>
      <c r="E21" s="6">
        <f t="shared" si="3"/>
        <v>2866.7699999999995</v>
      </c>
      <c r="F21" s="6">
        <f t="shared" si="3"/>
        <v>1709.3199999999997</v>
      </c>
      <c r="G21" s="6">
        <f t="shared" si="3"/>
        <v>-11058.83</v>
      </c>
      <c r="H21" s="6">
        <f t="shared" si="3"/>
        <v>154</v>
      </c>
      <c r="I21" s="6">
        <f t="shared" si="3"/>
        <v>273</v>
      </c>
      <c r="J21" s="6">
        <f t="shared" si="3"/>
        <v>179</v>
      </c>
      <c r="K21" s="6">
        <f t="shared" si="3"/>
        <v>214</v>
      </c>
      <c r="L21" s="6">
        <f t="shared" si="3"/>
        <v>421</v>
      </c>
      <c r="M21" s="6">
        <f t="shared" si="3"/>
        <v>269</v>
      </c>
      <c r="N21" s="6">
        <f t="shared" si="3"/>
        <v>365</v>
      </c>
      <c r="O21" s="6">
        <f t="shared" si="3"/>
        <v>76</v>
      </c>
      <c r="Q21" s="6">
        <f>IFERROR(+Q10-Q16, 0)</f>
        <v>-4304.87</v>
      </c>
    </row>
    <row r="22" spans="1:17" s="8" customFormat="1" x14ac:dyDescent="0.25">
      <c r="B22" s="16"/>
      <c r="C22" s="16"/>
      <c r="D22" s="4">
        <f t="shared" ref="D22:O22" si="4">IFERROR(D21/D10, 0)</f>
        <v>0</v>
      </c>
      <c r="E22" s="4">
        <f t="shared" si="4"/>
        <v>3.4790898058252422</v>
      </c>
      <c r="F22" s="4">
        <f t="shared" si="4"/>
        <v>0.9698434583283686</v>
      </c>
      <c r="G22" s="4">
        <f t="shared" si="4"/>
        <v>0</v>
      </c>
      <c r="H22" s="4">
        <f t="shared" si="4"/>
        <v>0.49838187702265374</v>
      </c>
      <c r="I22" s="4">
        <f t="shared" si="4"/>
        <v>0.5</v>
      </c>
      <c r="J22" s="4">
        <f t="shared" si="4"/>
        <v>0.5</v>
      </c>
      <c r="K22" s="4">
        <f t="shared" si="4"/>
        <v>0.5</v>
      </c>
      <c r="L22" s="4">
        <f t="shared" si="4"/>
        <v>0.49940688018979834</v>
      </c>
      <c r="M22" s="4">
        <f t="shared" si="4"/>
        <v>0.5</v>
      </c>
      <c r="N22" s="4">
        <f t="shared" si="4"/>
        <v>0.4993160054719562</v>
      </c>
      <c r="O22" s="4">
        <f t="shared" si="4"/>
        <v>0.50331125827814571</v>
      </c>
      <c r="P22" s="18"/>
      <c r="Q22" s="4">
        <f>IFERROR(Q21/Q10, 0)</f>
        <v>-0.6632601337037225</v>
      </c>
    </row>
    <row r="23" spans="1:17" x14ac:dyDescent="0.2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25">
      <c r="A24" s="8"/>
      <c r="B24" s="16" t="s">
        <v>291</v>
      </c>
      <c r="C24" s="8"/>
      <c r="D24" s="10">
        <f>SUM(OSRRefD20x_0)</f>
        <v>35275.079999999994</v>
      </c>
      <c r="E24" s="10">
        <f>SUM(OSRRefD20x_1)</f>
        <v>29978.66</v>
      </c>
      <c r="F24" s="10">
        <f>SUM(OSRRefD20x_2)</f>
        <v>32187.000000000004</v>
      </c>
      <c r="G24" s="10">
        <f>SUM(OSRRefD20x_3)</f>
        <v>28394.239999999998</v>
      </c>
      <c r="H24" s="10">
        <f>SUM(OSRRefE20x_0)</f>
        <v>21072.900799999999</v>
      </c>
      <c r="I24" s="10">
        <f>SUM(OSRRefE20x_1)</f>
        <v>15400</v>
      </c>
      <c r="J24" s="10">
        <f>SUM(OSRRefE20x_2)</f>
        <v>23174.266080000001</v>
      </c>
      <c r="K24" s="10">
        <f>SUM(OSRRefE20x_3)</f>
        <v>21502.812864</v>
      </c>
      <c r="L24" s="10">
        <f>SUM(OSRRefE20x_4)</f>
        <v>21541.812864</v>
      </c>
      <c r="M24" s="10">
        <f>SUM(OSRRefE20x_5)</f>
        <v>23094.266080000001</v>
      </c>
      <c r="N24" s="10">
        <f>SUM(OSRRefE20x_6)</f>
        <v>21389.812864</v>
      </c>
      <c r="O24" s="10">
        <f>SUM(OSRRefE20x_7)</f>
        <v>21339.812864</v>
      </c>
      <c r="Q24" s="10">
        <f>SUM(OSRRefG20x)</f>
        <v>294350.66441600001</v>
      </c>
    </row>
    <row r="25" spans="1:17" s="34" customFormat="1" collapsed="1" x14ac:dyDescent="0.25">
      <c r="A25" s="35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8995.1999999999989</v>
      </c>
      <c r="E25" s="1">
        <f>SUM(OSRRefD21_0x_1)</f>
        <v>5943.08</v>
      </c>
      <c r="F25" s="1">
        <f>SUM(OSRRefD21_0x_2)</f>
        <v>6025.29</v>
      </c>
      <c r="G25" s="1">
        <f>SUM(OSRRefD21_0x_3)</f>
        <v>6403.2999999999993</v>
      </c>
      <c r="H25" s="1">
        <f>SUM(OSRRefE21_0x_0)</f>
        <v>3334.9007999999994</v>
      </c>
      <c r="I25" s="1">
        <f>SUM(OSRRefE21_0x_1)</f>
        <v>175</v>
      </c>
      <c r="J25" s="1">
        <f>SUM(OSRRefE21_0x_2)</f>
        <v>3747.8660800000002</v>
      </c>
      <c r="K25" s="1">
        <f>SUM(OSRRefE21_0x_3)</f>
        <v>3429.2928639999996</v>
      </c>
      <c r="L25" s="1">
        <f>SUM(OSRRefE21_0x_4)</f>
        <v>3429.2928639999996</v>
      </c>
      <c r="M25" s="1">
        <f>SUM(OSRRefE21_0x_5)</f>
        <v>3747.8660800000002</v>
      </c>
      <c r="N25" s="1">
        <f>SUM(OSRRefE21_0x_6)</f>
        <v>3429.2928639999996</v>
      </c>
      <c r="O25" s="1">
        <f>SUM(OSRRefE21_0x_7)</f>
        <v>3429.2928639999996</v>
      </c>
      <c r="Q25" s="2">
        <f>SUM(OSRRefD20_0x)+IFERROR(SUM(OSRRefE20_0x),0)</f>
        <v>52089.674415999994</v>
      </c>
    </row>
    <row r="26" spans="1:17" s="34" customFormat="1" hidden="1" outlineLevel="1" x14ac:dyDescent="0.25">
      <c r="A26" s="35"/>
      <c r="B26" s="13" t="str">
        <f>CONCATENATE("          ","6111", " - ","F.I.C.A.")</f>
        <v xml:space="preserve">          6111 - F.I.C.A.</v>
      </c>
      <c r="C26" s="15"/>
      <c r="D26" s="2">
        <v>861.18</v>
      </c>
      <c r="E26" s="2">
        <v>675.92</v>
      </c>
      <c r="F26" s="2">
        <v>812.39</v>
      </c>
      <c r="G26" s="2">
        <v>1222.23</v>
      </c>
      <c r="H26" s="2">
        <v>318.3648</v>
      </c>
      <c r="I26" s="2">
        <v>0</v>
      </c>
      <c r="J26" s="2">
        <v>429.79248000000001</v>
      </c>
      <c r="K26" s="2">
        <v>343.83398399999999</v>
      </c>
      <c r="L26" s="2">
        <v>343.83398399999999</v>
      </c>
      <c r="M26" s="2">
        <v>429.79248000000001</v>
      </c>
      <c r="N26" s="2">
        <v>343.83398399999999</v>
      </c>
      <c r="O26" s="2">
        <v>343.83398399999999</v>
      </c>
      <c r="P26" s="9"/>
      <c r="Q26" s="2">
        <f>SUM(OSRRefD21_0_0x)+IFERROR(SUM(OSRRefE21_0_0x),0)</f>
        <v>6125.0056960000002</v>
      </c>
    </row>
    <row r="27" spans="1:17" s="34" customFormat="1" hidden="1" outlineLevel="1" x14ac:dyDescent="0.25">
      <c r="A27" s="35"/>
      <c r="B27" s="13" t="str">
        <f>CONCATENATE("          ","6112", " - ","COMPENSATION INSURANCE")</f>
        <v xml:space="preserve">          6112 - COMPENSATION INSURANCE</v>
      </c>
      <c r="C27" s="15"/>
      <c r="D27" s="2">
        <v>169.78</v>
      </c>
      <c r="E27" s="2">
        <v>163.46</v>
      </c>
      <c r="F27" s="2">
        <v>163.46</v>
      </c>
      <c r="G27" s="2">
        <v>163.46</v>
      </c>
      <c r="H27" s="2">
        <v>76.959999999999994</v>
      </c>
      <c r="I27" s="2">
        <v>0</v>
      </c>
      <c r="J27" s="2">
        <v>103.896</v>
      </c>
      <c r="K27" s="2">
        <v>83.116799999999998</v>
      </c>
      <c r="L27" s="2">
        <v>83.116799999999998</v>
      </c>
      <c r="M27" s="2">
        <v>103.896</v>
      </c>
      <c r="N27" s="2">
        <v>83.116799999999998</v>
      </c>
      <c r="O27" s="2">
        <v>83.116799999999998</v>
      </c>
      <c r="P27" s="9"/>
      <c r="Q27" s="2">
        <f>SUM(OSRRefD21_0_1x)+IFERROR(SUM(OSRRefE21_0_1x),0)</f>
        <v>1277.3792000000001</v>
      </c>
    </row>
    <row r="28" spans="1:17" s="34" customFormat="1" hidden="1" outlineLevel="1" x14ac:dyDescent="0.25">
      <c r="A28" s="35"/>
      <c r="B28" s="13" t="str">
        <f>CONCATENATE("          ","6113", " - ","GROUP INSURANCE")</f>
        <v xml:space="preserve">          6113 - GROUP INSURANCE</v>
      </c>
      <c r="C28" s="15"/>
      <c r="D28" s="2">
        <v>4620.57</v>
      </c>
      <c r="E28" s="2">
        <v>2704.94</v>
      </c>
      <c r="F28" s="2">
        <v>2704.94</v>
      </c>
      <c r="G28" s="2">
        <v>2704.94</v>
      </c>
      <c r="H28" s="2">
        <v>1980</v>
      </c>
      <c r="I28" s="2">
        <v>0</v>
      </c>
      <c r="J28" s="2">
        <v>1980</v>
      </c>
      <c r="K28" s="2">
        <v>1980</v>
      </c>
      <c r="L28" s="2">
        <v>1980</v>
      </c>
      <c r="M28" s="2">
        <v>1980</v>
      </c>
      <c r="N28" s="2">
        <v>1980</v>
      </c>
      <c r="O28" s="2">
        <v>1980</v>
      </c>
      <c r="P28" s="9"/>
      <c r="Q28" s="2">
        <f>SUM(OSRRefD21_0_2x)+IFERROR(SUM(OSRRefE21_0_2x),0)</f>
        <v>26595.39</v>
      </c>
    </row>
    <row r="29" spans="1:17" s="34" customFormat="1" hidden="1" outlineLevel="1" x14ac:dyDescent="0.25">
      <c r="A29" s="35"/>
      <c r="B29" s="13" t="str">
        <f>CONCATENATE("          ","6114", " - ","STATE UNEMPLOYMENT INSURANCE")</f>
        <v xml:space="preserve">          6114 - STATE UNEMPLOYMENT INSURANCE</v>
      </c>
      <c r="C29" s="15"/>
      <c r="D29" s="2">
        <v>23.86</v>
      </c>
      <c r="E29" s="2">
        <v>22.98</v>
      </c>
      <c r="F29" s="2">
        <v>22.98</v>
      </c>
      <c r="G29" s="2">
        <v>22.98</v>
      </c>
      <c r="H29" s="2">
        <v>10.816000000000001</v>
      </c>
      <c r="I29" s="2">
        <v>0</v>
      </c>
      <c r="J29" s="2">
        <v>14.601599999999999</v>
      </c>
      <c r="K29" s="2">
        <v>11.681279999999999</v>
      </c>
      <c r="L29" s="2">
        <v>11.681279999999999</v>
      </c>
      <c r="M29" s="2">
        <v>14.601599999999999</v>
      </c>
      <c r="N29" s="2">
        <v>11.681279999999999</v>
      </c>
      <c r="O29" s="2">
        <v>11.681279999999999</v>
      </c>
      <c r="P29" s="9"/>
      <c r="Q29" s="2">
        <f>SUM(OSRRefD21_0_3x)+IFERROR(SUM(OSRRefE21_0_3x),0)</f>
        <v>179.54432000000003</v>
      </c>
    </row>
    <row r="30" spans="1:17" s="34" customFormat="1" hidden="1" outlineLevel="1" x14ac:dyDescent="0.25">
      <c r="A30" s="35"/>
      <c r="B30" s="13" t="str">
        <f>CONCATENATE("          ","6115", " - ","P.E.R.S.")</f>
        <v xml:space="preserve">          6115 - P.E.R.S.</v>
      </c>
      <c r="C30" s="15"/>
      <c r="D30" s="2">
        <v>1862.33</v>
      </c>
      <c r="E30" s="2">
        <v>935.63</v>
      </c>
      <c r="F30" s="2">
        <v>935.63</v>
      </c>
      <c r="G30" s="2">
        <v>561.37</v>
      </c>
      <c r="H30" s="2">
        <v>357.76</v>
      </c>
      <c r="I30" s="2">
        <v>0</v>
      </c>
      <c r="J30" s="2">
        <v>482.976</v>
      </c>
      <c r="K30" s="2">
        <v>386.38080000000002</v>
      </c>
      <c r="L30" s="2">
        <v>386.38080000000002</v>
      </c>
      <c r="M30" s="2">
        <v>482.976</v>
      </c>
      <c r="N30" s="2">
        <v>386.38080000000002</v>
      </c>
      <c r="O30" s="2">
        <v>386.38080000000002</v>
      </c>
      <c r="P30" s="9"/>
      <c r="Q30" s="2">
        <f>SUM(OSRRefD21_0_4x)+IFERROR(SUM(OSRRefE21_0_4x),0)</f>
        <v>7164.1952000000001</v>
      </c>
    </row>
    <row r="31" spans="1:17" s="34" customFormat="1" hidden="1" outlineLevel="1" x14ac:dyDescent="0.25">
      <c r="A31" s="35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25">
      <c r="A32" s="35"/>
      <c r="B32" s="13" t="str">
        <f>CONCATENATE("          ","6118", " - ","VACATION")</f>
        <v xml:space="preserve">          6118 - VACATION</v>
      </c>
      <c r="C32" s="15"/>
      <c r="D32" s="2">
        <v>798.88</v>
      </c>
      <c r="E32" s="2">
        <v>646.78</v>
      </c>
      <c r="F32" s="2">
        <v>646.78</v>
      </c>
      <c r="G32" s="2">
        <v>970.17</v>
      </c>
      <c r="H32" s="2">
        <v>208</v>
      </c>
      <c r="I32" s="2">
        <v>0</v>
      </c>
      <c r="J32" s="2">
        <v>280.8</v>
      </c>
      <c r="K32" s="2">
        <v>224.64</v>
      </c>
      <c r="L32" s="2">
        <v>224.64</v>
      </c>
      <c r="M32" s="2">
        <v>280.8</v>
      </c>
      <c r="N32" s="2">
        <v>224.64</v>
      </c>
      <c r="O32" s="2">
        <v>224.64</v>
      </c>
      <c r="P32" s="9"/>
      <c r="Q32" s="2">
        <f>SUM(OSRRefD21_0_6x)+IFERROR(SUM(OSRRefE21_0_6x),0)</f>
        <v>4730.7699999999995</v>
      </c>
    </row>
    <row r="33" spans="1:17" s="34" customFormat="1" hidden="1" outlineLevel="1" x14ac:dyDescent="0.25">
      <c r="A33" s="35"/>
      <c r="B33" s="13" t="str">
        <f>CONCATENATE("          ","6119", " - ","SICK LEAVE")</f>
        <v xml:space="preserve">          6119 - SICK LEAVE</v>
      </c>
      <c r="C33" s="15"/>
      <c r="D33" s="2">
        <v>652.62</v>
      </c>
      <c r="E33" s="2">
        <v>448.64</v>
      </c>
      <c r="F33" s="2">
        <v>448.64</v>
      </c>
      <c r="G33" s="2">
        <v>672.96</v>
      </c>
      <c r="H33" s="2">
        <v>208</v>
      </c>
      <c r="I33" s="2">
        <v>0</v>
      </c>
      <c r="J33" s="2">
        <v>280.8</v>
      </c>
      <c r="K33" s="2">
        <v>224.64</v>
      </c>
      <c r="L33" s="2">
        <v>224.64</v>
      </c>
      <c r="M33" s="2">
        <v>280.8</v>
      </c>
      <c r="N33" s="2">
        <v>224.64</v>
      </c>
      <c r="O33" s="2">
        <v>224.64</v>
      </c>
      <c r="P33" s="9"/>
      <c r="Q33" s="2">
        <f>SUM(OSRRefD21_0_7x)+IFERROR(SUM(OSRRefE21_0_7x),0)</f>
        <v>3891.02</v>
      </c>
    </row>
    <row r="34" spans="1:17" s="34" customFormat="1" hidden="1" outlineLevel="1" x14ac:dyDescent="0.25">
      <c r="A34" s="35"/>
      <c r="B34" s="13" t="str">
        <f>CONCATENATE("          ","6156", " - ","EMPLOYEE MEALS")</f>
        <v xml:space="preserve">          6156 - EMPLOYEE MEALS</v>
      </c>
      <c r="C34" s="15"/>
      <c r="D34" s="2">
        <v>5.98</v>
      </c>
      <c r="E34" s="2">
        <v>344.73</v>
      </c>
      <c r="F34" s="2">
        <v>290.47000000000003</v>
      </c>
      <c r="G34" s="2">
        <v>85.19</v>
      </c>
      <c r="H34" s="2">
        <v>175</v>
      </c>
      <c r="I34" s="2">
        <v>175</v>
      </c>
      <c r="J34" s="2">
        <v>175</v>
      </c>
      <c r="K34" s="2">
        <v>175</v>
      </c>
      <c r="L34" s="2">
        <v>175</v>
      </c>
      <c r="M34" s="2">
        <v>175</v>
      </c>
      <c r="N34" s="2">
        <v>175</v>
      </c>
      <c r="O34" s="2">
        <v>175</v>
      </c>
      <c r="P34" s="9"/>
      <c r="Q34" s="2">
        <f>SUM(OSRRefD21_0_8x)+IFERROR(SUM(OSRRefE21_0_8x),0)</f>
        <v>2126.37</v>
      </c>
    </row>
    <row r="35" spans="1:17" s="34" customFormat="1" collapsed="1" x14ac:dyDescent="0.25">
      <c r="A35" s="35"/>
      <c r="B35" s="15" t="str">
        <f>CONCATENATE("     ","*Payroll                                          ")</f>
        <v xml:space="preserve">     *Payroll                                          </v>
      </c>
      <c r="C35" s="15"/>
      <c r="D35" s="1">
        <f>SUM(OSRRefD21_1x_0)</f>
        <v>11477.03</v>
      </c>
      <c r="E35" s="1">
        <f>SUM(OSRRefD21_1x_1)</f>
        <v>10173.66</v>
      </c>
      <c r="F35" s="1">
        <f>SUM(OSRRefD21_1x_2)</f>
        <v>10821.800000000001</v>
      </c>
      <c r="G35" s="1">
        <f>SUM(OSRRefD21_1x_3)</f>
        <v>5318.8899999999994</v>
      </c>
      <c r="H35" s="1">
        <f>SUM(OSRRefE21_1x_0)</f>
        <v>3744</v>
      </c>
      <c r="I35" s="1">
        <f>SUM(OSRRefE21_1x_1)</f>
        <v>0</v>
      </c>
      <c r="J35" s="1">
        <f>SUM(OSRRefE21_1x_2)</f>
        <v>5054.3999999999996</v>
      </c>
      <c r="K35" s="1">
        <f>SUM(OSRRefE21_1x_3)</f>
        <v>4043.52</v>
      </c>
      <c r="L35" s="1">
        <f>SUM(OSRRefE21_1x_4)</f>
        <v>4043.52</v>
      </c>
      <c r="M35" s="1">
        <f>SUM(OSRRefE21_1x_5)</f>
        <v>5054.3999999999996</v>
      </c>
      <c r="N35" s="1">
        <f>SUM(OSRRefE21_1x_6)</f>
        <v>4043.52</v>
      </c>
      <c r="O35" s="1">
        <f>SUM(OSRRefE21_1x_7)</f>
        <v>4043.52</v>
      </c>
      <c r="Q35" s="2">
        <f>SUM(OSRRefD20_1x)+IFERROR(SUM(OSRRefE20_1x),0)</f>
        <v>67818.260000000009</v>
      </c>
    </row>
    <row r="36" spans="1:17" s="34" customFormat="1" hidden="1" outlineLevel="1" x14ac:dyDescent="0.25">
      <c r="A36" s="35"/>
      <c r="B36" s="13" t="str">
        <f>CONCATENATE("          ","6001", " - ","ADMINISTRATIVE SALARIES")</f>
        <v xml:space="preserve">          6001 - ADMINISTRATIVE SALARIES</v>
      </c>
      <c r="C36" s="15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4" customFormat="1" hidden="1" outlineLevel="1" x14ac:dyDescent="0.25">
      <c r="A37" s="35"/>
      <c r="B37" s="13" t="str">
        <f>CONCATENATE("          ","6002", " - ","STAFF SALARIES")</f>
        <v xml:space="preserve">          6002 - STAFF SALARIES</v>
      </c>
      <c r="C37" s="15"/>
      <c r="D37" s="2">
        <v>11477.03</v>
      </c>
      <c r="E37" s="2">
        <v>9518.66</v>
      </c>
      <c r="F37" s="2">
        <v>9344.7000000000007</v>
      </c>
      <c r="G37" s="2">
        <v>5319.03</v>
      </c>
      <c r="H37" s="2">
        <v>3744</v>
      </c>
      <c r="I37" s="2">
        <v>0</v>
      </c>
      <c r="J37" s="2">
        <v>5054.3999999999996</v>
      </c>
      <c r="K37" s="2">
        <v>4043.52</v>
      </c>
      <c r="L37" s="2">
        <v>4043.52</v>
      </c>
      <c r="M37" s="2">
        <v>5054.3999999999996</v>
      </c>
      <c r="N37" s="2">
        <v>4043.52</v>
      </c>
      <c r="O37" s="2">
        <v>4043.52</v>
      </c>
      <c r="P37" s="9"/>
      <c r="Q37" s="2">
        <f>SUM(OSRRefD21_1_1x)+IFERROR(SUM(OSRRefE21_1_1x),0)</f>
        <v>65686.3</v>
      </c>
    </row>
    <row r="38" spans="1:17" s="34" customFormat="1" hidden="1" outlineLevel="1" x14ac:dyDescent="0.25">
      <c r="A38" s="35"/>
      <c r="B38" s="13" t="str">
        <f>CONCATENATE("          ","6003", " - ","STAFF HOURLY-9 MONTH")</f>
        <v xml:space="preserve">          6003 - STAFF HOURLY-9 MONTH</v>
      </c>
      <c r="C38" s="15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4" customFormat="1" hidden="1" outlineLevel="1" x14ac:dyDescent="0.25">
      <c r="A39" s="35"/>
      <c r="B39" s="13" t="str">
        <f>CONCATENATE("          ","6004", " - ","STAFF HOURLY")</f>
        <v xml:space="preserve">          6004 - STAFF HOURLY</v>
      </c>
      <c r="C39" s="15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SUM(OSRRefD21_1_3x)+IFERROR(SUM(OSRRefE21_1_3x),0)</f>
        <v>0</v>
      </c>
    </row>
    <row r="40" spans="1:17" s="34" customFormat="1" hidden="1" outlineLevel="1" x14ac:dyDescent="0.25">
      <c r="A40" s="35"/>
      <c r="B40" s="13" t="str">
        <f>CONCATENATE("          ","6005", " - ","TEMPORARY WAGES-HOURLY")</f>
        <v xml:space="preserve">          6005 - TEMPORARY WAGES-HOURLY</v>
      </c>
      <c r="C40" s="15"/>
      <c r="D40" s="2"/>
      <c r="E40" s="2"/>
      <c r="F40" s="2">
        <v>1784.1</v>
      </c>
      <c r="G40" s="2">
        <v>347.86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SUM(OSRRefD21_1_4x)+IFERROR(SUM(OSRRefE21_1_4x),0)</f>
        <v>2131.96</v>
      </c>
    </row>
    <row r="41" spans="1:17" s="34" customFormat="1" hidden="1" outlineLevel="1" x14ac:dyDescent="0.25">
      <c r="A41" s="35"/>
      <c r="B41" s="13" t="str">
        <f>CONCATENATE("          ","6006", " - ","TEMPORARY PART TIME")</f>
        <v xml:space="preserve">          6006 - TEMPORARY PART TIME</v>
      </c>
      <c r="C41" s="15"/>
      <c r="D41" s="2"/>
      <c r="E41" s="2"/>
      <c r="F41" s="2"/>
      <c r="G41" s="2"/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4" customFormat="1" hidden="1" outlineLevel="1" x14ac:dyDescent="0.25">
      <c r="A42" s="35"/>
      <c r="B42" s="13" t="str">
        <f>CONCATENATE("          ","6007", " - ","STUDENT HOURLY")</f>
        <v xml:space="preserve">          6007 - STUDENT HOURLY</v>
      </c>
      <c r="C42" s="15"/>
      <c r="D42" s="2"/>
      <c r="E42" s="2">
        <v>655</v>
      </c>
      <c r="F42" s="2">
        <v>-307</v>
      </c>
      <c r="G42" s="2">
        <v>-348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SUM(OSRRefD21_1_6x)+IFERROR(SUM(OSRRefE21_1_6x),0)</f>
        <v>0</v>
      </c>
    </row>
    <row r="43" spans="1:17" s="34" customFormat="1" hidden="1" outlineLevel="1" x14ac:dyDescent="0.25">
      <c r="A43" s="35"/>
      <c r="B43" s="13" t="str">
        <f>CONCATENATE("          ","6008", " - ","STUDENT HOURLY-FICA EXEMPT")</f>
        <v xml:space="preserve">          6008 - STUDENT HOURLY-FICA EXEMPT</v>
      </c>
      <c r="C43" s="15"/>
      <c r="D43" s="2"/>
      <c r="E43" s="2"/>
      <c r="F43" s="2"/>
      <c r="G43" s="2"/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SUM(OSRRefD21_1_7x)+IFERROR(SUM(OSRRefE21_1_7x),0)</f>
        <v>0</v>
      </c>
    </row>
    <row r="44" spans="1:17" s="34" customFormat="1" hidden="1" outlineLevel="1" x14ac:dyDescent="0.25">
      <c r="A44" s="35"/>
      <c r="B44" s="13" t="str">
        <f>CONCATENATE("          ","6009", " - ","TEMPORARY-SEASONAL")</f>
        <v xml:space="preserve">          6009 - TEMPORARY-SEASONAL</v>
      </c>
      <c r="C44" s="15"/>
      <c r="D44" s="2"/>
      <c r="E44" s="2"/>
      <c r="F44" s="2"/>
      <c r="G44" s="2"/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4" customFormat="1" hidden="1" outlineLevel="1" x14ac:dyDescent="0.25">
      <c r="A45" s="35"/>
      <c r="B45" s="13" t="str">
        <f>CONCATENATE("          ","6010", " - ","GRATUITY")</f>
        <v xml:space="preserve">          6010 - GRATUITY</v>
      </c>
      <c r="C45" s="15"/>
      <c r="D45" s="2"/>
      <c r="E45" s="2"/>
      <c r="F45" s="2"/>
      <c r="G45" s="2"/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4" customFormat="1" collapsed="1" x14ac:dyDescent="0.25">
      <c r="A46" s="35"/>
      <c r="B46" s="15" t="str">
        <f>CONCATENATE("     ","Advertising/Promo                                 ")</f>
        <v xml:space="preserve">     Advertising/Promo                                 </v>
      </c>
      <c r="C46" s="15"/>
      <c r="D46" s="1">
        <f>SUM(OSRRefD21_2x_0)</f>
        <v>0</v>
      </c>
      <c r="E46" s="1">
        <f>SUM(OSRRefD21_2x_1)</f>
        <v>0</v>
      </c>
      <c r="F46" s="1">
        <f>SUM(OSRRefD21_2x_2)</f>
        <v>0</v>
      </c>
      <c r="G46" s="1">
        <f>SUM(OSRRefD21_2x_3)</f>
        <v>0</v>
      </c>
      <c r="H46" s="1">
        <f>SUM(OSRRefE21_2x_0)</f>
        <v>0</v>
      </c>
      <c r="I46" s="1">
        <f>SUM(OSRRefE21_2x_1)</f>
        <v>0</v>
      </c>
      <c r="J46" s="1">
        <f>SUM(OSRRefE21_2x_2)</f>
        <v>0</v>
      </c>
      <c r="K46" s="1">
        <f>SUM(OSRRefE21_2x_3)</f>
        <v>0</v>
      </c>
      <c r="L46" s="1">
        <f>SUM(OSRRefE21_2x_4)</f>
        <v>0</v>
      </c>
      <c r="M46" s="1">
        <f>SUM(OSRRefE21_2x_5)</f>
        <v>0</v>
      </c>
      <c r="N46" s="1">
        <f>SUM(OSRRefE21_2x_6)</f>
        <v>0</v>
      </c>
      <c r="O46" s="1">
        <f>SUM(OSRRefE21_2x_7)</f>
        <v>0</v>
      </c>
      <c r="Q46" s="2">
        <f>SUM(OSRRefD20_2x)+IFERROR(SUM(OSRRefE20_2x),0)</f>
        <v>0</v>
      </c>
    </row>
    <row r="47" spans="1:17" s="34" customFormat="1" hidden="1" outlineLevel="1" x14ac:dyDescent="0.25">
      <c r="A47" s="35"/>
      <c r="B47" s="13" t="str">
        <f>CONCATENATE("          ","6362", " - ","ADVERTISING EXPENSE")</f>
        <v xml:space="preserve">          6362 - ADVERTISING EXPENSE</v>
      </c>
      <c r="C47" s="15"/>
      <c r="D47" s="2"/>
      <c r="E47" s="2"/>
      <c r="F47" s="2"/>
      <c r="G47" s="2"/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SUM(OSRRefD21_2_0x)+IFERROR(SUM(OSRRefE21_2_0x),0)</f>
        <v>0</v>
      </c>
    </row>
    <row r="48" spans="1:17" s="34" customFormat="1" collapsed="1" x14ac:dyDescent="0.25">
      <c r="A48" s="35"/>
      <c r="B48" s="15" t="str">
        <f>CONCATENATE("     ","Bad Debts/Over/Short                              ")</f>
        <v xml:space="preserve">     Bad Debts/Over/Short                              </v>
      </c>
      <c r="C48" s="15"/>
      <c r="D48" s="1">
        <f>SUM(OSRRefD21_3x_0)</f>
        <v>0</v>
      </c>
      <c r="E48" s="1">
        <f>SUM(OSRRefD21_3x_1)</f>
        <v>3.75</v>
      </c>
      <c r="F48" s="1">
        <f>SUM(OSRRefD21_3x_2)</f>
        <v>-0.44</v>
      </c>
      <c r="G48" s="1">
        <f>SUM(OSRRefD21_3x_3)</f>
        <v>0</v>
      </c>
      <c r="H48" s="1">
        <f>SUM(OSRRefE21_3x_0)</f>
        <v>8</v>
      </c>
      <c r="I48" s="1">
        <f>SUM(OSRRefE21_3x_1)</f>
        <v>8</v>
      </c>
      <c r="J48" s="1">
        <f>SUM(OSRRefE21_3x_2)</f>
        <v>5</v>
      </c>
      <c r="K48" s="1">
        <f>SUM(OSRRefE21_3x_3)</f>
        <v>5</v>
      </c>
      <c r="L48" s="1">
        <f>SUM(OSRRefE21_3x_4)</f>
        <v>8</v>
      </c>
      <c r="M48" s="1">
        <f>SUM(OSRRefE21_3x_5)</f>
        <v>7</v>
      </c>
      <c r="N48" s="1">
        <f>SUM(OSRRefE21_3x_6)</f>
        <v>5</v>
      </c>
      <c r="O48" s="1">
        <f>SUM(OSRRefE21_3x_7)</f>
        <v>5</v>
      </c>
      <c r="Q48" s="2">
        <f>SUM(OSRRefD20_3x)+IFERROR(SUM(OSRRefE20_3x),0)</f>
        <v>54.31</v>
      </c>
    </row>
    <row r="49" spans="1:17" s="34" customFormat="1" hidden="1" outlineLevel="1" x14ac:dyDescent="0.25">
      <c r="A49" s="35"/>
      <c r="B49" s="13" t="str">
        <f>CONCATENATE("          ","6272", " - ","CASH (OVER/SHORT)")</f>
        <v xml:space="preserve">          6272 - CASH (OVER/SHORT)</v>
      </c>
      <c r="C49" s="15"/>
      <c r="D49" s="2"/>
      <c r="E49" s="2">
        <v>3.75</v>
      </c>
      <c r="F49" s="2">
        <v>-0.44</v>
      </c>
      <c r="G49" s="2"/>
      <c r="H49" s="2">
        <v>8</v>
      </c>
      <c r="I49" s="2">
        <v>8</v>
      </c>
      <c r="J49" s="2">
        <v>5</v>
      </c>
      <c r="K49" s="2">
        <v>5</v>
      </c>
      <c r="L49" s="2">
        <v>8</v>
      </c>
      <c r="M49" s="2">
        <v>7</v>
      </c>
      <c r="N49" s="2">
        <v>5</v>
      </c>
      <c r="O49" s="2">
        <v>5</v>
      </c>
      <c r="P49" s="9"/>
      <c r="Q49" s="2">
        <f>SUM(OSRRefD21_3_0x)+IFERROR(SUM(OSRRefE21_3_0x),0)</f>
        <v>54.31</v>
      </c>
    </row>
    <row r="50" spans="1:17" s="34" customFormat="1" collapsed="1" x14ac:dyDescent="0.25">
      <c r="A50" s="35"/>
      <c r="B50" s="15" t="str">
        <f>CONCATENATE("     ","Bank/card Fees                                    ")</f>
        <v xml:space="preserve">     Bank/card Fees                                    </v>
      </c>
      <c r="C50" s="15"/>
      <c r="D50" s="1">
        <f>SUM(OSRRefD21_4x_0)</f>
        <v>60</v>
      </c>
      <c r="E50" s="1">
        <f>SUM(OSRRefD21_4x_1)</f>
        <v>60</v>
      </c>
      <c r="F50" s="1">
        <f>SUM(OSRRefD21_4x_2)</f>
        <v>110.18</v>
      </c>
      <c r="G50" s="1">
        <f>SUM(OSRRefD21_4x_3)</f>
        <v>204.06</v>
      </c>
      <c r="H50" s="1">
        <f>SUM(OSRRefE21_4x_0)</f>
        <v>27</v>
      </c>
      <c r="I50" s="1">
        <f>SUM(OSRRefE21_4x_1)</f>
        <v>47</v>
      </c>
      <c r="J50" s="1">
        <f>SUM(OSRRefE21_4x_2)</f>
        <v>31</v>
      </c>
      <c r="K50" s="1">
        <f>SUM(OSRRefE21_4x_3)</f>
        <v>37</v>
      </c>
      <c r="L50" s="1">
        <f>SUM(OSRRefE21_4x_4)</f>
        <v>73</v>
      </c>
      <c r="M50" s="1">
        <f>SUM(OSRRefE21_4x_5)</f>
        <v>47</v>
      </c>
      <c r="N50" s="1">
        <f>SUM(OSRRefE21_4x_6)</f>
        <v>63</v>
      </c>
      <c r="O50" s="1">
        <f>SUM(OSRRefE21_4x_7)</f>
        <v>13</v>
      </c>
      <c r="Q50" s="2">
        <f>SUM(OSRRefD20_4x)+IFERROR(SUM(OSRRefE20_4x),0)</f>
        <v>772.24</v>
      </c>
    </row>
    <row r="51" spans="1:17" s="34" customFormat="1" hidden="1" outlineLevel="1" x14ac:dyDescent="0.25">
      <c r="A51" s="35"/>
      <c r="B51" s="13" t="str">
        <f>CONCATENATE("          ","6381", " - ","BANK/CREDIT CARD FEES")</f>
        <v xml:space="preserve">          6381 - BANK/CREDIT CARD FEES</v>
      </c>
      <c r="C51" s="15"/>
      <c r="D51" s="2">
        <v>60</v>
      </c>
      <c r="E51" s="2">
        <v>60</v>
      </c>
      <c r="F51" s="2">
        <v>110.18</v>
      </c>
      <c r="G51" s="2">
        <v>204.06</v>
      </c>
      <c r="H51" s="2">
        <v>27</v>
      </c>
      <c r="I51" s="2">
        <v>47</v>
      </c>
      <c r="J51" s="2">
        <v>31</v>
      </c>
      <c r="K51" s="2">
        <v>37</v>
      </c>
      <c r="L51" s="2">
        <v>73</v>
      </c>
      <c r="M51" s="2">
        <v>47</v>
      </c>
      <c r="N51" s="2">
        <v>63</v>
      </c>
      <c r="O51" s="2">
        <v>13</v>
      </c>
      <c r="P51" s="9"/>
      <c r="Q51" s="2">
        <f>SUM(OSRRefD21_4_0x)+IFERROR(SUM(OSRRefE21_4_0x),0)</f>
        <v>772.24</v>
      </c>
    </row>
    <row r="52" spans="1:17" s="34" customFormat="1" collapsed="1" x14ac:dyDescent="0.25">
      <c r="A52" s="35"/>
      <c r="B52" s="15" t="str">
        <f>CONCATENATE("     ","Depreciation                                      ")</f>
        <v xml:space="preserve">     Depreciation                                      </v>
      </c>
      <c r="C52" s="15"/>
      <c r="D52" s="1">
        <f>SUM(OSRRefD21_5x_0)</f>
        <v>8990.73</v>
      </c>
      <c r="E52" s="1">
        <f>SUM(OSRRefD21_5x_1)</f>
        <v>9271.99</v>
      </c>
      <c r="F52" s="1">
        <f>SUM(OSRRefD21_5x_2)</f>
        <v>9263.4700000000012</v>
      </c>
      <c r="G52" s="1">
        <f>SUM(OSRRefD21_5x_3)</f>
        <v>9263.4500000000007</v>
      </c>
      <c r="H52" s="1">
        <f>SUM(OSRRefE21_5x_0)</f>
        <v>8563</v>
      </c>
      <c r="I52" s="1">
        <f>SUM(OSRRefE21_5x_1)</f>
        <v>8563</v>
      </c>
      <c r="J52" s="1">
        <f>SUM(OSRRefE21_5x_2)</f>
        <v>8563</v>
      </c>
      <c r="K52" s="1">
        <f>SUM(OSRRefE21_5x_3)</f>
        <v>8563</v>
      </c>
      <c r="L52" s="1">
        <f>SUM(OSRRefE21_5x_4)</f>
        <v>8563</v>
      </c>
      <c r="M52" s="1">
        <f>SUM(OSRRefE21_5x_5)</f>
        <v>8563</v>
      </c>
      <c r="N52" s="1">
        <f>SUM(OSRRefE21_5x_6)</f>
        <v>8563</v>
      </c>
      <c r="O52" s="1">
        <f>SUM(OSRRefE21_5x_7)</f>
        <v>8563</v>
      </c>
      <c r="Q52" s="2">
        <f>SUM(OSRRefD20_5x)+IFERROR(SUM(OSRRefE20_5x),0)</f>
        <v>105293.64</v>
      </c>
    </row>
    <row r="53" spans="1:17" s="34" customFormat="1" hidden="1" outlineLevel="1" x14ac:dyDescent="0.25">
      <c r="A53" s="35"/>
      <c r="B53" s="13" t="str">
        <f>CONCATENATE("          ","6321", " - ","BUILDING DEPRECIATION")</f>
        <v xml:space="preserve">          6321 - BUILDING DEPRECIATION</v>
      </c>
      <c r="C53" s="15"/>
      <c r="D53" s="2">
        <v>5080.51</v>
      </c>
      <c r="E53" s="2">
        <v>5080.51</v>
      </c>
      <c r="F53" s="2">
        <v>5080.51</v>
      </c>
      <c r="G53" s="2">
        <v>5080.51</v>
      </c>
      <c r="H53" s="2"/>
      <c r="I53" s="2"/>
      <c r="J53" s="2"/>
      <c r="K53" s="2"/>
      <c r="L53" s="2"/>
      <c r="M53" s="2"/>
      <c r="N53" s="2"/>
      <c r="O53" s="2"/>
      <c r="P53" s="9"/>
      <c r="Q53" s="2">
        <f>SUM(OSRRefD21_5_0x)+IFERROR(SUM(OSRRefE21_5_0x),0)</f>
        <v>20322.04</v>
      </c>
    </row>
    <row r="54" spans="1:17" s="34" customFormat="1" hidden="1" outlineLevel="1" x14ac:dyDescent="0.25">
      <c r="A54" s="35"/>
      <c r="B54" s="13" t="str">
        <f>CONCATENATE("          ","6322", " - ","EQUIPMENT DEPRECIATION EXPENSE")</f>
        <v xml:space="preserve">          6322 - EQUIPMENT DEPRECIATION EXPENSE</v>
      </c>
      <c r="C54" s="15"/>
      <c r="D54" s="2">
        <v>3910.22</v>
      </c>
      <c r="E54" s="2">
        <v>4191.4799999999996</v>
      </c>
      <c r="F54" s="2">
        <v>4182.96</v>
      </c>
      <c r="G54" s="2">
        <v>4182.9399999999996</v>
      </c>
      <c r="H54" s="2">
        <v>8563</v>
      </c>
      <c r="I54" s="2">
        <v>8563</v>
      </c>
      <c r="J54" s="2">
        <v>8563</v>
      </c>
      <c r="K54" s="2">
        <v>8563</v>
      </c>
      <c r="L54" s="2">
        <v>8563</v>
      </c>
      <c r="M54" s="2">
        <v>8563</v>
      </c>
      <c r="N54" s="2">
        <v>8563</v>
      </c>
      <c r="O54" s="2">
        <v>8563</v>
      </c>
      <c r="P54" s="9"/>
      <c r="Q54" s="2">
        <f>SUM(OSRRefD21_5_1x)+IFERROR(SUM(OSRRefE21_5_1x),0)</f>
        <v>84971.6</v>
      </c>
    </row>
    <row r="55" spans="1:17" s="34" customFormat="1" collapsed="1" x14ac:dyDescent="0.25">
      <c r="A55" s="35"/>
      <c r="B55" s="15" t="str">
        <f>CONCATENATE("     ","Employees' Appreciation                           ")</f>
        <v xml:space="preserve">     Employees' Appreciation                           </v>
      </c>
      <c r="C55" s="15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SUM(OSRRefE21_6x_0)</f>
        <v>0</v>
      </c>
      <c r="I55" s="1">
        <f>SUM(OSRRefE21_6x_1)</f>
        <v>50</v>
      </c>
      <c r="J55" s="1">
        <f>SUM(OSRRefE21_6x_2)</f>
        <v>0</v>
      </c>
      <c r="K55" s="1">
        <f>SUM(OSRRefE21_6x_3)</f>
        <v>0</v>
      </c>
      <c r="L55" s="1">
        <f>SUM(OSRRefE21_6x_4)</f>
        <v>0</v>
      </c>
      <c r="M55" s="1">
        <f>SUM(OSRRefE21_6x_5)</f>
        <v>100</v>
      </c>
      <c r="N55" s="1">
        <f>SUM(OSRRefE21_6x_6)</f>
        <v>0</v>
      </c>
      <c r="O55" s="1">
        <f>SUM(OSRRefE21_6x_7)</f>
        <v>0</v>
      </c>
      <c r="Q55" s="2">
        <f>SUM(OSRRefD20_6x)+IFERROR(SUM(OSRRefE20_6x),0)</f>
        <v>150</v>
      </c>
    </row>
    <row r="56" spans="1:17" s="34" customFormat="1" hidden="1" outlineLevel="1" x14ac:dyDescent="0.25">
      <c r="A56" s="35"/>
      <c r="B56" s="13" t="str">
        <f>CONCATENATE("          ","6277", " - ","EMPLOYEE APPRECIATION")</f>
        <v xml:space="preserve">          6277 - EMPLOYEE APPRECIATION</v>
      </c>
      <c r="C56" s="15"/>
      <c r="D56" s="2"/>
      <c r="E56" s="2"/>
      <c r="F56" s="2"/>
      <c r="G56" s="2"/>
      <c r="H56" s="2"/>
      <c r="I56" s="2">
        <v>50</v>
      </c>
      <c r="J56" s="2"/>
      <c r="K56" s="2"/>
      <c r="L56" s="2"/>
      <c r="M56" s="2">
        <v>100</v>
      </c>
      <c r="N56" s="2"/>
      <c r="O56" s="2"/>
      <c r="P56" s="9"/>
      <c r="Q56" s="2">
        <f>SUM(OSRRefD21_6_0x)+IFERROR(SUM(OSRRefE21_6_0x),0)</f>
        <v>150</v>
      </c>
    </row>
    <row r="57" spans="1:17" s="34" customFormat="1" collapsed="1" x14ac:dyDescent="0.25">
      <c r="A57" s="35"/>
      <c r="B57" s="15" t="str">
        <f>CONCATENATE("     ","Equipment Rental                                  ")</f>
        <v xml:space="preserve">     Equipment Rental                                  </v>
      </c>
      <c r="C57" s="15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SUM(OSRRefE21_7x_0)</f>
        <v>146</v>
      </c>
      <c r="I57" s="1">
        <f>SUM(OSRRefE21_7x_1)</f>
        <v>146</v>
      </c>
      <c r="J57" s="1">
        <f>SUM(OSRRefE21_7x_2)</f>
        <v>146</v>
      </c>
      <c r="K57" s="1">
        <f>SUM(OSRRefE21_7x_3)</f>
        <v>146</v>
      </c>
      <c r="L57" s="1">
        <f>SUM(OSRRefE21_7x_4)</f>
        <v>146</v>
      </c>
      <c r="M57" s="1">
        <f>SUM(OSRRefE21_7x_5)</f>
        <v>146</v>
      </c>
      <c r="N57" s="1">
        <f>SUM(OSRRefE21_7x_6)</f>
        <v>146</v>
      </c>
      <c r="O57" s="1">
        <f>SUM(OSRRefE21_7x_7)</f>
        <v>146</v>
      </c>
      <c r="Q57" s="2">
        <f>SUM(OSRRefD20_7x)+IFERROR(SUM(OSRRefE20_7x),0)</f>
        <v>1168</v>
      </c>
    </row>
    <row r="58" spans="1:17" s="34" customFormat="1" hidden="1" outlineLevel="1" x14ac:dyDescent="0.25">
      <c r="A58" s="35"/>
      <c r="B58" s="13" t="str">
        <f>CONCATENATE("          ","6351", " - ","EQUIPMENT RENTAL")</f>
        <v xml:space="preserve">          6351 - EQUIPMENT RENTAL</v>
      </c>
      <c r="C58" s="15"/>
      <c r="D58" s="2"/>
      <c r="E58" s="2"/>
      <c r="F58" s="2"/>
      <c r="G58" s="2"/>
      <c r="H58" s="2">
        <v>146</v>
      </c>
      <c r="I58" s="2">
        <v>146</v>
      </c>
      <c r="J58" s="2">
        <v>146</v>
      </c>
      <c r="K58" s="2">
        <v>146</v>
      </c>
      <c r="L58" s="2">
        <v>146</v>
      </c>
      <c r="M58" s="2">
        <v>146</v>
      </c>
      <c r="N58" s="2">
        <v>146</v>
      </c>
      <c r="O58" s="2">
        <v>146</v>
      </c>
      <c r="P58" s="9"/>
      <c r="Q58" s="2">
        <f>SUM(OSRRefD21_7_0x)+IFERROR(SUM(OSRRefE21_7_0x),0)</f>
        <v>1168</v>
      </c>
    </row>
    <row r="59" spans="1:17" s="34" customFormat="1" collapsed="1" x14ac:dyDescent="0.25">
      <c r="A59" s="35"/>
      <c r="B59" s="15" t="str">
        <f>CONCATENATE("     ","Freight out/Postage                               ")</f>
        <v xml:space="preserve">     Freight out/Postage                               </v>
      </c>
      <c r="C59" s="15"/>
      <c r="D59" s="1">
        <f>SUM(OSRRefD21_8x_0)</f>
        <v>0</v>
      </c>
      <c r="E59" s="1">
        <f>SUM(OSRRefD21_8x_1)</f>
        <v>3.94</v>
      </c>
      <c r="F59" s="1">
        <f>SUM(OSRRefD21_8x_2)</f>
        <v>6.06</v>
      </c>
      <c r="G59" s="1">
        <f>SUM(OSRRefD21_8x_3)</f>
        <v>85.43</v>
      </c>
      <c r="H59" s="1">
        <f>SUM(OSRRefE21_8x_0)</f>
        <v>0</v>
      </c>
      <c r="I59" s="1">
        <f>SUM(OSRRefE21_8x_1)</f>
        <v>0</v>
      </c>
      <c r="J59" s="1">
        <f>SUM(OSRRefE21_8x_2)</f>
        <v>0</v>
      </c>
      <c r="K59" s="1">
        <f>SUM(OSRRefE21_8x_3)</f>
        <v>0</v>
      </c>
      <c r="L59" s="1">
        <f>SUM(OSRRefE21_8x_4)</f>
        <v>0</v>
      </c>
      <c r="M59" s="1">
        <f>SUM(OSRRefE21_8x_5)</f>
        <v>0</v>
      </c>
      <c r="N59" s="1">
        <f>SUM(OSRRefE21_8x_6)</f>
        <v>0</v>
      </c>
      <c r="O59" s="1">
        <f>SUM(OSRRefE21_8x_7)</f>
        <v>0</v>
      </c>
      <c r="Q59" s="2">
        <f>SUM(OSRRefD20_8x)+IFERROR(SUM(OSRRefE20_8x),0)</f>
        <v>95.43</v>
      </c>
    </row>
    <row r="60" spans="1:17" s="34" customFormat="1" hidden="1" outlineLevel="1" x14ac:dyDescent="0.25">
      <c r="A60" s="35"/>
      <c r="B60" s="13" t="str">
        <f>CONCATENATE("          ","6305", " - ","FREIGHT OUT")</f>
        <v xml:space="preserve">          6305 - FREIGHT OUT</v>
      </c>
      <c r="C60" s="15"/>
      <c r="D60" s="2"/>
      <c r="E60" s="2">
        <v>3.94</v>
      </c>
      <c r="F60" s="2">
        <v>6.06</v>
      </c>
      <c r="G60" s="2">
        <v>85.43</v>
      </c>
      <c r="H60" s="2"/>
      <c r="I60" s="2"/>
      <c r="J60" s="2"/>
      <c r="K60" s="2"/>
      <c r="L60" s="2"/>
      <c r="M60" s="2"/>
      <c r="N60" s="2"/>
      <c r="O60" s="2"/>
      <c r="P60" s="9"/>
      <c r="Q60" s="2">
        <f>SUM(OSRRefD21_8_0x)+IFERROR(SUM(OSRRefE21_8_0x),0)</f>
        <v>95.43</v>
      </c>
    </row>
    <row r="61" spans="1:17" s="34" customFormat="1" collapsed="1" x14ac:dyDescent="0.25">
      <c r="A61" s="35"/>
      <c r="B61" s="15" t="str">
        <f>CONCATENATE("     ","General                                           ")</f>
        <v xml:space="preserve">     General                                           </v>
      </c>
      <c r="C61" s="15"/>
      <c r="D61" s="1">
        <f>SUM(OSRRefD21_9x_0)</f>
        <v>1509.1</v>
      </c>
      <c r="E61" s="1">
        <f>SUM(OSRRefD21_9x_1)</f>
        <v>0</v>
      </c>
      <c r="F61" s="1">
        <f>SUM(OSRRefD21_9x_2)</f>
        <v>0</v>
      </c>
      <c r="G61" s="1">
        <f>SUM(OSRRefD21_9x_3)</f>
        <v>0</v>
      </c>
      <c r="H61" s="1">
        <f>SUM(OSRRefE21_9x_0)</f>
        <v>0</v>
      </c>
      <c r="I61" s="1">
        <f>SUM(OSRRefE21_9x_1)</f>
        <v>0</v>
      </c>
      <c r="J61" s="1">
        <f>SUM(OSRRefE21_9x_2)</f>
        <v>0</v>
      </c>
      <c r="K61" s="1">
        <f>SUM(OSRRefE21_9x_3)</f>
        <v>0</v>
      </c>
      <c r="L61" s="1">
        <f>SUM(OSRRefE21_9x_4)</f>
        <v>0</v>
      </c>
      <c r="M61" s="1">
        <f>SUM(OSRRefE21_9x_5)</f>
        <v>0</v>
      </c>
      <c r="N61" s="1">
        <f>SUM(OSRRefE21_9x_6)</f>
        <v>0</v>
      </c>
      <c r="O61" s="1">
        <f>SUM(OSRRefE21_9x_7)</f>
        <v>0</v>
      </c>
      <c r="Q61" s="2">
        <f>SUM(OSRRefD20_9x)+IFERROR(SUM(OSRRefE20_9x),0)</f>
        <v>1509.1</v>
      </c>
    </row>
    <row r="62" spans="1:17" s="34" customFormat="1" hidden="1" outlineLevel="1" x14ac:dyDescent="0.25">
      <c r="A62" s="35"/>
      <c r="B62" s="13" t="str">
        <f>CONCATENATE("          ","6279", " - ","GENERAL EXPENSE")</f>
        <v xml:space="preserve">          6279 - GENERAL EXPENSE</v>
      </c>
      <c r="C62" s="15"/>
      <c r="D62" s="2">
        <v>1509.1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9"/>
      <c r="Q62" s="2">
        <f>SUM(OSRRefD21_9_0x)+IFERROR(SUM(OSRRefE21_9_0x),0)</f>
        <v>1509.1</v>
      </c>
    </row>
    <row r="63" spans="1:17" s="34" customFormat="1" collapsed="1" x14ac:dyDescent="0.25">
      <c r="A63" s="35"/>
      <c r="B63" s="15" t="str">
        <f>CONCATENATE("     ","Insurance                                         ")</f>
        <v xml:space="preserve">     Insurance                                         </v>
      </c>
      <c r="C63" s="15"/>
      <c r="D63" s="1">
        <f>SUM(OSRRefD21_10x_0)</f>
        <v>243.54</v>
      </c>
      <c r="E63" s="1">
        <f>SUM(OSRRefD21_10x_1)</f>
        <v>243.54</v>
      </c>
      <c r="F63" s="1">
        <f>SUM(OSRRefD21_10x_2)</f>
        <v>243.54</v>
      </c>
      <c r="G63" s="1">
        <f>SUM(OSRRefD21_10x_3)</f>
        <v>243.54</v>
      </c>
      <c r="H63" s="1">
        <f>SUM(OSRRefE21_10x_0)</f>
        <v>270</v>
      </c>
      <c r="I63" s="1">
        <f>SUM(OSRRefE21_10x_1)</f>
        <v>270</v>
      </c>
      <c r="J63" s="1">
        <f>SUM(OSRRefE21_10x_2)</f>
        <v>270</v>
      </c>
      <c r="K63" s="1">
        <f>SUM(OSRRefE21_10x_3)</f>
        <v>270</v>
      </c>
      <c r="L63" s="1">
        <f>SUM(OSRRefE21_10x_4)</f>
        <v>270</v>
      </c>
      <c r="M63" s="1">
        <f>SUM(OSRRefE21_10x_5)</f>
        <v>270</v>
      </c>
      <c r="N63" s="1">
        <f>SUM(OSRRefE21_10x_6)</f>
        <v>270</v>
      </c>
      <c r="O63" s="1">
        <f>SUM(OSRRefE21_10x_7)</f>
        <v>270</v>
      </c>
      <c r="Q63" s="2">
        <f>SUM(OSRRefD20_10x)+IFERROR(SUM(OSRRefE20_10x),0)</f>
        <v>3134.16</v>
      </c>
    </row>
    <row r="64" spans="1:17" s="34" customFormat="1" hidden="1" outlineLevel="1" x14ac:dyDescent="0.25">
      <c r="A64" s="35"/>
      <c r="B64" s="13" t="str">
        <f>CONCATENATE("          ","6314", " - ","LIABILITY INSURANCE")</f>
        <v xml:space="preserve">          6314 - LIABILITY INSURANCE</v>
      </c>
      <c r="C64" s="15"/>
      <c r="D64" s="2">
        <v>243.54</v>
      </c>
      <c r="E64" s="2">
        <v>243.54</v>
      </c>
      <c r="F64" s="2">
        <v>243.54</v>
      </c>
      <c r="G64" s="2">
        <v>243.54</v>
      </c>
      <c r="H64" s="2">
        <v>270</v>
      </c>
      <c r="I64" s="2">
        <v>270</v>
      </c>
      <c r="J64" s="2">
        <v>270</v>
      </c>
      <c r="K64" s="2">
        <v>270</v>
      </c>
      <c r="L64" s="2">
        <v>270</v>
      </c>
      <c r="M64" s="2">
        <v>270</v>
      </c>
      <c r="N64" s="2">
        <v>270</v>
      </c>
      <c r="O64" s="2">
        <v>270</v>
      </c>
      <c r="P64" s="9"/>
      <c r="Q64" s="2">
        <f>SUM(OSRRefD21_10_0x)+IFERROR(SUM(OSRRefE21_10_0x),0)</f>
        <v>3134.16</v>
      </c>
    </row>
    <row r="65" spans="1:17" s="34" customFormat="1" collapsed="1" x14ac:dyDescent="0.25">
      <c r="A65" s="35"/>
      <c r="B65" s="15" t="str">
        <f>CONCATENATE("     ","Interest                                          ")</f>
        <v xml:space="preserve">     Interest                                          </v>
      </c>
      <c r="C65" s="15"/>
      <c r="D65" s="1">
        <f>SUM(OSRRefD21_11x_0)</f>
        <v>4044</v>
      </c>
      <c r="E65" s="1">
        <f>SUM(OSRRefD21_11x_1)</f>
        <v>4044</v>
      </c>
      <c r="F65" s="1">
        <f>SUM(OSRRefD21_11x_2)</f>
        <v>4044</v>
      </c>
      <c r="G65" s="1">
        <f>SUM(OSRRefD21_11x_3)</f>
        <v>3781.85</v>
      </c>
      <c r="H65" s="1">
        <f>SUM(OSRRefE21_11x_0)</f>
        <v>4044</v>
      </c>
      <c r="I65" s="1">
        <f>SUM(OSRRefE21_11x_1)</f>
        <v>4044</v>
      </c>
      <c r="J65" s="1">
        <f>SUM(OSRRefE21_11x_2)</f>
        <v>4044</v>
      </c>
      <c r="K65" s="1">
        <f>SUM(OSRRefE21_11x_3)</f>
        <v>4044</v>
      </c>
      <c r="L65" s="1">
        <f>SUM(OSRRefE21_11x_4)</f>
        <v>4044</v>
      </c>
      <c r="M65" s="1">
        <f>SUM(OSRRefE21_11x_5)</f>
        <v>4044</v>
      </c>
      <c r="N65" s="1">
        <f>SUM(OSRRefE21_11x_6)</f>
        <v>3905</v>
      </c>
      <c r="O65" s="1">
        <f>SUM(OSRRefE21_11x_7)</f>
        <v>3905</v>
      </c>
      <c r="Q65" s="2">
        <f>SUM(OSRRefD20_11x)+IFERROR(SUM(OSRRefE20_11x),0)</f>
        <v>47987.85</v>
      </c>
    </row>
    <row r="66" spans="1:17" s="34" customFormat="1" hidden="1" outlineLevel="1" x14ac:dyDescent="0.25">
      <c r="A66" s="35"/>
      <c r="B66" s="13" t="str">
        <f>CONCATENATE("          ","6401", " - ","INTEREST EXPENSE")</f>
        <v xml:space="preserve">          6401 - INTEREST EXPENSE</v>
      </c>
      <c r="C66" s="15"/>
      <c r="D66" s="2">
        <v>4044</v>
      </c>
      <c r="E66" s="2">
        <v>4044</v>
      </c>
      <c r="F66" s="2">
        <v>4044</v>
      </c>
      <c r="G66" s="2">
        <v>3781.85</v>
      </c>
      <c r="H66" s="2">
        <v>4044</v>
      </c>
      <c r="I66" s="2">
        <v>4044</v>
      </c>
      <c r="J66" s="2">
        <v>4044</v>
      </c>
      <c r="K66" s="2">
        <v>4044</v>
      </c>
      <c r="L66" s="2">
        <v>4044</v>
      </c>
      <c r="M66" s="2">
        <v>4044</v>
      </c>
      <c r="N66" s="2">
        <v>3905</v>
      </c>
      <c r="O66" s="2">
        <v>3905</v>
      </c>
      <c r="P66" s="9"/>
      <c r="Q66" s="2">
        <f>SUM(OSRRefD21_11_0x)+IFERROR(SUM(OSRRefE21_11_0x),0)</f>
        <v>47987.85</v>
      </c>
    </row>
    <row r="67" spans="1:17" s="34" customFormat="1" collapsed="1" x14ac:dyDescent="0.25">
      <c r="A67" s="35"/>
      <c r="B67" s="15" t="str">
        <f>CONCATENATE("     ","Rent                                              ")</f>
        <v xml:space="preserve">     Rent                                              </v>
      </c>
      <c r="C67" s="15"/>
      <c r="D67" s="1">
        <f>SUM(OSRRefD21_12x_0)</f>
        <v>0</v>
      </c>
      <c r="E67" s="1">
        <f>SUM(OSRRefD21_12x_1)</f>
        <v>0</v>
      </c>
      <c r="F67" s="1">
        <f>SUM(OSRRefD21_12x_2)</f>
        <v>0</v>
      </c>
      <c r="G67" s="1">
        <f>SUM(OSRRefD21_12x_3)</f>
        <v>0</v>
      </c>
      <c r="H67" s="1">
        <f>SUM(OSRRefE21_12x_0)</f>
        <v>0</v>
      </c>
      <c r="I67" s="1">
        <f>SUM(OSRRefE21_12x_1)</f>
        <v>0</v>
      </c>
      <c r="J67" s="1">
        <f>SUM(OSRRefE21_12x_2)</f>
        <v>0</v>
      </c>
      <c r="K67" s="1">
        <f>SUM(OSRRefE21_12x_3)</f>
        <v>0</v>
      </c>
      <c r="L67" s="1">
        <f>SUM(OSRRefE21_12x_4)</f>
        <v>0</v>
      </c>
      <c r="M67" s="1">
        <f>SUM(OSRRefE21_12x_5)</f>
        <v>0</v>
      </c>
      <c r="N67" s="1">
        <f>SUM(OSRRefE21_12x_6)</f>
        <v>0</v>
      </c>
      <c r="O67" s="1">
        <f>SUM(OSRRefE21_12x_7)</f>
        <v>0</v>
      </c>
      <c r="Q67" s="2">
        <f>SUM(OSRRefD20_12x)+IFERROR(SUM(OSRRefE20_12x),0)</f>
        <v>0</v>
      </c>
    </row>
    <row r="68" spans="1:17" s="34" customFormat="1" hidden="1" outlineLevel="1" x14ac:dyDescent="0.25">
      <c r="A68" s="35"/>
      <c r="B68" s="13" t="str">
        <f>CONCATENATE("          ","6273", " - ","RENT")</f>
        <v xml:space="preserve">          6273 - RENT</v>
      </c>
      <c r="C68" s="15"/>
      <c r="D68" s="2"/>
      <c r="E68" s="2"/>
      <c r="F68" s="2"/>
      <c r="G68" s="2"/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SUM(OSRRefD21_12_0x)+IFERROR(SUM(OSRRefE21_12_0x),0)</f>
        <v>0</v>
      </c>
    </row>
    <row r="69" spans="1:17" s="34" customFormat="1" collapsed="1" x14ac:dyDescent="0.25">
      <c r="A69" s="35"/>
      <c r="B69" s="15" t="str">
        <f>CONCATENATE("     ","Repair and Maintenance                            ")</f>
        <v xml:space="preserve">     Repair and Maintenance                            </v>
      </c>
      <c r="C69" s="15"/>
      <c r="D69" s="1">
        <f>SUM(OSRRefD21_13x_0)</f>
        <v>114</v>
      </c>
      <c r="E69" s="1">
        <f>SUM(OSRRefD21_13x_1)</f>
        <v>443.7</v>
      </c>
      <c r="F69" s="1">
        <f>SUM(OSRRefD21_13x_2)</f>
        <v>529.01</v>
      </c>
      <c r="G69" s="1">
        <f>SUM(OSRRefD21_13x_3)</f>
        <v>22.02</v>
      </c>
      <c r="H69" s="1">
        <f>SUM(OSRRefE21_13x_0)</f>
        <v>0</v>
      </c>
      <c r="I69" s="1">
        <f>SUM(OSRRefE21_13x_1)</f>
        <v>0</v>
      </c>
      <c r="J69" s="1">
        <f>SUM(OSRRefE21_13x_2)</f>
        <v>0</v>
      </c>
      <c r="K69" s="1">
        <f>SUM(OSRRefE21_13x_3)</f>
        <v>0</v>
      </c>
      <c r="L69" s="1">
        <f>SUM(OSRRefE21_13x_4)</f>
        <v>0</v>
      </c>
      <c r="M69" s="1">
        <f>SUM(OSRRefE21_13x_5)</f>
        <v>0</v>
      </c>
      <c r="N69" s="1">
        <f>SUM(OSRRefE21_13x_6)</f>
        <v>0</v>
      </c>
      <c r="O69" s="1">
        <f>SUM(OSRRefE21_13x_7)</f>
        <v>0</v>
      </c>
      <c r="Q69" s="2">
        <f>SUM(OSRRefD20_13x)+IFERROR(SUM(OSRRefE20_13x),0)</f>
        <v>1108.73</v>
      </c>
    </row>
    <row r="70" spans="1:17" s="34" customFormat="1" hidden="1" outlineLevel="1" x14ac:dyDescent="0.25">
      <c r="A70" s="35"/>
      <c r="B70" s="13" t="str">
        <f>CONCATENATE("          ","6373", " - ","MAINTENANCE CONTRACTS")</f>
        <v xml:space="preserve">          6373 - MAINTENANCE CONTRACTS</v>
      </c>
      <c r="C70" s="15"/>
      <c r="D70" s="2"/>
      <c r="E70" s="2">
        <v>353.7</v>
      </c>
      <c r="F70" s="2">
        <v>301.45</v>
      </c>
      <c r="G70" s="2"/>
      <c r="H70" s="2"/>
      <c r="I70" s="2"/>
      <c r="J70" s="2"/>
      <c r="K70" s="2"/>
      <c r="L70" s="2"/>
      <c r="M70" s="2"/>
      <c r="N70" s="2"/>
      <c r="O70" s="2"/>
      <c r="P70" s="9"/>
      <c r="Q70" s="2">
        <f>SUM(OSRRefD21_13_0x)+IFERROR(SUM(OSRRefE21_13_0x),0)</f>
        <v>655.15</v>
      </c>
    </row>
    <row r="71" spans="1:17" s="34" customFormat="1" hidden="1" outlineLevel="1" x14ac:dyDescent="0.25">
      <c r="A71" s="35"/>
      <c r="B71" s="13" t="str">
        <f>CONCATENATE("          ","6375", " - ","OUTSIDE REPAIRS &amp; MAINTENANCE")</f>
        <v xml:space="preserve">          6375 - OUTSIDE REPAIRS &amp; MAINTENANCE</v>
      </c>
      <c r="C71" s="15"/>
      <c r="D71" s="2">
        <v>114</v>
      </c>
      <c r="E71" s="2">
        <v>90</v>
      </c>
      <c r="F71" s="2">
        <v>227.56</v>
      </c>
      <c r="G71" s="2">
        <v>22.02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9"/>
      <c r="Q71" s="2">
        <f>SUM(OSRRefD21_13_1x)+IFERROR(SUM(OSRRefE21_13_1x),0)</f>
        <v>453.58</v>
      </c>
    </row>
    <row r="72" spans="1:17" s="34" customFormat="1" collapsed="1" x14ac:dyDescent="0.25">
      <c r="A72" s="35"/>
      <c r="B72" s="15" t="str">
        <f>CONCATENATE("     ","Royalty &amp; Commissions                             ")</f>
        <v xml:space="preserve">     Royalty &amp; Commissions                             </v>
      </c>
      <c r="C72" s="15"/>
      <c r="D72" s="1">
        <f>SUM(OSRRefD21_14x_0)</f>
        <v>0</v>
      </c>
      <c r="E72" s="1">
        <f>SUM(OSRRefD21_14x_1)</f>
        <v>0</v>
      </c>
      <c r="F72" s="1">
        <f>SUM(OSRRefD21_14x_2)</f>
        <v>0</v>
      </c>
      <c r="G72" s="1">
        <f>SUM(OSRRefD21_14x_3)</f>
        <v>185.7</v>
      </c>
      <c r="H72" s="1">
        <f>SUM(OSRRefE21_14x_0)</f>
        <v>0</v>
      </c>
      <c r="I72" s="1">
        <f>SUM(OSRRefE21_14x_1)</f>
        <v>0</v>
      </c>
      <c r="J72" s="1">
        <f>SUM(OSRRefE21_14x_2)</f>
        <v>0</v>
      </c>
      <c r="K72" s="1">
        <f>SUM(OSRRefE21_14x_3)</f>
        <v>0</v>
      </c>
      <c r="L72" s="1">
        <f>SUM(OSRRefE21_14x_4)</f>
        <v>0</v>
      </c>
      <c r="M72" s="1">
        <f>SUM(OSRRefE21_14x_5)</f>
        <v>0</v>
      </c>
      <c r="N72" s="1">
        <f>SUM(OSRRefE21_14x_6)</f>
        <v>0</v>
      </c>
      <c r="O72" s="1">
        <f>SUM(OSRRefE21_14x_7)</f>
        <v>0</v>
      </c>
      <c r="Q72" s="2">
        <f>SUM(OSRRefD20_14x)+IFERROR(SUM(OSRRefE20_14x),0)</f>
        <v>185.7</v>
      </c>
    </row>
    <row r="73" spans="1:17" s="34" customFormat="1" hidden="1" outlineLevel="1" x14ac:dyDescent="0.25">
      <c r="A73" s="35"/>
      <c r="B73" s="13" t="str">
        <f>CONCATENATE("          ","6254", " - ","ROYALTY &amp; COMMISSIONS")</f>
        <v xml:space="preserve">          6254 - ROYALTY &amp; COMMISSIONS</v>
      </c>
      <c r="C73" s="15"/>
      <c r="D73" s="2"/>
      <c r="E73" s="2"/>
      <c r="F73" s="2"/>
      <c r="G73" s="2">
        <v>185.7</v>
      </c>
      <c r="H73" s="2"/>
      <c r="I73" s="2"/>
      <c r="J73" s="2"/>
      <c r="K73" s="2"/>
      <c r="L73" s="2"/>
      <c r="M73" s="2"/>
      <c r="N73" s="2"/>
      <c r="O73" s="2"/>
      <c r="P73" s="9"/>
      <c r="Q73" s="2">
        <f>SUM(OSRRefD21_14_0x)+IFERROR(SUM(OSRRefE21_14_0x),0)</f>
        <v>185.7</v>
      </c>
    </row>
    <row r="74" spans="1:17" s="34" customFormat="1" collapsed="1" x14ac:dyDescent="0.25">
      <c r="A74" s="35"/>
      <c r="B74" s="15" t="str">
        <f>CONCATENATE("     ","Services                                          ")</f>
        <v xml:space="preserve">     Services                                          </v>
      </c>
      <c r="C74" s="15"/>
      <c r="D74" s="1">
        <f>SUM(OSRRefD21_15x_0)</f>
        <v>-804.6</v>
      </c>
      <c r="E74" s="1">
        <f>SUM(OSRRefD21_15x_1)</f>
        <v>-769.16</v>
      </c>
      <c r="F74" s="1">
        <f>SUM(OSRRefD21_15x_2)</f>
        <v>41</v>
      </c>
      <c r="G74" s="1">
        <f>SUM(OSRRefD21_15x_3)</f>
        <v>558</v>
      </c>
      <c r="H74" s="1">
        <f>SUM(OSRRefE21_15x_0)</f>
        <v>0</v>
      </c>
      <c r="I74" s="1">
        <f>SUM(OSRRefE21_15x_1)</f>
        <v>0</v>
      </c>
      <c r="J74" s="1">
        <f>SUM(OSRRefE21_15x_2)</f>
        <v>0</v>
      </c>
      <c r="K74" s="1">
        <f>SUM(OSRRefE21_15x_3)</f>
        <v>0</v>
      </c>
      <c r="L74" s="1">
        <f>SUM(OSRRefE21_15x_4)</f>
        <v>0</v>
      </c>
      <c r="M74" s="1">
        <f>SUM(OSRRefE21_15x_5)</f>
        <v>0</v>
      </c>
      <c r="N74" s="1">
        <f>SUM(OSRRefE21_15x_6)</f>
        <v>0</v>
      </c>
      <c r="O74" s="1">
        <f>SUM(OSRRefE21_15x_7)</f>
        <v>0</v>
      </c>
      <c r="Q74" s="2">
        <f>SUM(OSRRefD20_15x)+IFERROR(SUM(OSRRefE20_15x),0)</f>
        <v>-974.76</v>
      </c>
    </row>
    <row r="75" spans="1:17" s="34" customFormat="1" hidden="1" outlineLevel="1" x14ac:dyDescent="0.25">
      <c r="A75" s="35"/>
      <c r="B75" s="13" t="str">
        <f>CONCATENATE("          ","6282", " - ","JANITORIAL/EXTERMINATOR EXPENS")</f>
        <v xml:space="preserve">          6282 - JANITORIAL/EXTERMINATOR EXPENS</v>
      </c>
      <c r="C75" s="15"/>
      <c r="D75" s="2"/>
      <c r="E75" s="2">
        <v>-769.16</v>
      </c>
      <c r="F75" s="2">
        <v>41</v>
      </c>
      <c r="G75" s="2">
        <v>558</v>
      </c>
      <c r="H75" s="2"/>
      <c r="I75" s="2"/>
      <c r="J75" s="2"/>
      <c r="K75" s="2"/>
      <c r="L75" s="2"/>
      <c r="M75" s="2"/>
      <c r="N75" s="2"/>
      <c r="O75" s="2"/>
      <c r="P75" s="9"/>
      <c r="Q75" s="2">
        <f>SUM(OSRRefD21_15_0x)+IFERROR(SUM(OSRRefE21_15_0x),0)</f>
        <v>-170.15999999999997</v>
      </c>
    </row>
    <row r="76" spans="1:17" s="34" customFormat="1" hidden="1" outlineLevel="1" x14ac:dyDescent="0.25">
      <c r="A76" s="35"/>
      <c r="B76" s="13" t="str">
        <f>CONCATENATE("          ","6285", " - ","JANITORIAL SERVICES")</f>
        <v xml:space="preserve">          6285 - JANITORIAL SERVICES</v>
      </c>
      <c r="C76" s="15"/>
      <c r="D76" s="2">
        <v>-804.6</v>
      </c>
      <c r="E76" s="2"/>
      <c r="F76" s="2"/>
      <c r="G76" s="2"/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SUM(OSRRefD21_15_1x)+IFERROR(SUM(OSRRefE21_15_1x),0)</f>
        <v>-804.6</v>
      </c>
    </row>
    <row r="77" spans="1:17" s="34" customFormat="1" collapsed="1" x14ac:dyDescent="0.25">
      <c r="A77" s="35"/>
      <c r="B77" s="15" t="str">
        <f>CONCATENATE("     ","Supplies                                          ")</f>
        <v xml:space="preserve">     Supplies                                          </v>
      </c>
      <c r="C77" s="15"/>
      <c r="D77" s="1">
        <f>SUM(OSRRefD21_16x_0)</f>
        <v>207.27</v>
      </c>
      <c r="E77" s="1">
        <f>SUM(OSRRefD21_16x_1)</f>
        <v>121.6</v>
      </c>
      <c r="F77" s="1">
        <f>SUM(OSRRefD21_16x_2)</f>
        <v>724.22</v>
      </c>
      <c r="G77" s="1">
        <f>SUM(OSRRefD21_16x_3)</f>
        <v>41</v>
      </c>
      <c r="H77" s="1">
        <f>SUM(OSRRefE21_16x_0)</f>
        <v>0</v>
      </c>
      <c r="I77" s="1">
        <f>SUM(OSRRefE21_16x_1)</f>
        <v>0</v>
      </c>
      <c r="J77" s="1">
        <f>SUM(OSRRefE21_16x_2)</f>
        <v>0</v>
      </c>
      <c r="K77" s="1">
        <f>SUM(OSRRefE21_16x_3)</f>
        <v>0</v>
      </c>
      <c r="L77" s="1">
        <f>SUM(OSRRefE21_16x_4)</f>
        <v>0</v>
      </c>
      <c r="M77" s="1">
        <f>SUM(OSRRefE21_16x_5)</f>
        <v>0</v>
      </c>
      <c r="N77" s="1">
        <f>SUM(OSRRefE21_16x_6)</f>
        <v>0</v>
      </c>
      <c r="O77" s="1">
        <f>SUM(OSRRefE21_16x_7)</f>
        <v>0</v>
      </c>
      <c r="Q77" s="2">
        <f>SUM(OSRRefD20_16x)+IFERROR(SUM(OSRRefE20_16x),0)</f>
        <v>1094.0900000000001</v>
      </c>
    </row>
    <row r="78" spans="1:17" s="34" customFormat="1" hidden="1" outlineLevel="1" x14ac:dyDescent="0.25">
      <c r="A78" s="35"/>
      <c r="B78" s="13" t="str">
        <f>CONCATENATE("          ","6234", " - ","EXPENDABLE SUPPLIES &amp; EQUIPMEN")</f>
        <v xml:space="preserve">          6234 - EXPENDABLE SUPPLIES &amp; EQUIPMEN</v>
      </c>
      <c r="C78" s="15"/>
      <c r="D78" s="2"/>
      <c r="E78" s="2"/>
      <c r="F78" s="2">
        <v>316.67</v>
      </c>
      <c r="G78" s="2"/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/>
      <c r="P78" s="9"/>
      <c r="Q78" s="2">
        <f>SUM(OSRRefD21_16_0x)+IFERROR(SUM(OSRRefE21_16_0x),0)</f>
        <v>316.67</v>
      </c>
    </row>
    <row r="79" spans="1:17" s="34" customFormat="1" hidden="1" outlineLevel="1" x14ac:dyDescent="0.25">
      <c r="A79" s="35"/>
      <c r="B79" s="13" t="str">
        <f>CONCATENATE("          ","6235", " - ","COVID-19 EXPENSES")</f>
        <v xml:space="preserve">          6235 - COVID-19 EXPENSES</v>
      </c>
      <c r="C79" s="15"/>
      <c r="D79" s="2">
        <v>207.27</v>
      </c>
      <c r="E79" s="2"/>
      <c r="F79" s="2"/>
      <c r="G79" s="2"/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9"/>
      <c r="Q79" s="2">
        <f>SUM(OSRRefD21_16_1x)+IFERROR(SUM(OSRRefE21_16_1x),0)</f>
        <v>207.27</v>
      </c>
    </row>
    <row r="80" spans="1:17" s="34" customFormat="1" hidden="1" outlineLevel="1" x14ac:dyDescent="0.25">
      <c r="A80" s="35"/>
      <c r="B80" s="13" t="str">
        <f>CONCATENATE("          ","6237", " - ","JANITORIAL SUPPLIES")</f>
        <v xml:space="preserve">          6237 - JANITORIAL SUPPLIES</v>
      </c>
      <c r="C80" s="15"/>
      <c r="D80" s="2"/>
      <c r="E80" s="2"/>
      <c r="F80" s="2">
        <v>317.57</v>
      </c>
      <c r="G80" s="2"/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/>
      <c r="P80" s="9"/>
      <c r="Q80" s="2">
        <f>SUM(OSRRefD21_16_2x)+IFERROR(SUM(OSRRefE21_16_2x),0)</f>
        <v>317.57</v>
      </c>
    </row>
    <row r="81" spans="1:17" s="34" customFormat="1" hidden="1" outlineLevel="1" x14ac:dyDescent="0.25">
      <c r="A81" s="35"/>
      <c r="B81" s="13" t="str">
        <f>CONCATENATE("          ","6241", " - ","OFFICE EXPENSE")</f>
        <v xml:space="preserve">          6241 - OFFICE EXPENSE</v>
      </c>
      <c r="C81" s="15"/>
      <c r="D81" s="2"/>
      <c r="E81" s="2">
        <v>41.32</v>
      </c>
      <c r="F81" s="2">
        <v>89.98</v>
      </c>
      <c r="G81" s="2"/>
      <c r="H81" s="2"/>
      <c r="I81" s="2"/>
      <c r="J81" s="2"/>
      <c r="K81" s="2"/>
      <c r="L81" s="2"/>
      <c r="M81" s="2"/>
      <c r="N81" s="2"/>
      <c r="O81" s="2"/>
      <c r="P81" s="9"/>
      <c r="Q81" s="2">
        <f>SUM(OSRRefD21_16_3x)+IFERROR(SUM(OSRRefE21_16_3x),0)</f>
        <v>131.30000000000001</v>
      </c>
    </row>
    <row r="82" spans="1:17" s="34" customFormat="1" hidden="1" outlineLevel="1" x14ac:dyDescent="0.25">
      <c r="A82" s="35"/>
      <c r="B82" s="13" t="str">
        <f>CONCATENATE("          ","6243", " - ","PAPER SUPPLIES")</f>
        <v xml:space="preserve">          6243 - PAPER SUPPLIES</v>
      </c>
      <c r="C82" s="15"/>
      <c r="D82" s="2"/>
      <c r="E82" s="2"/>
      <c r="F82" s="2"/>
      <c r="G82" s="2"/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/>
      <c r="P82" s="9"/>
      <c r="Q82" s="2">
        <f>SUM(OSRRefD21_16_4x)+IFERROR(SUM(OSRRefE21_16_4x),0)</f>
        <v>0</v>
      </c>
    </row>
    <row r="83" spans="1:17" s="34" customFormat="1" hidden="1" outlineLevel="1" x14ac:dyDescent="0.25">
      <c r="A83" s="35"/>
      <c r="B83" s="13" t="str">
        <f>CONCATENATE("          ","6247", " - ","STORE SUPPLIES")</f>
        <v xml:space="preserve">          6247 - STORE SUPPLIES</v>
      </c>
      <c r="C83" s="15"/>
      <c r="D83" s="2"/>
      <c r="E83" s="2">
        <v>80.28</v>
      </c>
      <c r="F83" s="2"/>
      <c r="G83" s="2">
        <v>41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9"/>
      <c r="Q83" s="2">
        <f>SUM(OSRRefD21_16_5x)+IFERROR(SUM(OSRRefE21_16_5x),0)</f>
        <v>121.28</v>
      </c>
    </row>
    <row r="84" spans="1:17" s="34" customFormat="1" hidden="1" outlineLevel="1" x14ac:dyDescent="0.25">
      <c r="A84" s="35"/>
      <c r="B84" s="13" t="str">
        <f>CONCATENATE("          ","6248", " - ","UNIFORMS")</f>
        <v xml:space="preserve">          6248 - UNIFORMS</v>
      </c>
      <c r="C84" s="15"/>
      <c r="D84" s="2"/>
      <c r="E84" s="2"/>
      <c r="F84" s="2"/>
      <c r="G84" s="2"/>
      <c r="H84" s="2"/>
      <c r="I84" s="2"/>
      <c r="J84" s="2">
        <v>0</v>
      </c>
      <c r="K84" s="2"/>
      <c r="L84" s="2"/>
      <c r="M84" s="2"/>
      <c r="N84" s="2"/>
      <c r="O84" s="2"/>
      <c r="P84" s="9"/>
      <c r="Q84" s="2">
        <f>SUM(OSRRefD21_16_6x)+IFERROR(SUM(OSRRefE21_16_6x),0)</f>
        <v>0</v>
      </c>
    </row>
    <row r="85" spans="1:17" s="34" customFormat="1" collapsed="1" x14ac:dyDescent="0.25">
      <c r="A85" s="35"/>
      <c r="B85" s="15" t="str">
        <f>CONCATENATE("     ","Telephone/Data Lines                              ")</f>
        <v xml:space="preserve">     Telephone/Data Lines                              </v>
      </c>
      <c r="C85" s="15"/>
      <c r="D85" s="1">
        <f>SUM(OSRRefD21_17x_0)</f>
        <v>388.81</v>
      </c>
      <c r="E85" s="1">
        <f>SUM(OSRRefD21_17x_1)</f>
        <v>388.56</v>
      </c>
      <c r="F85" s="1">
        <f>SUM(OSRRefD21_17x_2)</f>
        <v>328.87</v>
      </c>
      <c r="G85" s="1">
        <f>SUM(OSRRefD21_17x_3)</f>
        <v>1151</v>
      </c>
      <c r="H85" s="1">
        <f>SUM(OSRRefE21_17x_0)</f>
        <v>115</v>
      </c>
      <c r="I85" s="1">
        <f>SUM(OSRRefE21_17x_1)</f>
        <v>115</v>
      </c>
      <c r="J85" s="1">
        <f>SUM(OSRRefE21_17x_2)</f>
        <v>265</v>
      </c>
      <c r="K85" s="1">
        <f>SUM(OSRRefE21_17x_3)</f>
        <v>115</v>
      </c>
      <c r="L85" s="1">
        <f>SUM(OSRRefE21_17x_4)</f>
        <v>115</v>
      </c>
      <c r="M85" s="1">
        <f>SUM(OSRRefE21_17x_5)</f>
        <v>265</v>
      </c>
      <c r="N85" s="1">
        <f>SUM(OSRRefE21_17x_6)</f>
        <v>115</v>
      </c>
      <c r="O85" s="1">
        <f>SUM(OSRRefE21_17x_7)</f>
        <v>115</v>
      </c>
      <c r="Q85" s="2">
        <f>SUM(OSRRefD20_17x)+IFERROR(SUM(OSRRefE20_17x),0)</f>
        <v>3477.24</v>
      </c>
    </row>
    <row r="86" spans="1:17" s="34" customFormat="1" hidden="1" outlineLevel="1" x14ac:dyDescent="0.25">
      <c r="A86" s="35"/>
      <c r="B86" s="13" t="str">
        <f>CONCATENATE("          ","6303", " - ","DATA PHONE LINES")</f>
        <v xml:space="preserve">          6303 - DATA PHONE LINES</v>
      </c>
      <c r="C86" s="15"/>
      <c r="D86" s="2"/>
      <c r="E86" s="2"/>
      <c r="F86" s="2"/>
      <c r="G86" s="2"/>
      <c r="H86" s="2">
        <v>115</v>
      </c>
      <c r="I86" s="2">
        <v>115</v>
      </c>
      <c r="J86" s="2">
        <v>115</v>
      </c>
      <c r="K86" s="2">
        <v>115</v>
      </c>
      <c r="L86" s="2">
        <v>115</v>
      </c>
      <c r="M86" s="2">
        <v>115</v>
      </c>
      <c r="N86" s="2">
        <v>115</v>
      </c>
      <c r="O86" s="2">
        <v>115</v>
      </c>
      <c r="P86" s="9"/>
      <c r="Q86" s="2">
        <f>SUM(OSRRefD21_17_0x)+IFERROR(SUM(OSRRefE21_17_0x),0)</f>
        <v>920</v>
      </c>
    </row>
    <row r="87" spans="1:17" s="34" customFormat="1" hidden="1" outlineLevel="1" x14ac:dyDescent="0.25">
      <c r="A87" s="35"/>
      <c r="B87" s="13" t="str">
        <f>CONCATENATE("          ","6309", " - ","TELEPHONE")</f>
        <v xml:space="preserve">          6309 - TELEPHONE</v>
      </c>
      <c r="C87" s="15"/>
      <c r="D87" s="2">
        <v>388.81</v>
      </c>
      <c r="E87" s="2">
        <v>388.56</v>
      </c>
      <c r="F87" s="2">
        <v>328.87</v>
      </c>
      <c r="G87" s="2">
        <v>1151</v>
      </c>
      <c r="H87" s="2"/>
      <c r="I87" s="2"/>
      <c r="J87" s="2">
        <v>150</v>
      </c>
      <c r="K87" s="2"/>
      <c r="L87" s="2"/>
      <c r="M87" s="2">
        <v>150</v>
      </c>
      <c r="N87" s="2"/>
      <c r="O87" s="2"/>
      <c r="P87" s="9"/>
      <c r="Q87" s="2">
        <f>SUM(OSRRefD21_17_1x)+IFERROR(SUM(OSRRefE21_17_1x),0)</f>
        <v>2557.2399999999998</v>
      </c>
    </row>
    <row r="88" spans="1:17" s="34" customFormat="1" collapsed="1" x14ac:dyDescent="0.25">
      <c r="A88" s="35"/>
      <c r="B88" s="15" t="str">
        <f>CONCATENATE("     ","Training                                          ")</f>
        <v xml:space="preserve">     Training                                          </v>
      </c>
      <c r="C88" s="15"/>
      <c r="D88" s="1">
        <f>SUM(OSRRefD21_18x_0)</f>
        <v>0</v>
      </c>
      <c r="E88" s="1">
        <f>SUM(OSRRefD21_18x_1)</f>
        <v>0</v>
      </c>
      <c r="F88" s="1">
        <f>SUM(OSRRefD21_18x_2)</f>
        <v>0</v>
      </c>
      <c r="G88" s="1">
        <f>SUM(OSRRefD21_18x_3)</f>
        <v>0</v>
      </c>
      <c r="H88" s="1">
        <f>SUM(OSRRefE21_18x_0)</f>
        <v>0</v>
      </c>
      <c r="I88" s="1">
        <f>SUM(OSRRefE21_18x_1)</f>
        <v>0</v>
      </c>
      <c r="J88" s="1">
        <f>SUM(OSRRefE21_18x_2)</f>
        <v>120</v>
      </c>
      <c r="K88" s="1">
        <f>SUM(OSRRefE21_18x_3)</f>
        <v>0</v>
      </c>
      <c r="L88" s="1">
        <f>SUM(OSRRefE21_18x_4)</f>
        <v>0</v>
      </c>
      <c r="M88" s="1">
        <f>SUM(OSRRefE21_18x_5)</f>
        <v>0</v>
      </c>
      <c r="N88" s="1">
        <f>SUM(OSRRefE21_18x_6)</f>
        <v>0</v>
      </c>
      <c r="O88" s="1">
        <f>SUM(OSRRefE21_18x_7)</f>
        <v>0</v>
      </c>
      <c r="Q88" s="2">
        <f>SUM(OSRRefD20_18x)+IFERROR(SUM(OSRRefE20_18x),0)</f>
        <v>120</v>
      </c>
    </row>
    <row r="89" spans="1:17" s="34" customFormat="1" hidden="1" outlineLevel="1" x14ac:dyDescent="0.25">
      <c r="A89" s="35"/>
      <c r="B89" s="13" t="str">
        <f>CONCATENATE("          ","6376", " - ","TRAINING")</f>
        <v xml:space="preserve">          6376 - TRAINING</v>
      </c>
      <c r="C89" s="15"/>
      <c r="D89" s="2"/>
      <c r="E89" s="2"/>
      <c r="F89" s="2"/>
      <c r="G89" s="2"/>
      <c r="H89" s="2"/>
      <c r="I89" s="2"/>
      <c r="J89" s="2">
        <v>120</v>
      </c>
      <c r="K89" s="2"/>
      <c r="L89" s="2"/>
      <c r="M89" s="2"/>
      <c r="N89" s="2"/>
      <c r="O89" s="2"/>
      <c r="P89" s="9"/>
      <c r="Q89" s="2">
        <f>SUM(OSRRefD21_18_0x)+IFERROR(SUM(OSRRefE21_18_0x),0)</f>
        <v>120</v>
      </c>
    </row>
    <row r="90" spans="1:17" s="34" customFormat="1" collapsed="1" x14ac:dyDescent="0.25">
      <c r="A90" s="35"/>
      <c r="B90" s="15" t="str">
        <f>CONCATENATE("     ","Utilities                                         ")</f>
        <v xml:space="preserve">     Utilities                                         </v>
      </c>
      <c r="C90" s="15"/>
      <c r="D90" s="1">
        <f>SUM(OSRRefD21_19x_0)</f>
        <v>50</v>
      </c>
      <c r="E90" s="1">
        <f>SUM(OSRRefD21_19x_1)</f>
        <v>50</v>
      </c>
      <c r="F90" s="1">
        <f>SUM(OSRRefD21_19x_2)</f>
        <v>50</v>
      </c>
      <c r="G90" s="1">
        <f>SUM(OSRRefD21_19x_3)</f>
        <v>1136</v>
      </c>
      <c r="H90" s="1">
        <f>SUM(OSRRefE21_19x_0)</f>
        <v>821</v>
      </c>
      <c r="I90" s="1">
        <f>SUM(OSRRefE21_19x_1)</f>
        <v>1982</v>
      </c>
      <c r="J90" s="1">
        <f>SUM(OSRRefE21_19x_2)</f>
        <v>928</v>
      </c>
      <c r="K90" s="1">
        <f>SUM(OSRRefE21_19x_3)</f>
        <v>850</v>
      </c>
      <c r="L90" s="1">
        <f>SUM(OSRRefE21_19x_4)</f>
        <v>850</v>
      </c>
      <c r="M90" s="1">
        <f>SUM(OSRRefE21_19x_5)</f>
        <v>850</v>
      </c>
      <c r="N90" s="1">
        <f>SUM(OSRRefE21_19x_6)</f>
        <v>850</v>
      </c>
      <c r="O90" s="1">
        <f>SUM(OSRRefE21_19x_7)</f>
        <v>850</v>
      </c>
      <c r="Q90" s="2">
        <f>SUM(OSRRefD20_19x)+IFERROR(SUM(OSRRefE20_19x),0)</f>
        <v>9267</v>
      </c>
    </row>
    <row r="91" spans="1:17" s="34" customFormat="1" hidden="1" outlineLevel="1" x14ac:dyDescent="0.25">
      <c r="A91" s="35"/>
      <c r="B91" s="13" t="str">
        <f>CONCATENATE("          ","6274", " - ","UTILITIES")</f>
        <v xml:space="preserve">          6274 - UTILITIES</v>
      </c>
      <c r="C91" s="15"/>
      <c r="D91" s="2">
        <v>50</v>
      </c>
      <c r="E91" s="2">
        <v>50</v>
      </c>
      <c r="F91" s="2">
        <v>50</v>
      </c>
      <c r="G91" s="2">
        <v>1136</v>
      </c>
      <c r="H91" s="2">
        <v>821</v>
      </c>
      <c r="I91" s="2">
        <v>1982</v>
      </c>
      <c r="J91" s="2">
        <v>928</v>
      </c>
      <c r="K91" s="2">
        <v>850</v>
      </c>
      <c r="L91" s="2">
        <v>850</v>
      </c>
      <c r="M91" s="2">
        <v>850</v>
      </c>
      <c r="N91" s="2">
        <v>850</v>
      </c>
      <c r="O91" s="2">
        <v>850</v>
      </c>
      <c r="P91" s="9"/>
      <c r="Q91" s="2">
        <f>SUM(OSRRefD21_19_0x)+IFERROR(SUM(OSRRefE21_19_0x),0)</f>
        <v>9267</v>
      </c>
    </row>
    <row r="92" spans="1:17" s="28" customFormat="1" x14ac:dyDescent="0.25">
      <c r="A92" s="20"/>
      <c r="B92" s="20"/>
      <c r="C92" s="20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Q92" s="1"/>
    </row>
    <row r="93" spans="1:17" s="9" customFormat="1" x14ac:dyDescent="0.25">
      <c r="A93" s="22"/>
      <c r="B93" s="16" t="s">
        <v>0</v>
      </c>
      <c r="C93" s="23"/>
      <c r="D93" s="3">
        <f t="shared" ref="D93:G93" si="5">0</f>
        <v>0</v>
      </c>
      <c r="E93" s="3">
        <f t="shared" si="5"/>
        <v>0</v>
      </c>
      <c r="F93" s="3">
        <f t="shared" si="5"/>
        <v>0</v>
      </c>
      <c r="G93" s="3">
        <f t="shared" si="5"/>
        <v>0</v>
      </c>
      <c r="H93" s="3"/>
      <c r="I93" s="3"/>
      <c r="J93" s="3"/>
      <c r="K93" s="3"/>
      <c r="L93" s="3"/>
      <c r="M93" s="3"/>
      <c r="N93" s="3"/>
      <c r="O93" s="3"/>
      <c r="Q93" s="2">
        <f>SUM(OSRRefD23_0x)+IFERROR(SUM(OSRRefE23_0x),0)</f>
        <v>0</v>
      </c>
    </row>
    <row r="94" spans="1:17" x14ac:dyDescent="0.25">
      <c r="A94" s="5"/>
      <c r="B94" s="8"/>
      <c r="C94" s="8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4" customFormat="1" x14ac:dyDescent="0.25">
      <c r="A95" s="8"/>
      <c r="B95" s="17" t="s">
        <v>3</v>
      </c>
      <c r="C95" s="17"/>
      <c r="D95" s="6">
        <f t="shared" ref="D95:O95" si="6">IFERROR(+D21-D24+D93, 0)</f>
        <v>-35048.209999999992</v>
      </c>
      <c r="E95" s="6">
        <f t="shared" si="6"/>
        <v>-27111.89</v>
      </c>
      <c r="F95" s="6">
        <f t="shared" si="6"/>
        <v>-30477.680000000004</v>
      </c>
      <c r="G95" s="6">
        <f t="shared" si="6"/>
        <v>-39453.07</v>
      </c>
      <c r="H95" s="6">
        <f t="shared" si="6"/>
        <v>-20918.900799999999</v>
      </c>
      <c r="I95" s="6">
        <f t="shared" si="6"/>
        <v>-15127</v>
      </c>
      <c r="J95" s="6">
        <f t="shared" si="6"/>
        <v>-22995.266080000001</v>
      </c>
      <c r="K95" s="6">
        <f t="shared" si="6"/>
        <v>-21288.812864</v>
      </c>
      <c r="L95" s="6">
        <f t="shared" si="6"/>
        <v>-21120.812864</v>
      </c>
      <c r="M95" s="6">
        <f t="shared" si="6"/>
        <v>-22825.266080000001</v>
      </c>
      <c r="N95" s="6">
        <f t="shared" si="6"/>
        <v>-21024.812864</v>
      </c>
      <c r="O95" s="6">
        <f t="shared" si="6"/>
        <v>-21263.812864</v>
      </c>
      <c r="Q95" s="6">
        <f>IFERROR(+Q21-Q24+Q93, 0)</f>
        <v>-298655.53441600001</v>
      </c>
    </row>
    <row r="96" spans="1:17" s="8" customFormat="1" x14ac:dyDescent="0.25">
      <c r="B96" s="16"/>
      <c r="C96" s="16"/>
      <c r="D96" s="4">
        <f t="shared" ref="D96:O96" si="7">IFERROR(D95/D10, 0)</f>
        <v>0</v>
      </c>
      <c r="E96" s="4">
        <f t="shared" si="7"/>
        <v>-32.902779126213595</v>
      </c>
      <c r="F96" s="4">
        <f t="shared" si="7"/>
        <v>-17.292595051263287</v>
      </c>
      <c r="G96" s="4">
        <f t="shared" si="7"/>
        <v>0</v>
      </c>
      <c r="H96" s="4">
        <f t="shared" si="7"/>
        <v>-67.698708090614886</v>
      </c>
      <c r="I96" s="4">
        <f t="shared" si="7"/>
        <v>-27.705128205128204</v>
      </c>
      <c r="J96" s="4">
        <f t="shared" si="7"/>
        <v>-64.232586815642463</v>
      </c>
      <c r="K96" s="4">
        <f t="shared" si="7"/>
        <v>-49.740216971962617</v>
      </c>
      <c r="L96" s="4">
        <f t="shared" si="7"/>
        <v>-25.054345034400949</v>
      </c>
      <c r="M96" s="4">
        <f t="shared" si="7"/>
        <v>-42.426145130111529</v>
      </c>
      <c r="N96" s="4">
        <f t="shared" si="7"/>
        <v>-28.761713904240764</v>
      </c>
      <c r="O96" s="4">
        <f t="shared" si="7"/>
        <v>-140.81995274172186</v>
      </c>
      <c r="P96" s="18"/>
      <c r="Q96" s="4">
        <f>IFERROR(Q95/Q10, 0)</f>
        <v>-46.014469586331963</v>
      </c>
    </row>
    <row r="97" spans="1:17" x14ac:dyDescent="0.25">
      <c r="A97" s="5"/>
      <c r="B97" s="8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4" customFormat="1" x14ac:dyDescent="0.25">
      <c r="A98" s="25"/>
      <c r="B98" s="8" t="s">
        <v>8</v>
      </c>
      <c r="C98" s="8"/>
      <c r="D98" s="3"/>
      <c r="E98" s="3">
        <v>139.12</v>
      </c>
      <c r="F98" s="3">
        <v>340.04</v>
      </c>
      <c r="G98" s="3">
        <v>81.13</v>
      </c>
      <c r="H98" s="3">
        <v>8665</v>
      </c>
      <c r="I98" s="3">
        <v>6617</v>
      </c>
      <c r="J98" s="3">
        <v>6751</v>
      </c>
      <c r="K98" s="3">
        <v>19535</v>
      </c>
      <c r="L98" s="3">
        <v>19861</v>
      </c>
      <c r="M98" s="3">
        <v>18579</v>
      </c>
      <c r="N98" s="3">
        <v>10742</v>
      </c>
      <c r="O98" s="3">
        <v>-7316</v>
      </c>
      <c r="Q98" s="2">
        <f>SUM(OSRRefD28_0x)+IFERROR(SUM(OSRRefE28_0x),0)</f>
        <v>83994.29</v>
      </c>
    </row>
    <row r="99" spans="1:17" x14ac:dyDescent="0.25">
      <c r="A99" s="5"/>
      <c r="B99" s="8"/>
      <c r="C99" s="8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s="14" customFormat="1" ht="15.75" thickBot="1" x14ac:dyDescent="0.3">
      <c r="A100" s="8"/>
      <c r="B100" s="17" t="s">
        <v>4</v>
      </c>
      <c r="C100" s="17"/>
      <c r="D100" s="7">
        <f t="shared" ref="D100:O100" si="8">IFERROR(+D95-D98, 0)</f>
        <v>-35048.209999999992</v>
      </c>
      <c r="E100" s="7">
        <f t="shared" si="8"/>
        <v>-27251.01</v>
      </c>
      <c r="F100" s="7">
        <f t="shared" si="8"/>
        <v>-30817.720000000005</v>
      </c>
      <c r="G100" s="7">
        <f t="shared" si="8"/>
        <v>-39534.199999999997</v>
      </c>
      <c r="H100" s="7">
        <f t="shared" si="8"/>
        <v>-29583.900799999999</v>
      </c>
      <c r="I100" s="7">
        <f t="shared" si="8"/>
        <v>-21744</v>
      </c>
      <c r="J100" s="7">
        <f t="shared" si="8"/>
        <v>-29746.266080000001</v>
      </c>
      <c r="K100" s="7">
        <f t="shared" si="8"/>
        <v>-40823.812864</v>
      </c>
      <c r="L100" s="7">
        <f t="shared" si="8"/>
        <v>-40981.812864</v>
      </c>
      <c r="M100" s="7">
        <f t="shared" si="8"/>
        <v>-41404.266080000001</v>
      </c>
      <c r="N100" s="7">
        <f t="shared" si="8"/>
        <v>-31766.812864</v>
      </c>
      <c r="O100" s="7">
        <f t="shared" si="8"/>
        <v>-13947.812864</v>
      </c>
      <c r="Q100" s="7">
        <f>IFERROR(+Q95-Q98, 0)</f>
        <v>-382649.82441599999</v>
      </c>
    </row>
    <row r="101" spans="1:17" ht="15.75" thickTop="1" x14ac:dyDescent="0.25">
      <c r="A101" s="5"/>
      <c r="B101" s="5"/>
      <c r="C101" s="5"/>
      <c r="D101" s="4">
        <f t="shared" ref="D101:O101" si="9">IFERROR(D100/D10, 0)</f>
        <v>0</v>
      </c>
      <c r="E101" s="4">
        <f t="shared" si="9"/>
        <v>-33.071614077669899</v>
      </c>
      <c r="F101" s="4">
        <f t="shared" si="9"/>
        <v>-17.485528831696431</v>
      </c>
      <c r="G101" s="4">
        <f t="shared" si="9"/>
        <v>0</v>
      </c>
      <c r="H101" s="4">
        <f t="shared" si="9"/>
        <v>-95.740779288025891</v>
      </c>
      <c r="I101" s="4">
        <f t="shared" si="9"/>
        <v>-39.824175824175825</v>
      </c>
      <c r="J101" s="4">
        <f t="shared" si="9"/>
        <v>-83.090128715083807</v>
      </c>
      <c r="K101" s="4">
        <f t="shared" si="9"/>
        <v>-95.382740336448592</v>
      </c>
      <c r="L101" s="4">
        <f t="shared" si="9"/>
        <v>-48.614250135231316</v>
      </c>
      <c r="M101" s="4">
        <f t="shared" si="9"/>
        <v>-76.959602379182158</v>
      </c>
      <c r="N101" s="4">
        <f t="shared" si="9"/>
        <v>-43.456652344733243</v>
      </c>
      <c r="O101" s="4">
        <f t="shared" si="9"/>
        <v>-92.369621615894033</v>
      </c>
      <c r="P101" s="18"/>
      <c r="Q101" s="4">
        <f>IFERROR(Q100/Q10, 0)</f>
        <v>-58.955641797281238</v>
      </c>
    </row>
    <row r="102" spans="1:17" x14ac:dyDescent="0.25">
      <c r="A102" s="5"/>
      <c r="B102" s="5"/>
      <c r="C102" s="5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x14ac:dyDescent="0.25">
      <c r="A103" s="5"/>
      <c r="B103" s="5"/>
      <c r="C103" s="5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Q103" s="3"/>
    </row>
    <row r="104" spans="1:17" s="14" customFormat="1" ht="15.75" thickBot="1" x14ac:dyDescent="0.3">
      <c r="A104" s="8"/>
      <c r="B104" s="17" t="s">
        <v>5</v>
      </c>
      <c r="C104" s="17"/>
      <c r="D104" s="7">
        <f t="shared" ref="D104:O104" si="10">IFERROR(SUM(D100:D103), 0)</f>
        <v>-35048.209999999992</v>
      </c>
      <c r="E104" s="7">
        <f t="shared" si="10"/>
        <v>-27284.08161407767</v>
      </c>
      <c r="F104" s="7">
        <f t="shared" si="10"/>
        <v>-30835.205528831702</v>
      </c>
      <c r="G104" s="7">
        <f t="shared" si="10"/>
        <v>-39534.199999999997</v>
      </c>
      <c r="H104" s="7">
        <f t="shared" si="10"/>
        <v>-29679.641579288025</v>
      </c>
      <c r="I104" s="7">
        <f t="shared" si="10"/>
        <v>-21783.824175824175</v>
      </c>
      <c r="J104" s="7">
        <f t="shared" si="10"/>
        <v>-29829.356208715086</v>
      </c>
      <c r="K104" s="7">
        <f t="shared" si="10"/>
        <v>-40919.195604336448</v>
      </c>
      <c r="L104" s="7">
        <f t="shared" si="10"/>
        <v>-41030.427114135229</v>
      </c>
      <c r="M104" s="7">
        <f t="shared" si="10"/>
        <v>-41481.225682379183</v>
      </c>
      <c r="N104" s="7">
        <f t="shared" si="10"/>
        <v>-31810.269516344732</v>
      </c>
      <c r="O104" s="7">
        <f t="shared" si="10"/>
        <v>-14040.182485615893</v>
      </c>
      <c r="Q104" s="7">
        <f>IFERROR(SUM(Q100:Q103), 0)</f>
        <v>-382708.78005779727</v>
      </c>
    </row>
    <row r="105" spans="1:17" ht="15.75" thickTop="1" x14ac:dyDescent="0.25">
      <c r="A105" s="5"/>
      <c r="C105" s="5"/>
      <c r="D105" s="4">
        <f t="shared" ref="D105:O105" si="11">IFERROR(D104/D10, 0)</f>
        <v>0</v>
      </c>
      <c r="E105" s="4">
        <f t="shared" si="11"/>
        <v>-33.111749531647661</v>
      </c>
      <c r="F105" s="4">
        <f t="shared" si="11"/>
        <v>-17.495449867987375</v>
      </c>
      <c r="G105" s="4">
        <f t="shared" si="11"/>
        <v>0</v>
      </c>
      <c r="H105" s="4">
        <f t="shared" si="11"/>
        <v>-96.050619997695875</v>
      </c>
      <c r="I105" s="4">
        <f t="shared" si="11"/>
        <v>-39.897113875135851</v>
      </c>
      <c r="J105" s="4">
        <f t="shared" si="11"/>
        <v>-83.322224046690181</v>
      </c>
      <c r="K105" s="4">
        <f t="shared" si="11"/>
        <v>-95.605597206393568</v>
      </c>
      <c r="L105" s="4">
        <f t="shared" si="11"/>
        <v>-48.671918284857924</v>
      </c>
      <c r="M105" s="4">
        <f t="shared" si="11"/>
        <v>-77.102649967247558</v>
      </c>
      <c r="N105" s="4">
        <f t="shared" si="11"/>
        <v>-43.516100569555036</v>
      </c>
      <c r="O105" s="4">
        <f t="shared" si="11"/>
        <v>-92.981340964343659</v>
      </c>
      <c r="P105" s="18"/>
      <c r="Q105" s="4">
        <f>IFERROR(Q104/Q10, 0)</f>
        <v>-58.964725213705208</v>
      </c>
    </row>
    <row r="106" spans="1:17" x14ac:dyDescent="0.25">
      <c r="A106" s="5"/>
      <c r="B106" s="26">
        <v>44151.564589780093</v>
      </c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Q106" s="12"/>
    </row>
    <row r="107" spans="1:17" x14ac:dyDescent="0.25">
      <c r="A107" s="5"/>
      <c r="B107" s="30" t="s">
        <v>311</v>
      </c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Q107" s="12"/>
    </row>
    <row r="108" spans="1:17" x14ac:dyDescent="0.25">
      <c r="A108" s="5"/>
      <c r="B108" s="31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Q108" s="12"/>
    </row>
    <row r="109" spans="1:17" x14ac:dyDescent="0.25"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Q109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7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","309", " - ", "Carts")</f>
        <v>Department 309 - Carts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SUM(OSRRefE11x_0)</f>
        <v>0</v>
      </c>
      <c r="I10" s="3">
        <f>SUM(OSRRefE11x_1)</f>
        <v>0</v>
      </c>
      <c r="J10" s="3">
        <f>SUM(OSRRefE11x_2)</f>
        <v>0</v>
      </c>
      <c r="K10" s="3">
        <f>SUM(OSRRefE11x_3)</f>
        <v>0</v>
      </c>
      <c r="L10" s="3">
        <f>SUM(OSRRefE11x_4)</f>
        <v>0</v>
      </c>
      <c r="M10" s="3">
        <f>SUM(OSRRefE11x_5)</f>
        <v>0</v>
      </c>
      <c r="N10" s="3">
        <f>SUM(OSRRefE11x_6)</f>
        <v>0</v>
      </c>
      <c r="O10" s="3">
        <f>SUM(OSRRefE11x_7)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2"/>
      <c r="B11" s="13" t="str">
        <f>CONCATENATE("          ","4100", " - ","NON-TAXABLE SALES")</f>
        <v xml:space="preserve">          4100 - NON-TAXABLE SALES</v>
      </c>
      <c r="C11" s="23"/>
      <c r="D11" s="2">
        <f t="shared" ref="D11:G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x14ac:dyDescent="0.25">
      <c r="A12" s="5"/>
      <c r="B12" s="8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25">
      <c r="A13" s="22"/>
      <c r="B13" s="16" t="s">
        <v>290</v>
      </c>
      <c r="C13" s="23"/>
      <c r="D13" s="3">
        <f>SUM(OSRRefD14x_0)</f>
        <v>0</v>
      </c>
      <c r="E13" s="3">
        <f>SUM(OSRRefD14x_1)</f>
        <v>0</v>
      </c>
      <c r="F13" s="3">
        <f>SUM(OSRRefD14x_2)</f>
        <v>0</v>
      </c>
      <c r="G13" s="3">
        <f>SUM(OSRRefD14x_3)</f>
        <v>0</v>
      </c>
      <c r="H13" s="3">
        <f>SUM(OSRRefE14x_0)</f>
        <v>0</v>
      </c>
      <c r="I13" s="3">
        <f>SUM(OSRRefE14x_1)</f>
        <v>0</v>
      </c>
      <c r="J13" s="3">
        <f>SUM(OSRRefE14x_2)</f>
        <v>0</v>
      </c>
      <c r="K13" s="3">
        <f>SUM(OSRRefE14x_3)</f>
        <v>0</v>
      </c>
      <c r="L13" s="3">
        <f>SUM(OSRRefE14x_4)</f>
        <v>0</v>
      </c>
      <c r="M13" s="3">
        <f>SUM(OSRRefE14x_5)</f>
        <v>0</v>
      </c>
      <c r="N13" s="3">
        <f>SUM(OSRRefE14x_6)</f>
        <v>0</v>
      </c>
      <c r="O13" s="3">
        <f>SUM(OSRRefE14x_7)</f>
        <v>0</v>
      </c>
      <c r="Q13" s="3">
        <f>SUM(OSRRefG14x)</f>
        <v>0</v>
      </c>
    </row>
    <row r="14" spans="1:18" s="9" customFormat="1" hidden="1" outlineLevel="1" x14ac:dyDescent="0.25">
      <c r="A14" s="22"/>
      <c r="B14" s="13" t="str">
        <f>CONCATENATE("          ","5000", " - ","PURCHASES @ COST")</f>
        <v xml:space="preserve">          5000 - PURCHASES @ COST</v>
      </c>
      <c r="C14" s="23"/>
      <c r="D14" s="2"/>
      <c r="E14" s="2"/>
      <c r="F14" s="2"/>
      <c r="G14" s="2"/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Q14" s="2">
        <f>SUM(OSRRefD14_0x)+IFERROR(SUM(OSRRefE14_0x),0)</f>
        <v>0</v>
      </c>
    </row>
    <row r="15" spans="1:18" x14ac:dyDescent="0.25">
      <c r="A15" s="5"/>
      <c r="B15" s="8"/>
      <c r="C15" s="8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4" customFormat="1" x14ac:dyDescent="0.25">
      <c r="A16" s="8"/>
      <c r="B16" s="17" t="s">
        <v>6</v>
      </c>
      <c r="C16" s="17"/>
      <c r="D16" s="6">
        <f t="shared" ref="D16:O16" si="1">IFERROR(+D10-D13, 0)</f>
        <v>0</v>
      </c>
      <c r="E16" s="6">
        <f t="shared" si="1"/>
        <v>0</v>
      </c>
      <c r="F16" s="6">
        <f t="shared" si="1"/>
        <v>0</v>
      </c>
      <c r="G16" s="6">
        <f t="shared" si="1"/>
        <v>0</v>
      </c>
      <c r="H16" s="6">
        <f t="shared" si="1"/>
        <v>0</v>
      </c>
      <c r="I16" s="6">
        <f t="shared" si="1"/>
        <v>0</v>
      </c>
      <c r="J16" s="6">
        <f t="shared" si="1"/>
        <v>0</v>
      </c>
      <c r="K16" s="6">
        <f t="shared" si="1"/>
        <v>0</v>
      </c>
      <c r="L16" s="6">
        <f t="shared" si="1"/>
        <v>0</v>
      </c>
      <c r="M16" s="6">
        <f t="shared" si="1"/>
        <v>0</v>
      </c>
      <c r="N16" s="6">
        <f t="shared" si="1"/>
        <v>0</v>
      </c>
      <c r="O16" s="6">
        <f t="shared" si="1"/>
        <v>0</v>
      </c>
      <c r="Q16" s="6">
        <f>IFERROR(+Q10-Q13, 0)</f>
        <v>0</v>
      </c>
    </row>
    <row r="17" spans="1:17" s="8" customFormat="1" x14ac:dyDescent="0.25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0</v>
      </c>
    </row>
    <row r="18" spans="1:17" x14ac:dyDescent="0.25">
      <c r="A18" s="5"/>
      <c r="B18" s="8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4" customFormat="1" x14ac:dyDescent="0.25">
      <c r="A19" s="8"/>
      <c r="B19" s="16" t="s">
        <v>291</v>
      </c>
      <c r="C19" s="8"/>
      <c r="D19" s="10">
        <f>SUM(OSRRefD20x_0)</f>
        <v>347.4</v>
      </c>
      <c r="E19" s="10">
        <f>SUM(OSRRefD20x_1)</f>
        <v>603.72</v>
      </c>
      <c r="F19" s="10">
        <f>SUM(OSRRefD20x_2)</f>
        <v>630.27</v>
      </c>
      <c r="G19" s="10">
        <f>SUM(OSRRefD20x_3)</f>
        <v>1206.6200000000001</v>
      </c>
      <c r="H19" s="10">
        <f>SUM(OSRRefE20x_0)</f>
        <v>0</v>
      </c>
      <c r="I19" s="10">
        <f>SUM(OSRRefE20x_1)</f>
        <v>0</v>
      </c>
      <c r="J19" s="10">
        <f>SUM(OSRRefE20x_2)</f>
        <v>0</v>
      </c>
      <c r="K19" s="10">
        <f>SUM(OSRRefE20x_3)</f>
        <v>0</v>
      </c>
      <c r="L19" s="10">
        <f>SUM(OSRRefE20x_4)</f>
        <v>0</v>
      </c>
      <c r="M19" s="10">
        <f>SUM(OSRRefE20x_5)</f>
        <v>0</v>
      </c>
      <c r="N19" s="10">
        <f>SUM(OSRRefE20x_6)</f>
        <v>0</v>
      </c>
      <c r="O19" s="10">
        <f>SUM(OSRRefE20x_7)</f>
        <v>0</v>
      </c>
      <c r="Q19" s="10">
        <f>SUM(OSRRefG20x)</f>
        <v>2788.01</v>
      </c>
    </row>
    <row r="20" spans="1:17" s="34" customFormat="1" collapsed="1" x14ac:dyDescent="0.25">
      <c r="A20" s="35"/>
      <c r="B20" s="15" t="str">
        <f>CONCATENATE("     ","*Benefits                                         ")</f>
        <v xml:space="preserve">     *Benefits                                         </v>
      </c>
      <c r="C20" s="15"/>
      <c r="D20" s="1">
        <f>SUM(OSRRefD21_0x_0)</f>
        <v>0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SUM(OSRRefE21_0x_0)</f>
        <v>0</v>
      </c>
      <c r="I20" s="1">
        <f>SUM(OSRRefE21_0x_1)</f>
        <v>0</v>
      </c>
      <c r="J20" s="1">
        <f>SUM(OSRRefE21_0x_2)</f>
        <v>0</v>
      </c>
      <c r="K20" s="1">
        <f>SUM(OSRRefE21_0x_3)</f>
        <v>0</v>
      </c>
      <c r="L20" s="1">
        <f>SUM(OSRRefE21_0x_4)</f>
        <v>0</v>
      </c>
      <c r="M20" s="1">
        <f>SUM(OSRRefE21_0x_5)</f>
        <v>0</v>
      </c>
      <c r="N20" s="1">
        <f>SUM(OSRRefE21_0x_6)</f>
        <v>0</v>
      </c>
      <c r="O20" s="1">
        <f>SUM(OSRRefE21_0x_7)</f>
        <v>0</v>
      </c>
      <c r="Q20" s="2">
        <f>SUM(OSRRefD20_0x)+IFERROR(SUM(OSRRefE20_0x),0)</f>
        <v>0</v>
      </c>
    </row>
    <row r="21" spans="1:17" s="34" customFormat="1" hidden="1" outlineLevel="1" x14ac:dyDescent="0.25">
      <c r="A21" s="35"/>
      <c r="B21" s="13" t="str">
        <f>CONCATENATE("          ","6111", " - ","F.I.C.A.")</f>
        <v xml:space="preserve">          6111 - F.I.C.A.</v>
      </c>
      <c r="C21" s="15"/>
      <c r="D21" s="2"/>
      <c r="E21" s="2"/>
      <c r="F21" s="2"/>
      <c r="G21" s="2"/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9"/>
      <c r="Q21" s="2">
        <f>SUM(OSRRefD21_0_0x)+IFERROR(SUM(OSRRefE21_0_0x),0)</f>
        <v>0</v>
      </c>
    </row>
    <row r="22" spans="1:17" s="34" customFormat="1" hidden="1" outlineLevel="1" x14ac:dyDescent="0.25">
      <c r="A22" s="35"/>
      <c r="B22" s="13" t="str">
        <f>CONCATENATE("          ","6112", " - ","COMPENSATION INSURANCE")</f>
        <v xml:space="preserve">          6112 - COMPENSATION INSURANCE</v>
      </c>
      <c r="C22" s="15"/>
      <c r="D22" s="2"/>
      <c r="E22" s="2"/>
      <c r="F22" s="2"/>
      <c r="G22" s="2"/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SUM(OSRRefD21_0_1x)+IFERROR(SUM(OSRRefE21_0_1x),0)</f>
        <v>0</v>
      </c>
    </row>
    <row r="23" spans="1:17" s="34" customFormat="1" hidden="1" outlineLevel="1" x14ac:dyDescent="0.25">
      <c r="A23" s="35"/>
      <c r="B23" s="13" t="str">
        <f>CONCATENATE("          ","6113", " - ","GROUP INSURANCE")</f>
        <v xml:space="preserve">          6113 - GROUP INSURANCE</v>
      </c>
      <c r="C23" s="15"/>
      <c r="D23" s="2"/>
      <c r="E23" s="2"/>
      <c r="F23" s="2"/>
      <c r="G23" s="2"/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SUM(OSRRefD21_0_2x)+IFERROR(SUM(OSRRefE21_0_2x),0)</f>
        <v>0</v>
      </c>
    </row>
    <row r="24" spans="1:17" s="34" customFormat="1" hidden="1" outlineLevel="1" x14ac:dyDescent="0.25">
      <c r="A24" s="35"/>
      <c r="B24" s="13" t="str">
        <f>CONCATENATE("          ","6114", " - ","STATE UNEMPLOYMENT INSURANCE")</f>
        <v xml:space="preserve">          6114 - STATE UNEMPLOYMENT INSURANCE</v>
      </c>
      <c r="C24" s="15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SUM(OSRRefD21_0_3x)+IFERROR(SUM(OSRRefE21_0_3x),0)</f>
        <v>0</v>
      </c>
    </row>
    <row r="25" spans="1:17" s="34" customFormat="1" hidden="1" outlineLevel="1" x14ac:dyDescent="0.25">
      <c r="A25" s="35"/>
      <c r="B25" s="13" t="str">
        <f>CONCATENATE("          ","6115", " - ","P.E.R.S.")</f>
        <v xml:space="preserve">          6115 - P.E.R.S.</v>
      </c>
      <c r="C25" s="15"/>
      <c r="D25" s="2"/>
      <c r="E25" s="2"/>
      <c r="F25" s="2"/>
      <c r="G25" s="2"/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SUM(OSRRefD21_0_4x)+IFERROR(SUM(OSRRefE21_0_4x),0)</f>
        <v>0</v>
      </c>
    </row>
    <row r="26" spans="1:17" s="34" customFormat="1" hidden="1" outlineLevel="1" x14ac:dyDescent="0.25">
      <c r="A26" s="35"/>
      <c r="B26" s="13" t="str">
        <f>CONCATENATE("          ","6116", " - ","EDUCATIONAL BENEFITS")</f>
        <v xml:space="preserve">          6116 - EDUCATIONAL BENEFITS</v>
      </c>
      <c r="C26" s="15"/>
      <c r="D26" s="2"/>
      <c r="E26" s="2"/>
      <c r="F26" s="2"/>
      <c r="G26" s="2"/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4" customFormat="1" hidden="1" outlineLevel="1" x14ac:dyDescent="0.25">
      <c r="A27" s="35"/>
      <c r="B27" s="13" t="str">
        <f>CONCATENATE("          ","6118", " - ","VACATION")</f>
        <v xml:space="preserve">          6118 - VACATION</v>
      </c>
      <c r="C27" s="15"/>
      <c r="D27" s="2"/>
      <c r="E27" s="2"/>
      <c r="F27" s="2"/>
      <c r="G27" s="2"/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SUM(OSRRefD21_0_6x)+IFERROR(SUM(OSRRefE21_0_6x),0)</f>
        <v>0</v>
      </c>
    </row>
    <row r="28" spans="1:17" s="34" customFormat="1" hidden="1" outlineLevel="1" x14ac:dyDescent="0.25">
      <c r="A28" s="35"/>
      <c r="B28" s="13" t="str">
        <f>CONCATENATE("          ","6119", " - ","SICK LEAVE")</f>
        <v xml:space="preserve">          6119 - SICK LEAVE</v>
      </c>
      <c r="C28" s="15"/>
      <c r="D28" s="2"/>
      <c r="E28" s="2"/>
      <c r="F28" s="2"/>
      <c r="G28" s="2"/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SUM(OSRRefD21_0_7x)+IFERROR(SUM(OSRRefE21_0_7x),0)</f>
        <v>0</v>
      </c>
    </row>
    <row r="29" spans="1:17" s="34" customFormat="1" collapsed="1" x14ac:dyDescent="0.25">
      <c r="A29" s="35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0</v>
      </c>
      <c r="E29" s="1">
        <f>SUM(OSRRefD21_1x_1)</f>
        <v>0</v>
      </c>
      <c r="F29" s="1">
        <f>SUM(OSRRefD21_1x_2)</f>
        <v>0</v>
      </c>
      <c r="G29" s="1">
        <f>SUM(OSRRefD21_1x_3)</f>
        <v>0</v>
      </c>
      <c r="H29" s="1">
        <f>SUM(OSRRefE21_1x_0)</f>
        <v>0</v>
      </c>
      <c r="I29" s="1">
        <f>SUM(OSRRefE21_1x_1)</f>
        <v>0</v>
      </c>
      <c r="J29" s="1">
        <f>SUM(OSRRefE21_1x_2)</f>
        <v>0</v>
      </c>
      <c r="K29" s="1">
        <f>SUM(OSRRefE21_1x_3)</f>
        <v>0</v>
      </c>
      <c r="L29" s="1">
        <f>SUM(OSRRefE21_1x_4)</f>
        <v>0</v>
      </c>
      <c r="M29" s="1">
        <f>SUM(OSRRefE21_1x_5)</f>
        <v>0</v>
      </c>
      <c r="N29" s="1">
        <f>SUM(OSRRefE21_1x_6)</f>
        <v>0</v>
      </c>
      <c r="O29" s="1">
        <f>SUM(OSRRefE21_1x_7)</f>
        <v>0</v>
      </c>
      <c r="Q29" s="2">
        <f>SUM(OSRRefD20_1x)+IFERROR(SUM(OSRRefE20_1x),0)</f>
        <v>0</v>
      </c>
    </row>
    <row r="30" spans="1:17" s="34" customFormat="1" hidden="1" outlineLevel="1" x14ac:dyDescent="0.25">
      <c r="A30" s="35"/>
      <c r="B30" s="13" t="str">
        <f>CONCATENATE("          ","6001", " - ","ADMINISTRATIVE SALARIES")</f>
        <v xml:space="preserve">          6001 - ADMINISTRATIVE SALARIES</v>
      </c>
      <c r="C30" s="15"/>
      <c r="D30" s="2"/>
      <c r="E30" s="2"/>
      <c r="F30" s="2"/>
      <c r="G30" s="2"/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4" customFormat="1" hidden="1" outlineLevel="1" x14ac:dyDescent="0.25">
      <c r="A31" s="35"/>
      <c r="B31" s="13" t="str">
        <f>CONCATENATE("          ","6002", " - ","STAFF SALARIES")</f>
        <v xml:space="preserve">          6002 - STAFF SALARIES</v>
      </c>
      <c r="C31" s="15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0</v>
      </c>
    </row>
    <row r="32" spans="1:17" s="34" customFormat="1" hidden="1" outlineLevel="1" x14ac:dyDescent="0.25">
      <c r="A32" s="35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25">
      <c r="A33" s="35"/>
      <c r="B33" s="13" t="str">
        <f>CONCATENATE("          ","6004", " - ","STAFF HOURLY")</f>
        <v xml:space="preserve">          6004 - STAFF HOURLY</v>
      </c>
      <c r="C33" s="15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0</v>
      </c>
    </row>
    <row r="34" spans="1:17" s="34" customFormat="1" hidden="1" outlineLevel="1" x14ac:dyDescent="0.25">
      <c r="A34" s="35"/>
      <c r="B34" s="13" t="str">
        <f>CONCATENATE("          ","6005", " - ","TEMPORARY WAGES-HOURLY")</f>
        <v xml:space="preserve">          6005 - TEMPORARY WAGES-HOURLY</v>
      </c>
      <c r="C34" s="15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4" customFormat="1" hidden="1" outlineLevel="1" x14ac:dyDescent="0.25">
      <c r="A35" s="35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4" customFormat="1" hidden="1" outlineLevel="1" x14ac:dyDescent="0.25">
      <c r="A36" s="35"/>
      <c r="B36" s="13" t="str">
        <f>CONCATENATE("          ","6007", " - ","STUDENT HOURLY")</f>
        <v xml:space="preserve">          6007 - STUDENT HOURLY</v>
      </c>
      <c r="C36" s="15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4" customFormat="1" hidden="1" outlineLevel="1" x14ac:dyDescent="0.25">
      <c r="A37" s="35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4" customFormat="1" hidden="1" outlineLevel="1" x14ac:dyDescent="0.25">
      <c r="A38" s="35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25">
      <c r="A39" s="35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25">
      <c r="A40" s="35"/>
      <c r="B40" s="15" t="str">
        <f>CONCATENATE("     ","Advertising/Promo                                 ")</f>
        <v xml:space="preserve">     Advertising/Promo                                 </v>
      </c>
      <c r="C40" s="15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SUM(OSRRefE21_2x_0)</f>
        <v>0</v>
      </c>
      <c r="I40" s="1">
        <f>SUM(OSRRefE21_2x_1)</f>
        <v>0</v>
      </c>
      <c r="J40" s="1">
        <f>SUM(OSRRefE21_2x_2)</f>
        <v>0</v>
      </c>
      <c r="K40" s="1">
        <f>SUM(OSRRefE21_2x_3)</f>
        <v>0</v>
      </c>
      <c r="L40" s="1">
        <f>SUM(OSRRefE21_2x_4)</f>
        <v>0</v>
      </c>
      <c r="M40" s="1">
        <f>SUM(OSRRefE21_2x_5)</f>
        <v>0</v>
      </c>
      <c r="N40" s="1">
        <f>SUM(OSRRefE21_2x_6)</f>
        <v>0</v>
      </c>
      <c r="O40" s="1">
        <f>SUM(OSRRefE21_2x_7)</f>
        <v>0</v>
      </c>
      <c r="Q40" s="2">
        <f>SUM(OSRRefD20_2x)+IFERROR(SUM(OSRRefE20_2x),0)</f>
        <v>0</v>
      </c>
    </row>
    <row r="41" spans="1:17" s="34" customFormat="1" hidden="1" outlineLevel="1" x14ac:dyDescent="0.25">
      <c r="A41" s="35"/>
      <c r="B41" s="13" t="str">
        <f>CONCATENATE("          ","6362", " - ","ADVERTISING EXPENSE")</f>
        <v xml:space="preserve">          6362 - ADVERTISING EXPENSE</v>
      </c>
      <c r="C41" s="15"/>
      <c r="D41" s="2"/>
      <c r="E41" s="2"/>
      <c r="F41" s="2"/>
      <c r="G41" s="2"/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SUM(OSRRefD21_2_0x)+IFERROR(SUM(OSRRefE21_2_0x),0)</f>
        <v>0</v>
      </c>
    </row>
    <row r="42" spans="1:17" s="34" customFormat="1" collapsed="1" x14ac:dyDescent="0.25">
      <c r="A42" s="35"/>
      <c r="B42" s="15" t="str">
        <f>CONCATENATE("     ","Bank/card Fees                                    ")</f>
        <v xml:space="preserve">     Bank/card Fees                                    </v>
      </c>
      <c r="C42" s="15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SUM(OSRRefE21_3x_0)</f>
        <v>0</v>
      </c>
      <c r="I42" s="1">
        <f>SUM(OSRRefE21_3x_1)</f>
        <v>0</v>
      </c>
      <c r="J42" s="1">
        <f>SUM(OSRRefE21_3x_2)</f>
        <v>0</v>
      </c>
      <c r="K42" s="1">
        <f>SUM(OSRRefE21_3x_3)</f>
        <v>0</v>
      </c>
      <c r="L42" s="1">
        <f>SUM(OSRRefE21_3x_4)</f>
        <v>0</v>
      </c>
      <c r="M42" s="1">
        <f>SUM(OSRRefE21_3x_5)</f>
        <v>0</v>
      </c>
      <c r="N42" s="1">
        <f>SUM(OSRRefE21_3x_6)</f>
        <v>0</v>
      </c>
      <c r="O42" s="1">
        <f>SUM(OSRRefE21_3x_7)</f>
        <v>0</v>
      </c>
      <c r="Q42" s="2">
        <f>SUM(OSRRefD20_3x)+IFERROR(SUM(OSRRefE20_3x),0)</f>
        <v>0</v>
      </c>
    </row>
    <row r="43" spans="1:17" s="34" customFormat="1" hidden="1" outlineLevel="1" x14ac:dyDescent="0.25">
      <c r="A43" s="35"/>
      <c r="B43" s="13" t="str">
        <f>CONCATENATE("          ","6381", " - ","BANK/CREDIT CARD FEES")</f>
        <v xml:space="preserve">          6381 - BANK/CREDIT CARD FEES</v>
      </c>
      <c r="C43" s="15"/>
      <c r="D43" s="2"/>
      <c r="E43" s="2"/>
      <c r="F43" s="2"/>
      <c r="G43" s="2"/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SUM(OSRRefD21_3_0x)+IFERROR(SUM(OSRRefE21_3_0x),0)</f>
        <v>0</v>
      </c>
    </row>
    <row r="44" spans="1:17" s="34" customFormat="1" collapsed="1" x14ac:dyDescent="0.25">
      <c r="A44" s="35"/>
      <c r="B44" s="15" t="str">
        <f>CONCATENATE("     ","Depreciation                                      ")</f>
        <v xml:space="preserve">     Depreciation                                      </v>
      </c>
      <c r="C44" s="15"/>
      <c r="D44" s="1">
        <f>SUM(OSRRefD21_4x_0)</f>
        <v>315.43</v>
      </c>
      <c r="E44" s="1">
        <f>SUM(OSRRefD21_4x_1)</f>
        <v>596.69000000000005</v>
      </c>
      <c r="F44" s="1">
        <f>SUM(OSRRefD21_4x_2)</f>
        <v>588.16999999999996</v>
      </c>
      <c r="G44" s="1">
        <f>SUM(OSRRefD21_4x_3)</f>
        <v>588.16999999999996</v>
      </c>
      <c r="H44" s="1">
        <f>SUM(OSRRefE21_4x_0)</f>
        <v>0</v>
      </c>
      <c r="I44" s="1">
        <f>SUM(OSRRefE21_4x_1)</f>
        <v>0</v>
      </c>
      <c r="J44" s="1">
        <f>SUM(OSRRefE21_4x_2)</f>
        <v>0</v>
      </c>
      <c r="K44" s="1">
        <f>SUM(OSRRefE21_4x_3)</f>
        <v>0</v>
      </c>
      <c r="L44" s="1">
        <f>SUM(OSRRefE21_4x_4)</f>
        <v>0</v>
      </c>
      <c r="M44" s="1">
        <f>SUM(OSRRefE21_4x_5)</f>
        <v>0</v>
      </c>
      <c r="N44" s="1">
        <f>SUM(OSRRefE21_4x_6)</f>
        <v>0</v>
      </c>
      <c r="O44" s="1">
        <f>SUM(OSRRefE21_4x_7)</f>
        <v>0</v>
      </c>
      <c r="Q44" s="2">
        <f>SUM(OSRRefD20_4x)+IFERROR(SUM(OSRRefE20_4x),0)</f>
        <v>2088.46</v>
      </c>
    </row>
    <row r="45" spans="1:17" s="34" customFormat="1" hidden="1" outlineLevel="1" x14ac:dyDescent="0.25">
      <c r="A45" s="35"/>
      <c r="B45" s="13" t="str">
        <f>CONCATENATE("          ","6322", " - ","EQUIPMENT DEPRECIATION EXPENSE")</f>
        <v xml:space="preserve">          6322 - EQUIPMENT DEPRECIATION EXPENSE</v>
      </c>
      <c r="C45" s="15"/>
      <c r="D45" s="2">
        <v>315.43</v>
      </c>
      <c r="E45" s="2">
        <v>596.69000000000005</v>
      </c>
      <c r="F45" s="2">
        <v>588.16999999999996</v>
      </c>
      <c r="G45" s="2">
        <v>588.16999999999996</v>
      </c>
      <c r="H45" s="2"/>
      <c r="I45" s="2"/>
      <c r="J45" s="2"/>
      <c r="K45" s="2"/>
      <c r="L45" s="2"/>
      <c r="M45" s="2"/>
      <c r="N45" s="2"/>
      <c r="O45" s="2"/>
      <c r="P45" s="9"/>
      <c r="Q45" s="2">
        <f>SUM(OSRRefD21_4_0x)+IFERROR(SUM(OSRRefE21_4_0x),0)</f>
        <v>2088.46</v>
      </c>
    </row>
    <row r="46" spans="1:17" s="34" customFormat="1" collapsed="1" x14ac:dyDescent="0.25">
      <c r="A46" s="35"/>
      <c r="B46" s="15" t="str">
        <f>CONCATENATE("     ","Repair and Maintenance                            ")</f>
        <v xml:space="preserve">     Repair and Maintenance                            </v>
      </c>
      <c r="C46" s="15"/>
      <c r="D46" s="1">
        <f>SUM(OSRRefD21_5x_0)</f>
        <v>114</v>
      </c>
      <c r="E46" s="1">
        <f>SUM(OSRRefD21_5x_1)</f>
        <v>117.9</v>
      </c>
      <c r="F46" s="1">
        <f>SUM(OSRRefD21_5x_2)</f>
        <v>48.23</v>
      </c>
      <c r="G46" s="1">
        <f>SUM(OSRRefD21_5x_3)</f>
        <v>22.02</v>
      </c>
      <c r="H46" s="1">
        <f>SUM(OSRRefE21_5x_0)</f>
        <v>0</v>
      </c>
      <c r="I46" s="1">
        <f>SUM(OSRRefE21_5x_1)</f>
        <v>0</v>
      </c>
      <c r="J46" s="1">
        <f>SUM(OSRRefE21_5x_2)</f>
        <v>0</v>
      </c>
      <c r="K46" s="1">
        <f>SUM(OSRRefE21_5x_3)</f>
        <v>0</v>
      </c>
      <c r="L46" s="1">
        <f>SUM(OSRRefE21_5x_4)</f>
        <v>0</v>
      </c>
      <c r="M46" s="1">
        <f>SUM(OSRRefE21_5x_5)</f>
        <v>0</v>
      </c>
      <c r="N46" s="1">
        <f>SUM(OSRRefE21_5x_6)</f>
        <v>0</v>
      </c>
      <c r="O46" s="1">
        <f>SUM(OSRRefE21_5x_7)</f>
        <v>0</v>
      </c>
      <c r="Q46" s="2">
        <f>SUM(OSRRefD20_5x)+IFERROR(SUM(OSRRefE20_5x),0)</f>
        <v>302.14999999999998</v>
      </c>
    </row>
    <row r="47" spans="1:17" s="34" customFormat="1" hidden="1" outlineLevel="1" x14ac:dyDescent="0.25">
      <c r="A47" s="35"/>
      <c r="B47" s="13" t="str">
        <f>CONCATENATE("          ","6373", " - ","MAINTENANCE CONTRACTS")</f>
        <v xml:space="preserve">          6373 - MAINTENANCE CONTRACTS</v>
      </c>
      <c r="C47" s="15"/>
      <c r="D47" s="2"/>
      <c r="E47" s="2">
        <v>117.9</v>
      </c>
      <c r="F47" s="2">
        <v>48.23</v>
      </c>
      <c r="G47" s="2"/>
      <c r="H47" s="2"/>
      <c r="I47" s="2"/>
      <c r="J47" s="2"/>
      <c r="K47" s="2"/>
      <c r="L47" s="2"/>
      <c r="M47" s="2"/>
      <c r="N47" s="2"/>
      <c r="O47" s="2"/>
      <c r="P47" s="9"/>
      <c r="Q47" s="2">
        <f>SUM(OSRRefD21_5_0x)+IFERROR(SUM(OSRRefE21_5_0x),0)</f>
        <v>166.13</v>
      </c>
    </row>
    <row r="48" spans="1:17" s="34" customFormat="1" hidden="1" outlineLevel="1" x14ac:dyDescent="0.25">
      <c r="A48" s="35"/>
      <c r="B48" s="13" t="str">
        <f>CONCATENATE("          ","6375", " - ","OUTSIDE REPAIRS &amp; MAINTENANCE")</f>
        <v xml:space="preserve">          6375 - OUTSIDE REPAIRS &amp; MAINTENANCE</v>
      </c>
      <c r="C48" s="15"/>
      <c r="D48" s="2">
        <v>114</v>
      </c>
      <c r="E48" s="2"/>
      <c r="F48" s="2"/>
      <c r="G48" s="2">
        <v>22.02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SUM(OSRRefD21_5_1x)+IFERROR(SUM(OSRRefE21_5_1x),0)</f>
        <v>136.02000000000001</v>
      </c>
    </row>
    <row r="49" spans="1:17" s="34" customFormat="1" collapsed="1" x14ac:dyDescent="0.25">
      <c r="A49" s="35"/>
      <c r="B49" s="15" t="str">
        <f>CONCATENATE("     ","Services                                          ")</f>
        <v xml:space="preserve">     Services                                          </v>
      </c>
      <c r="C49" s="15"/>
      <c r="D49" s="1">
        <f>SUM(OSRRefD21_6x_0)</f>
        <v>-173.04</v>
      </c>
      <c r="E49" s="1">
        <f>SUM(OSRRefD21_6x_1)</f>
        <v>-201.88</v>
      </c>
      <c r="F49" s="1">
        <f>SUM(OSRRefD21_6x_2)</f>
        <v>0</v>
      </c>
      <c r="G49" s="1">
        <f>SUM(OSRRefD21_6x_3)</f>
        <v>558</v>
      </c>
      <c r="H49" s="1">
        <f>SUM(OSRRefE21_6x_0)</f>
        <v>0</v>
      </c>
      <c r="I49" s="1">
        <f>SUM(OSRRefE21_6x_1)</f>
        <v>0</v>
      </c>
      <c r="J49" s="1">
        <f>SUM(OSRRefE21_6x_2)</f>
        <v>0</v>
      </c>
      <c r="K49" s="1">
        <f>SUM(OSRRefE21_6x_3)</f>
        <v>0</v>
      </c>
      <c r="L49" s="1">
        <f>SUM(OSRRefE21_6x_4)</f>
        <v>0</v>
      </c>
      <c r="M49" s="1">
        <f>SUM(OSRRefE21_6x_5)</f>
        <v>0</v>
      </c>
      <c r="N49" s="1">
        <f>SUM(OSRRefE21_6x_6)</f>
        <v>0</v>
      </c>
      <c r="O49" s="1">
        <f>SUM(OSRRefE21_6x_7)</f>
        <v>0</v>
      </c>
      <c r="Q49" s="2">
        <f>SUM(OSRRefD20_6x)+IFERROR(SUM(OSRRefE20_6x),0)</f>
        <v>183.08000000000004</v>
      </c>
    </row>
    <row r="50" spans="1:17" s="34" customFormat="1" hidden="1" outlineLevel="1" x14ac:dyDescent="0.25">
      <c r="A50" s="35"/>
      <c r="B50" s="13" t="str">
        <f>CONCATENATE("          ","6282", " - ","JANITORIAL/EXTERMINATOR EXPENS")</f>
        <v xml:space="preserve">          6282 - JANITORIAL/EXTERMINATOR EXPENS</v>
      </c>
      <c r="C50" s="15"/>
      <c r="D50" s="2"/>
      <c r="E50" s="2">
        <v>-201.88</v>
      </c>
      <c r="F50" s="2"/>
      <c r="G50" s="2">
        <v>558</v>
      </c>
      <c r="H50" s="2"/>
      <c r="I50" s="2"/>
      <c r="J50" s="2"/>
      <c r="K50" s="2"/>
      <c r="L50" s="2"/>
      <c r="M50" s="2"/>
      <c r="N50" s="2"/>
      <c r="O50" s="2"/>
      <c r="P50" s="9"/>
      <c r="Q50" s="2">
        <f>SUM(OSRRefD21_6_0x)+IFERROR(SUM(OSRRefE21_6_0x),0)</f>
        <v>356.12</v>
      </c>
    </row>
    <row r="51" spans="1:17" s="34" customFormat="1" hidden="1" outlineLevel="1" x14ac:dyDescent="0.25">
      <c r="A51" s="35"/>
      <c r="B51" s="13" t="str">
        <f>CONCATENATE("          ","6285", " - ","JANITORIAL SERVICES")</f>
        <v xml:space="preserve">          6285 - JANITORIAL SERVICES</v>
      </c>
      <c r="C51" s="15"/>
      <c r="D51" s="2">
        <v>-173.04</v>
      </c>
      <c r="E51" s="2"/>
      <c r="F51" s="2"/>
      <c r="G51" s="2"/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SUM(OSRRefD21_6_1x)+IFERROR(SUM(OSRRefE21_6_1x),0)</f>
        <v>-173.04</v>
      </c>
    </row>
    <row r="52" spans="1:17" s="34" customFormat="1" collapsed="1" x14ac:dyDescent="0.25">
      <c r="A52" s="35"/>
      <c r="B52" s="15" t="str">
        <f>CONCATENATE("     ","Supplies                                          ")</f>
        <v xml:space="preserve">     Supplies                                          </v>
      </c>
      <c r="C52" s="15"/>
      <c r="D52" s="1">
        <f>SUM(OSRRefD21_7x_0)</f>
        <v>0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SUM(OSRRefE21_7x_0)</f>
        <v>0</v>
      </c>
      <c r="I52" s="1">
        <f>SUM(OSRRefE21_7x_1)</f>
        <v>0</v>
      </c>
      <c r="J52" s="1">
        <f>SUM(OSRRefE21_7x_2)</f>
        <v>0</v>
      </c>
      <c r="K52" s="1">
        <f>SUM(OSRRefE21_7x_3)</f>
        <v>0</v>
      </c>
      <c r="L52" s="1">
        <f>SUM(OSRRefE21_7x_4)</f>
        <v>0</v>
      </c>
      <c r="M52" s="1">
        <f>SUM(OSRRefE21_7x_5)</f>
        <v>0</v>
      </c>
      <c r="N52" s="1">
        <f>SUM(OSRRefE21_7x_6)</f>
        <v>0</v>
      </c>
      <c r="O52" s="1">
        <f>SUM(OSRRefE21_7x_7)</f>
        <v>0</v>
      </c>
      <c r="Q52" s="2">
        <f>SUM(OSRRefD20_7x)+IFERROR(SUM(OSRRefE20_7x),0)</f>
        <v>0</v>
      </c>
    </row>
    <row r="53" spans="1:17" s="34" customFormat="1" hidden="1" outlineLevel="1" x14ac:dyDescent="0.25">
      <c r="A53" s="35"/>
      <c r="B53" s="13" t="str">
        <f>CONCATENATE("          ","6235", " - ","COVID-19 EXPENSES")</f>
        <v xml:space="preserve">          6235 - COVID-19 EXPENSES</v>
      </c>
      <c r="C53" s="15"/>
      <c r="D53" s="2"/>
      <c r="E53" s="2"/>
      <c r="F53" s="2"/>
      <c r="G53" s="2"/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SUM(OSRRefD21_7_0x)+IFERROR(SUM(OSRRefE21_7_0x),0)</f>
        <v>0</v>
      </c>
    </row>
    <row r="54" spans="1:17" s="34" customFormat="1" hidden="1" outlineLevel="1" x14ac:dyDescent="0.25">
      <c r="A54" s="35"/>
      <c r="B54" s="13" t="str">
        <f>CONCATENATE("          ","6247", " - ","STORE SUPPLIES")</f>
        <v xml:space="preserve">          6247 - STORE SUPPLIES</v>
      </c>
      <c r="C54" s="15"/>
      <c r="D54" s="2"/>
      <c r="E54" s="2"/>
      <c r="F54" s="2"/>
      <c r="G54" s="2"/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SUM(OSRRefD21_7_1x)+IFERROR(SUM(OSRRefE21_7_1x),0)</f>
        <v>0</v>
      </c>
    </row>
    <row r="55" spans="1:17" s="34" customFormat="1" hidden="1" outlineLevel="1" x14ac:dyDescent="0.25">
      <c r="A55" s="35"/>
      <c r="B55" s="13" t="str">
        <f>CONCATENATE("          ","6248", " - ","UNIFORMS")</f>
        <v xml:space="preserve">          6248 - UNIFORMS</v>
      </c>
      <c r="C55" s="15"/>
      <c r="D55" s="2"/>
      <c r="E55" s="2"/>
      <c r="F55" s="2"/>
      <c r="G55" s="2"/>
      <c r="H55" s="2"/>
      <c r="I55" s="2"/>
      <c r="J55" s="2">
        <v>0</v>
      </c>
      <c r="K55" s="2"/>
      <c r="L55" s="2"/>
      <c r="M55" s="2"/>
      <c r="N55" s="2"/>
      <c r="O55" s="2"/>
      <c r="P55" s="9"/>
      <c r="Q55" s="2">
        <f>SUM(OSRRefD21_7_2x)+IFERROR(SUM(OSRRefE21_7_2x),0)</f>
        <v>0</v>
      </c>
    </row>
    <row r="56" spans="1:17" s="34" customFormat="1" collapsed="1" x14ac:dyDescent="0.25">
      <c r="A56" s="35"/>
      <c r="B56" s="15" t="str">
        <f>CONCATENATE("     ","Telephone/Data Lines                              ")</f>
        <v xml:space="preserve">     Telephone/Data Lines                              </v>
      </c>
      <c r="C56" s="15"/>
      <c r="D56" s="1">
        <f>SUM(OSRRefD21_8x_0)</f>
        <v>91.01</v>
      </c>
      <c r="E56" s="1">
        <f>SUM(OSRRefD21_8x_1)</f>
        <v>91.01</v>
      </c>
      <c r="F56" s="1">
        <f>SUM(OSRRefD21_8x_2)</f>
        <v>-6.13</v>
      </c>
      <c r="G56" s="1">
        <f>SUM(OSRRefD21_8x_3)</f>
        <v>38.43</v>
      </c>
      <c r="H56" s="1">
        <f>SUM(OSRRefE21_8x_0)</f>
        <v>0</v>
      </c>
      <c r="I56" s="1">
        <f>SUM(OSRRefE21_8x_1)</f>
        <v>0</v>
      </c>
      <c r="J56" s="1">
        <f>SUM(OSRRefE21_8x_2)</f>
        <v>0</v>
      </c>
      <c r="K56" s="1">
        <f>SUM(OSRRefE21_8x_3)</f>
        <v>0</v>
      </c>
      <c r="L56" s="1">
        <f>SUM(OSRRefE21_8x_4)</f>
        <v>0</v>
      </c>
      <c r="M56" s="1">
        <f>SUM(OSRRefE21_8x_5)</f>
        <v>0</v>
      </c>
      <c r="N56" s="1">
        <f>SUM(OSRRefE21_8x_6)</f>
        <v>0</v>
      </c>
      <c r="O56" s="1">
        <f>SUM(OSRRefE21_8x_7)</f>
        <v>0</v>
      </c>
      <c r="Q56" s="2">
        <f>SUM(OSRRefD20_8x)+IFERROR(SUM(OSRRefE20_8x),0)</f>
        <v>214.32000000000002</v>
      </c>
    </row>
    <row r="57" spans="1:17" s="34" customFormat="1" hidden="1" outlineLevel="1" x14ac:dyDescent="0.25">
      <c r="A57" s="35"/>
      <c r="B57" s="13" t="str">
        <f>CONCATENATE("          ","6309", " - ","TELEPHONE")</f>
        <v xml:space="preserve">          6309 - TELEPHONE</v>
      </c>
      <c r="C57" s="15"/>
      <c r="D57" s="2">
        <v>91.01</v>
      </c>
      <c r="E57" s="2">
        <v>91.01</v>
      </c>
      <c r="F57" s="2">
        <v>-6.13</v>
      </c>
      <c r="G57" s="2">
        <v>38.43</v>
      </c>
      <c r="H57" s="2"/>
      <c r="I57" s="2"/>
      <c r="J57" s="2"/>
      <c r="K57" s="2"/>
      <c r="L57" s="2"/>
      <c r="M57" s="2"/>
      <c r="N57" s="2"/>
      <c r="O57" s="2"/>
      <c r="P57" s="9"/>
      <c r="Q57" s="2">
        <f>SUM(OSRRefD21_8_0x)+IFERROR(SUM(OSRRefE21_8_0x),0)</f>
        <v>214.32000000000002</v>
      </c>
    </row>
    <row r="58" spans="1:17" s="28" customFormat="1" x14ac:dyDescent="0.25">
      <c r="A58" s="20"/>
      <c r="B58" s="20"/>
      <c r="C58" s="20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Q58" s="1"/>
    </row>
    <row r="59" spans="1:17" s="9" customFormat="1" x14ac:dyDescent="0.25">
      <c r="A59" s="22"/>
      <c r="B59" s="16" t="s">
        <v>0</v>
      </c>
      <c r="C59" s="23"/>
      <c r="D59" s="3">
        <f t="shared" ref="D59:G59" si="3">0</f>
        <v>0</v>
      </c>
      <c r="E59" s="3">
        <f t="shared" si="3"/>
        <v>0</v>
      </c>
      <c r="F59" s="3">
        <f t="shared" si="3"/>
        <v>0</v>
      </c>
      <c r="G59" s="3">
        <f t="shared" si="3"/>
        <v>0</v>
      </c>
      <c r="H59" s="3"/>
      <c r="I59" s="3"/>
      <c r="J59" s="3"/>
      <c r="K59" s="3"/>
      <c r="L59" s="3"/>
      <c r="M59" s="3"/>
      <c r="N59" s="3"/>
      <c r="O59" s="3"/>
      <c r="Q59" s="2">
        <f>SUM(OSRRefD23_0x)+IFERROR(SUM(OSRRefE23_0x),0)</f>
        <v>0</v>
      </c>
    </row>
    <row r="60" spans="1:17" x14ac:dyDescent="0.25">
      <c r="A60" s="5"/>
      <c r="B60" s="8"/>
      <c r="C60" s="8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4" customFormat="1" x14ac:dyDescent="0.25">
      <c r="A61" s="8"/>
      <c r="B61" s="17" t="s">
        <v>3</v>
      </c>
      <c r="C61" s="17"/>
      <c r="D61" s="6">
        <f t="shared" ref="D61:O61" si="4">IFERROR(+D16-D19+D59, 0)</f>
        <v>-347.4</v>
      </c>
      <c r="E61" s="6">
        <f t="shared" si="4"/>
        <v>-603.72</v>
      </c>
      <c r="F61" s="6">
        <f t="shared" si="4"/>
        <v>-630.27</v>
      </c>
      <c r="G61" s="6">
        <f t="shared" si="4"/>
        <v>-1206.6200000000001</v>
      </c>
      <c r="H61" s="6">
        <f t="shared" si="4"/>
        <v>0</v>
      </c>
      <c r="I61" s="6">
        <f t="shared" si="4"/>
        <v>0</v>
      </c>
      <c r="J61" s="6">
        <f t="shared" si="4"/>
        <v>0</v>
      </c>
      <c r="K61" s="6">
        <f t="shared" si="4"/>
        <v>0</v>
      </c>
      <c r="L61" s="6">
        <f t="shared" si="4"/>
        <v>0</v>
      </c>
      <c r="M61" s="6">
        <f t="shared" si="4"/>
        <v>0</v>
      </c>
      <c r="N61" s="6">
        <f t="shared" si="4"/>
        <v>0</v>
      </c>
      <c r="O61" s="6">
        <f t="shared" si="4"/>
        <v>0</v>
      </c>
      <c r="Q61" s="6">
        <f>IFERROR(+Q16-Q19+Q59, 0)</f>
        <v>-2788.01</v>
      </c>
    </row>
    <row r="62" spans="1:17" s="8" customFormat="1" x14ac:dyDescent="0.25">
      <c r="B62" s="16"/>
      <c r="C62" s="16"/>
      <c r="D62" s="4">
        <f t="shared" ref="D62:O62" si="5">IFERROR(D61/D10, 0)</f>
        <v>0</v>
      </c>
      <c r="E62" s="4">
        <f t="shared" si="5"/>
        <v>0</v>
      </c>
      <c r="F62" s="4">
        <f t="shared" si="5"/>
        <v>0</v>
      </c>
      <c r="G62" s="4">
        <f t="shared" si="5"/>
        <v>0</v>
      </c>
      <c r="H62" s="4">
        <f t="shared" si="5"/>
        <v>0</v>
      </c>
      <c r="I62" s="4">
        <f t="shared" si="5"/>
        <v>0</v>
      </c>
      <c r="J62" s="4">
        <f t="shared" si="5"/>
        <v>0</v>
      </c>
      <c r="K62" s="4">
        <f t="shared" si="5"/>
        <v>0</v>
      </c>
      <c r="L62" s="4">
        <f t="shared" si="5"/>
        <v>0</v>
      </c>
      <c r="M62" s="4">
        <f t="shared" si="5"/>
        <v>0</v>
      </c>
      <c r="N62" s="4">
        <f t="shared" si="5"/>
        <v>0</v>
      </c>
      <c r="O62" s="4">
        <f t="shared" si="5"/>
        <v>0</v>
      </c>
      <c r="P62" s="18"/>
      <c r="Q62" s="4">
        <f>IFERROR(Q61/Q10, 0)</f>
        <v>0</v>
      </c>
    </row>
    <row r="63" spans="1:17" x14ac:dyDescent="0.25">
      <c r="A63" s="5"/>
      <c r="B63" s="8"/>
      <c r="C63" s="5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3"/>
    </row>
    <row r="64" spans="1:17" s="14" customFormat="1" x14ac:dyDescent="0.25">
      <c r="A64" s="25"/>
      <c r="B64" s="8" t="s">
        <v>8</v>
      </c>
      <c r="C64" s="8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2">
        <f>SUM(OSRRefD28_0x)+IFERROR(SUM(OSRRefE28_0x),0)</f>
        <v>0</v>
      </c>
    </row>
    <row r="65" spans="1:17" x14ac:dyDescent="0.25">
      <c r="A65" s="5"/>
      <c r="B65" s="8"/>
      <c r="C65" s="8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4" customFormat="1" ht="15.75" thickBot="1" x14ac:dyDescent="0.3">
      <c r="A66" s="8"/>
      <c r="B66" s="17" t="s">
        <v>4</v>
      </c>
      <c r="C66" s="17"/>
      <c r="D66" s="7">
        <f t="shared" ref="D66:O66" si="6">IFERROR(+D61-D64, 0)</f>
        <v>-347.4</v>
      </c>
      <c r="E66" s="7">
        <f t="shared" si="6"/>
        <v>-603.72</v>
      </c>
      <c r="F66" s="7">
        <f t="shared" si="6"/>
        <v>-630.27</v>
      </c>
      <c r="G66" s="7">
        <f t="shared" si="6"/>
        <v>-1206.6200000000001</v>
      </c>
      <c r="H66" s="7">
        <f t="shared" si="6"/>
        <v>0</v>
      </c>
      <c r="I66" s="7">
        <f t="shared" si="6"/>
        <v>0</v>
      </c>
      <c r="J66" s="7">
        <f t="shared" si="6"/>
        <v>0</v>
      </c>
      <c r="K66" s="7">
        <f t="shared" si="6"/>
        <v>0</v>
      </c>
      <c r="L66" s="7">
        <f t="shared" si="6"/>
        <v>0</v>
      </c>
      <c r="M66" s="7">
        <f t="shared" si="6"/>
        <v>0</v>
      </c>
      <c r="N66" s="7">
        <f t="shared" si="6"/>
        <v>0</v>
      </c>
      <c r="O66" s="7">
        <f t="shared" si="6"/>
        <v>0</v>
      </c>
      <c r="Q66" s="7">
        <f>IFERROR(+Q61-Q64, 0)</f>
        <v>-2788.01</v>
      </c>
    </row>
    <row r="67" spans="1:17" ht="15.75" thickTop="1" x14ac:dyDescent="0.25">
      <c r="A67" s="5"/>
      <c r="B67" s="5"/>
      <c r="C67" s="5"/>
      <c r="D67" s="4">
        <f t="shared" ref="D67:O67" si="7">IFERROR(D66/D10, 0)</f>
        <v>0</v>
      </c>
      <c r="E67" s="4">
        <f t="shared" si="7"/>
        <v>0</v>
      </c>
      <c r="F67" s="4">
        <f t="shared" si="7"/>
        <v>0</v>
      </c>
      <c r="G67" s="4">
        <f t="shared" si="7"/>
        <v>0</v>
      </c>
      <c r="H67" s="4">
        <f t="shared" si="7"/>
        <v>0</v>
      </c>
      <c r="I67" s="4">
        <f t="shared" si="7"/>
        <v>0</v>
      </c>
      <c r="J67" s="4">
        <f t="shared" si="7"/>
        <v>0</v>
      </c>
      <c r="K67" s="4">
        <f t="shared" si="7"/>
        <v>0</v>
      </c>
      <c r="L67" s="4">
        <f t="shared" si="7"/>
        <v>0</v>
      </c>
      <c r="M67" s="4">
        <f t="shared" si="7"/>
        <v>0</v>
      </c>
      <c r="N67" s="4">
        <f t="shared" si="7"/>
        <v>0</v>
      </c>
      <c r="O67" s="4">
        <f t="shared" si="7"/>
        <v>0</v>
      </c>
      <c r="P67" s="18"/>
      <c r="Q67" s="4">
        <f>IFERROR(Q66/Q10, 0)</f>
        <v>0</v>
      </c>
    </row>
    <row r="68" spans="1:17" x14ac:dyDescent="0.25">
      <c r="A68" s="5"/>
      <c r="B68" s="5"/>
      <c r="C68" s="5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x14ac:dyDescent="0.25">
      <c r="A69" s="5"/>
      <c r="B69" s="5"/>
      <c r="C69" s="5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3"/>
    </row>
    <row r="70" spans="1:17" s="14" customFormat="1" ht="15.75" thickBot="1" x14ac:dyDescent="0.3">
      <c r="A70" s="8"/>
      <c r="B70" s="17" t="s">
        <v>5</v>
      </c>
      <c r="C70" s="17"/>
      <c r="D70" s="7">
        <f t="shared" ref="D70:O70" si="8">IFERROR(SUM(D66:D69), 0)</f>
        <v>-347.4</v>
      </c>
      <c r="E70" s="7">
        <f t="shared" si="8"/>
        <v>-603.72</v>
      </c>
      <c r="F70" s="7">
        <f t="shared" si="8"/>
        <v>-630.27</v>
      </c>
      <c r="G70" s="7">
        <f t="shared" si="8"/>
        <v>-1206.6200000000001</v>
      </c>
      <c r="H70" s="7">
        <f t="shared" si="8"/>
        <v>0</v>
      </c>
      <c r="I70" s="7">
        <f t="shared" si="8"/>
        <v>0</v>
      </c>
      <c r="J70" s="7">
        <f t="shared" si="8"/>
        <v>0</v>
      </c>
      <c r="K70" s="7">
        <f t="shared" si="8"/>
        <v>0</v>
      </c>
      <c r="L70" s="7">
        <f t="shared" si="8"/>
        <v>0</v>
      </c>
      <c r="M70" s="7">
        <f t="shared" si="8"/>
        <v>0</v>
      </c>
      <c r="N70" s="7">
        <f t="shared" si="8"/>
        <v>0</v>
      </c>
      <c r="O70" s="7">
        <f t="shared" si="8"/>
        <v>0</v>
      </c>
      <c r="Q70" s="7">
        <f>IFERROR(SUM(Q66:Q69), 0)</f>
        <v>-2788.01</v>
      </c>
    </row>
    <row r="71" spans="1:17" ht="15.75" thickTop="1" x14ac:dyDescent="0.25">
      <c r="A71" s="5"/>
      <c r="C71" s="5"/>
      <c r="D71" s="4">
        <f t="shared" ref="D71:O71" si="9">IFERROR(D70/D10, 0)</f>
        <v>0</v>
      </c>
      <c r="E71" s="4">
        <f t="shared" si="9"/>
        <v>0</v>
      </c>
      <c r="F71" s="4">
        <f t="shared" si="9"/>
        <v>0</v>
      </c>
      <c r="G71" s="4">
        <f t="shared" si="9"/>
        <v>0</v>
      </c>
      <c r="H71" s="4">
        <f t="shared" si="9"/>
        <v>0</v>
      </c>
      <c r="I71" s="4">
        <f t="shared" si="9"/>
        <v>0</v>
      </c>
      <c r="J71" s="4">
        <f t="shared" si="9"/>
        <v>0</v>
      </c>
      <c r="K71" s="4">
        <f t="shared" si="9"/>
        <v>0</v>
      </c>
      <c r="L71" s="4">
        <f t="shared" si="9"/>
        <v>0</v>
      </c>
      <c r="M71" s="4">
        <f t="shared" si="9"/>
        <v>0</v>
      </c>
      <c r="N71" s="4">
        <f t="shared" si="9"/>
        <v>0</v>
      </c>
      <c r="O71" s="4">
        <f t="shared" si="9"/>
        <v>0</v>
      </c>
      <c r="P71" s="18"/>
      <c r="Q71" s="4">
        <f>IFERROR(Q70/Q10, 0)</f>
        <v>0</v>
      </c>
    </row>
    <row r="72" spans="1:17" x14ac:dyDescent="0.25">
      <c r="A72" s="5"/>
      <c r="B72" s="26">
        <v>44151.564812418983</v>
      </c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Q72" s="12"/>
    </row>
    <row r="73" spans="1:17" x14ac:dyDescent="0.25">
      <c r="A73" s="5"/>
      <c r="B73" s="30" t="s">
        <v>311</v>
      </c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Q73" s="12"/>
    </row>
    <row r="74" spans="1:17" x14ac:dyDescent="0.25">
      <c r="A74" s="5"/>
      <c r="B74" s="31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Q74" s="12"/>
    </row>
    <row r="75" spans="1:17" x14ac:dyDescent="0.25"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Q75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6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","313", " - ", "Convenience Store")</f>
        <v>Department 313 - Convenience Store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collapsed="1" x14ac:dyDescent="0.25">
      <c r="A12" s="22"/>
      <c r="B12" s="16" t="s">
        <v>290</v>
      </c>
      <c r="C12" s="23"/>
      <c r="D12" s="3">
        <f>SUM(OSRRefD14x_0)</f>
        <v>0</v>
      </c>
      <c r="E12" s="3">
        <f>SUM(OSRRefD14x_1)</f>
        <v>-613.59</v>
      </c>
      <c r="F12" s="3">
        <f>SUM(OSRRefD14x_2)</f>
        <v>0</v>
      </c>
      <c r="G12" s="3">
        <f>SUM(OSRRefD14x_3)</f>
        <v>0</v>
      </c>
      <c r="H12" s="3">
        <f>SUM(OSRRefE14x_0)</f>
        <v>0</v>
      </c>
      <c r="I12" s="3">
        <f>SUM(OSRRefE14x_1)</f>
        <v>0</v>
      </c>
      <c r="J12" s="3">
        <f>SUM(OSRRefE14x_2)</f>
        <v>0</v>
      </c>
      <c r="K12" s="3">
        <f>SUM(OSRRefE14x_3)</f>
        <v>0</v>
      </c>
      <c r="L12" s="3">
        <f>SUM(OSRRefE14x_4)</f>
        <v>0</v>
      </c>
      <c r="M12" s="3">
        <f>SUM(OSRRefE14x_5)</f>
        <v>0</v>
      </c>
      <c r="N12" s="3">
        <f>SUM(OSRRefE14x_6)</f>
        <v>0</v>
      </c>
      <c r="O12" s="3">
        <f>SUM(OSRRefE14x_7)</f>
        <v>0</v>
      </c>
      <c r="Q12" s="3">
        <f>SUM(OSRRefG14x)</f>
        <v>-613.59</v>
      </c>
    </row>
    <row r="13" spans="1:18" s="9" customFormat="1" hidden="1" outlineLevel="1" x14ac:dyDescent="0.25">
      <c r="A13" s="22"/>
      <c r="B13" s="13" t="str">
        <f>CONCATENATE("          ","5053", " - ","PURCHASES @ COST-FOOD")</f>
        <v xml:space="preserve">          5053 - PURCHASES @ COST-FOOD</v>
      </c>
      <c r="C13" s="23"/>
      <c r="D13" s="2"/>
      <c r="E13" s="2">
        <v>-613.59</v>
      </c>
      <c r="F13" s="2"/>
      <c r="G13" s="2"/>
      <c r="H13" s="2"/>
      <c r="I13" s="2"/>
      <c r="J13" s="2"/>
      <c r="K13" s="2"/>
      <c r="L13" s="2"/>
      <c r="M13" s="2"/>
      <c r="N13" s="2"/>
      <c r="O13" s="2"/>
      <c r="Q13" s="2">
        <f>SUM(OSRRefD14_0x)+IFERROR(SUM(OSRRefE14_0x),0)</f>
        <v>-613.59</v>
      </c>
    </row>
    <row r="14" spans="1:18" x14ac:dyDescent="0.25">
      <c r="A14" s="5"/>
      <c r="B14" s="8"/>
      <c r="C14" s="8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4" customFormat="1" x14ac:dyDescent="0.25">
      <c r="A15" s="8"/>
      <c r="B15" s="17" t="s">
        <v>6</v>
      </c>
      <c r="C15" s="17"/>
      <c r="D15" s="6">
        <f t="shared" ref="D15:O15" si="1">IFERROR(+D10-D12, 0)</f>
        <v>0</v>
      </c>
      <c r="E15" s="6">
        <f t="shared" si="1"/>
        <v>613.59</v>
      </c>
      <c r="F15" s="6">
        <f t="shared" si="1"/>
        <v>0</v>
      </c>
      <c r="G15" s="6">
        <f t="shared" si="1"/>
        <v>0</v>
      </c>
      <c r="H15" s="6">
        <f t="shared" si="1"/>
        <v>0</v>
      </c>
      <c r="I15" s="6">
        <f t="shared" si="1"/>
        <v>0</v>
      </c>
      <c r="J15" s="6">
        <f t="shared" si="1"/>
        <v>0</v>
      </c>
      <c r="K15" s="6">
        <f t="shared" si="1"/>
        <v>0</v>
      </c>
      <c r="L15" s="6">
        <f t="shared" si="1"/>
        <v>0</v>
      </c>
      <c r="M15" s="6">
        <f t="shared" si="1"/>
        <v>0</v>
      </c>
      <c r="N15" s="6">
        <f t="shared" si="1"/>
        <v>0</v>
      </c>
      <c r="O15" s="6">
        <f t="shared" si="1"/>
        <v>0</v>
      </c>
      <c r="Q15" s="6">
        <f>IFERROR(+Q10-Q12, 0)</f>
        <v>613.59</v>
      </c>
    </row>
    <row r="16" spans="1:18" s="8" customFormat="1" x14ac:dyDescent="0.25">
      <c r="B16" s="16"/>
      <c r="C16" s="16"/>
      <c r="D16" s="4">
        <f t="shared" ref="D16:O16" si="2">IFERROR(D15/D10, 0)</f>
        <v>0</v>
      </c>
      <c r="E16" s="4">
        <f t="shared" si="2"/>
        <v>0</v>
      </c>
      <c r="F16" s="4">
        <f t="shared" si="2"/>
        <v>0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18"/>
      <c r="Q16" s="4">
        <f>IFERROR(Q15/Q10, 0)</f>
        <v>0</v>
      </c>
    </row>
    <row r="17" spans="1:17" x14ac:dyDescent="0.25">
      <c r="A17" s="5"/>
      <c r="B17" s="8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4" customFormat="1" x14ac:dyDescent="0.25">
      <c r="A18" s="8"/>
      <c r="B18" s="16" t="s">
        <v>291</v>
      </c>
      <c r="C18" s="8"/>
      <c r="D18" s="10">
        <f>SUM(OSRRefD20x_0)</f>
        <v>9677.16</v>
      </c>
      <c r="E18" s="10">
        <f>SUM(OSRRefD20x_1)</f>
        <v>9678.07</v>
      </c>
      <c r="F18" s="10">
        <f>SUM(OSRRefD20x_2)</f>
        <v>9582.5499999999993</v>
      </c>
      <c r="G18" s="10">
        <f>SUM(OSRRefD20x_3)</f>
        <v>8727.58</v>
      </c>
      <c r="H18" s="10">
        <f>SUM(OSRRefE20x_0)</f>
        <v>175</v>
      </c>
      <c r="I18" s="10">
        <f>SUM(OSRRefE20x_1)</f>
        <v>175</v>
      </c>
      <c r="J18" s="10">
        <f>SUM(OSRRefE20x_2)</f>
        <v>235</v>
      </c>
      <c r="K18" s="10">
        <f>SUM(OSRRefE20x_3)</f>
        <v>175</v>
      </c>
      <c r="L18" s="10">
        <f>SUM(OSRRefE20x_4)</f>
        <v>175</v>
      </c>
      <c r="M18" s="10">
        <f>SUM(OSRRefE20x_5)</f>
        <v>175</v>
      </c>
      <c r="N18" s="10">
        <f>SUM(OSRRefE20x_6)</f>
        <v>175</v>
      </c>
      <c r="O18" s="10">
        <f>SUM(OSRRefE20x_7)</f>
        <v>175</v>
      </c>
      <c r="Q18" s="10">
        <f>SUM(OSRRefG20x)</f>
        <v>39125.360000000001</v>
      </c>
    </row>
    <row r="19" spans="1:17" s="34" customFormat="1" collapsed="1" x14ac:dyDescent="0.25">
      <c r="A19" s="35"/>
      <c r="B19" s="15" t="str">
        <f>CONCATENATE("     ","*Benefits                                         ")</f>
        <v xml:space="preserve">     *Benefits                                         </v>
      </c>
      <c r="C19" s="15"/>
      <c r="D19" s="1">
        <f>SUM(OSRRefD21_0x_0)</f>
        <v>4101.83</v>
      </c>
      <c r="E19" s="1">
        <f>SUM(OSRRefD21_0x_1)</f>
        <v>3925.4199999999996</v>
      </c>
      <c r="F19" s="1">
        <f>SUM(OSRRefD21_0x_2)</f>
        <v>3929.6699999999996</v>
      </c>
      <c r="G19" s="1">
        <f>SUM(OSRRefD21_0x_3)</f>
        <v>4181.12</v>
      </c>
      <c r="H19" s="1">
        <f>SUM(OSRRefE21_0x_0)</f>
        <v>175</v>
      </c>
      <c r="I19" s="1">
        <f>SUM(OSRRefE21_0x_1)</f>
        <v>175</v>
      </c>
      <c r="J19" s="1">
        <f>SUM(OSRRefE21_0x_2)</f>
        <v>175</v>
      </c>
      <c r="K19" s="1">
        <f>SUM(OSRRefE21_0x_3)</f>
        <v>175</v>
      </c>
      <c r="L19" s="1">
        <f>SUM(OSRRefE21_0x_4)</f>
        <v>175</v>
      </c>
      <c r="M19" s="1">
        <f>SUM(OSRRefE21_0x_5)</f>
        <v>175</v>
      </c>
      <c r="N19" s="1">
        <f>SUM(OSRRefE21_0x_6)</f>
        <v>175</v>
      </c>
      <c r="O19" s="1">
        <f>SUM(OSRRefE21_0x_7)</f>
        <v>175</v>
      </c>
      <c r="Q19" s="2">
        <f>SUM(OSRRefD20_0x)+IFERROR(SUM(OSRRefE20_0x),0)</f>
        <v>17538.04</v>
      </c>
    </row>
    <row r="20" spans="1:17" s="34" customFormat="1" hidden="1" outlineLevel="1" x14ac:dyDescent="0.25">
      <c r="A20" s="35"/>
      <c r="B20" s="13" t="str">
        <f>CONCATENATE("          ","6111", " - ","F.I.C.A.")</f>
        <v xml:space="preserve">          6111 - F.I.C.A.</v>
      </c>
      <c r="C20" s="15"/>
      <c r="D20" s="2">
        <v>383.82</v>
      </c>
      <c r="E20" s="2">
        <v>357.68</v>
      </c>
      <c r="F20" s="2">
        <v>357.68</v>
      </c>
      <c r="G20" s="2">
        <v>646.33000000000004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9"/>
      <c r="Q20" s="2">
        <f>SUM(OSRRefD21_0_0x)+IFERROR(SUM(OSRRefE21_0_0x),0)</f>
        <v>1745.5100000000002</v>
      </c>
    </row>
    <row r="21" spans="1:17" s="34" customFormat="1" hidden="1" outlineLevel="1" x14ac:dyDescent="0.25">
      <c r="A21" s="35"/>
      <c r="B21" s="13" t="str">
        <f>CONCATENATE("          ","6112", " - ","COMPENSATION INSURANCE")</f>
        <v xml:space="preserve">          6112 - COMPENSATION INSURANCE</v>
      </c>
      <c r="C21" s="15"/>
      <c r="D21" s="2">
        <v>92.82</v>
      </c>
      <c r="E21" s="2">
        <v>86.5</v>
      </c>
      <c r="F21" s="2">
        <v>86.5</v>
      </c>
      <c r="G21" s="2">
        <v>86.5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9"/>
      <c r="Q21" s="2">
        <f>SUM(OSRRefD21_0_1x)+IFERROR(SUM(OSRRefE21_0_1x),0)</f>
        <v>352.32</v>
      </c>
    </row>
    <row r="22" spans="1:17" s="34" customFormat="1" hidden="1" outlineLevel="1" x14ac:dyDescent="0.25">
      <c r="A22" s="35"/>
      <c r="B22" s="13" t="str">
        <f>CONCATENATE("          ","6113", " - ","GROUP INSURANCE")</f>
        <v xml:space="preserve">          6113 - GROUP INSURANCE</v>
      </c>
      <c r="C22" s="15"/>
      <c r="D22" s="2">
        <v>2021.26</v>
      </c>
      <c r="E22" s="2">
        <v>2021.26</v>
      </c>
      <c r="F22" s="2">
        <v>2021.26</v>
      </c>
      <c r="G22" s="2">
        <v>2021.26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SUM(OSRRefD21_0_2x)+IFERROR(SUM(OSRRefE21_0_2x),0)</f>
        <v>8085.04</v>
      </c>
    </row>
    <row r="23" spans="1:17" s="34" customFormat="1" hidden="1" outlineLevel="1" x14ac:dyDescent="0.25">
      <c r="A23" s="35"/>
      <c r="B23" s="13" t="str">
        <f>CONCATENATE("          ","6114", " - ","STATE UNEMPLOYMENT INSURANCE")</f>
        <v xml:space="preserve">          6114 - STATE UNEMPLOYMENT INSURANCE</v>
      </c>
      <c r="C23" s="15"/>
      <c r="D23" s="2">
        <v>13.04</v>
      </c>
      <c r="E23" s="2">
        <v>12.16</v>
      </c>
      <c r="F23" s="2">
        <v>12.16</v>
      </c>
      <c r="G23" s="2">
        <v>12.16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SUM(OSRRefD21_0_3x)+IFERROR(SUM(OSRRefE21_0_3x),0)</f>
        <v>49.519999999999996</v>
      </c>
    </row>
    <row r="24" spans="1:17" s="34" customFormat="1" hidden="1" outlineLevel="1" x14ac:dyDescent="0.25">
      <c r="A24" s="35"/>
      <c r="B24" s="13" t="str">
        <f>CONCATENATE("          ","6115", " - ","P.E.R.S.")</f>
        <v xml:space="preserve">          6115 - P.E.R.S.</v>
      </c>
      <c r="C24" s="15"/>
      <c r="D24" s="2">
        <v>921.09</v>
      </c>
      <c r="E24" s="2">
        <v>614.05999999999995</v>
      </c>
      <c r="F24" s="2">
        <v>614.05999999999995</v>
      </c>
      <c r="G24" s="2">
        <v>368.43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SUM(OSRRefD21_0_4x)+IFERROR(SUM(OSRRefE21_0_4x),0)</f>
        <v>2517.64</v>
      </c>
    </row>
    <row r="25" spans="1:17" s="34" customFormat="1" hidden="1" outlineLevel="1" x14ac:dyDescent="0.25">
      <c r="A25" s="35"/>
      <c r="B25" s="13" t="str">
        <f>CONCATENATE("          ","6116", " - ","EDUCATIONAL BENEFITS")</f>
        <v xml:space="preserve">          6116 - EDUCATIONAL BENEFITS</v>
      </c>
      <c r="C25" s="15"/>
      <c r="D25" s="2"/>
      <c r="E25" s="2"/>
      <c r="F25" s="2"/>
      <c r="G25" s="2"/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SUM(OSRRefD21_0_5x)+IFERROR(SUM(OSRRefE21_0_5x),0)</f>
        <v>0</v>
      </c>
    </row>
    <row r="26" spans="1:17" s="34" customFormat="1" hidden="1" outlineLevel="1" x14ac:dyDescent="0.25">
      <c r="A26" s="35"/>
      <c r="B26" s="13" t="str">
        <f>CONCATENATE("          ","6118", " - ","VACATION")</f>
        <v xml:space="preserve">          6118 - VACATION</v>
      </c>
      <c r="C26" s="15"/>
      <c r="D26" s="2">
        <v>407.06</v>
      </c>
      <c r="E26" s="2">
        <v>407.06</v>
      </c>
      <c r="F26" s="2">
        <v>407.06</v>
      </c>
      <c r="G26" s="2">
        <v>610.59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SUM(OSRRefD21_0_6x)+IFERROR(SUM(OSRRefE21_0_6x),0)</f>
        <v>1831.77</v>
      </c>
    </row>
    <row r="27" spans="1:17" s="34" customFormat="1" hidden="1" outlineLevel="1" x14ac:dyDescent="0.25">
      <c r="A27" s="35"/>
      <c r="B27" s="13" t="str">
        <f>CONCATENATE("          ","6119", " - ","SICK LEAVE")</f>
        <v xml:space="preserve">          6119 - SICK LEAVE</v>
      </c>
      <c r="C27" s="15"/>
      <c r="D27" s="2">
        <v>256.76</v>
      </c>
      <c r="E27" s="2">
        <v>256.76</v>
      </c>
      <c r="F27" s="2">
        <v>256.76</v>
      </c>
      <c r="G27" s="2">
        <v>385.14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SUM(OSRRefD21_0_7x)+IFERROR(SUM(OSRRefE21_0_7x),0)</f>
        <v>1155.42</v>
      </c>
    </row>
    <row r="28" spans="1:17" s="34" customFormat="1" hidden="1" outlineLevel="1" x14ac:dyDescent="0.25">
      <c r="A28" s="35"/>
      <c r="B28" s="13" t="str">
        <f>CONCATENATE("          ","6156", " - ","EMPLOYEE MEALS")</f>
        <v xml:space="preserve">          6156 - EMPLOYEE MEALS</v>
      </c>
      <c r="C28" s="15"/>
      <c r="D28" s="2">
        <v>5.98</v>
      </c>
      <c r="E28" s="2">
        <v>169.94</v>
      </c>
      <c r="F28" s="2">
        <v>174.19</v>
      </c>
      <c r="G28" s="2">
        <v>50.71</v>
      </c>
      <c r="H28" s="2">
        <v>175</v>
      </c>
      <c r="I28" s="2">
        <v>175</v>
      </c>
      <c r="J28" s="2">
        <v>175</v>
      </c>
      <c r="K28" s="2">
        <v>175</v>
      </c>
      <c r="L28" s="2">
        <v>175</v>
      </c>
      <c r="M28" s="2">
        <v>175</v>
      </c>
      <c r="N28" s="2">
        <v>175</v>
      </c>
      <c r="O28" s="2">
        <v>175</v>
      </c>
      <c r="P28" s="9"/>
      <c r="Q28" s="2">
        <f>SUM(OSRRefD21_0_8x)+IFERROR(SUM(OSRRefE21_0_8x),0)</f>
        <v>1800.82</v>
      </c>
    </row>
    <row r="29" spans="1:17" s="34" customFormat="1" collapsed="1" x14ac:dyDescent="0.25">
      <c r="A29" s="35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5393.03</v>
      </c>
      <c r="E29" s="1">
        <f>SUM(OSRRefD21_1x_1)</f>
        <v>5566.66</v>
      </c>
      <c r="F29" s="1">
        <f>SUM(OSRRefD21_1x_2)</f>
        <v>5392.7</v>
      </c>
      <c r="G29" s="1">
        <f>SUM(OSRRefD21_1x_3)</f>
        <v>4279.03</v>
      </c>
      <c r="H29" s="1">
        <f>SUM(OSRRefE21_1x_0)</f>
        <v>0</v>
      </c>
      <c r="I29" s="1">
        <f>SUM(OSRRefE21_1x_1)</f>
        <v>0</v>
      </c>
      <c r="J29" s="1">
        <f>SUM(OSRRefE21_1x_2)</f>
        <v>0</v>
      </c>
      <c r="K29" s="1">
        <f>SUM(OSRRefE21_1x_3)</f>
        <v>0</v>
      </c>
      <c r="L29" s="1">
        <f>SUM(OSRRefE21_1x_4)</f>
        <v>0</v>
      </c>
      <c r="M29" s="1">
        <f>SUM(OSRRefE21_1x_5)</f>
        <v>0</v>
      </c>
      <c r="N29" s="1">
        <f>SUM(OSRRefE21_1x_6)</f>
        <v>0</v>
      </c>
      <c r="O29" s="1">
        <f>SUM(OSRRefE21_1x_7)</f>
        <v>0</v>
      </c>
      <c r="Q29" s="2">
        <f>SUM(OSRRefD20_1x)+IFERROR(SUM(OSRRefE20_1x),0)</f>
        <v>20631.419999999998</v>
      </c>
    </row>
    <row r="30" spans="1:17" s="34" customFormat="1" hidden="1" outlineLevel="1" x14ac:dyDescent="0.25">
      <c r="A30" s="35"/>
      <c r="B30" s="13" t="str">
        <f>CONCATENATE("          ","6001", " - ","ADMINISTRATIVE SALARIES")</f>
        <v xml:space="preserve">          6001 - ADMINISTRATIVE SALARIES</v>
      </c>
      <c r="C30" s="15"/>
      <c r="D30" s="2"/>
      <c r="E30" s="2"/>
      <c r="F30" s="2"/>
      <c r="G30" s="2"/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4" customFormat="1" hidden="1" outlineLevel="1" x14ac:dyDescent="0.25">
      <c r="A31" s="35"/>
      <c r="B31" s="13" t="str">
        <f>CONCATENATE("          ","6002", " - ","STAFF SALARIES")</f>
        <v xml:space="preserve">          6002 - STAFF SALARIES</v>
      </c>
      <c r="C31" s="15"/>
      <c r="D31" s="2">
        <v>5393.03</v>
      </c>
      <c r="E31" s="2">
        <v>5566.66</v>
      </c>
      <c r="F31" s="2">
        <v>5392.7</v>
      </c>
      <c r="G31" s="2">
        <v>4279.03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20631.419999999998</v>
      </c>
    </row>
    <row r="32" spans="1:17" s="34" customFormat="1" hidden="1" outlineLevel="1" x14ac:dyDescent="0.25">
      <c r="A32" s="35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25">
      <c r="A33" s="35"/>
      <c r="B33" s="13" t="str">
        <f>CONCATENATE("          ","6004", " - ","STAFF HOURLY")</f>
        <v xml:space="preserve">          6004 - STAFF HOURLY</v>
      </c>
      <c r="C33" s="15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0</v>
      </c>
    </row>
    <row r="34" spans="1:17" s="34" customFormat="1" hidden="1" outlineLevel="1" x14ac:dyDescent="0.25">
      <c r="A34" s="35"/>
      <c r="B34" s="13" t="str">
        <f>CONCATENATE("          ","6005", " - ","TEMPORARY WAGES-HOURLY")</f>
        <v xml:space="preserve">          6005 - TEMPORARY WAGES-HOURLY</v>
      </c>
      <c r="C34" s="15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4" customFormat="1" hidden="1" outlineLevel="1" x14ac:dyDescent="0.25">
      <c r="A35" s="35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4" customFormat="1" hidden="1" outlineLevel="1" x14ac:dyDescent="0.25">
      <c r="A36" s="35"/>
      <c r="B36" s="13" t="str">
        <f>CONCATENATE("          ","6007", " - ","STUDENT HOURLY")</f>
        <v xml:space="preserve">          6007 - STUDENT HOURLY</v>
      </c>
      <c r="C36" s="15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4" customFormat="1" hidden="1" outlineLevel="1" x14ac:dyDescent="0.25">
      <c r="A37" s="35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4" customFormat="1" hidden="1" outlineLevel="1" x14ac:dyDescent="0.25">
      <c r="A38" s="35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25">
      <c r="A39" s="35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25">
      <c r="A40" s="35"/>
      <c r="B40" s="15" t="str">
        <f>CONCATENATE("     ","Bank/card Fees                                    ")</f>
        <v xml:space="preserve">     Bank/card Fees                                    </v>
      </c>
      <c r="C40" s="15"/>
      <c r="D40" s="1">
        <f>SUM(OSRRefD21_2x_0)</f>
        <v>60</v>
      </c>
      <c r="E40" s="1">
        <f>SUM(OSRRefD21_2x_1)</f>
        <v>60</v>
      </c>
      <c r="F40" s="1">
        <f>SUM(OSRRefD21_2x_2)</f>
        <v>60</v>
      </c>
      <c r="G40" s="1">
        <f>SUM(OSRRefD21_2x_3)</f>
        <v>60</v>
      </c>
      <c r="H40" s="1">
        <f>SUM(OSRRefE21_2x_0)</f>
        <v>0</v>
      </c>
      <c r="I40" s="1">
        <f>SUM(OSRRefE21_2x_1)</f>
        <v>0</v>
      </c>
      <c r="J40" s="1">
        <f>SUM(OSRRefE21_2x_2)</f>
        <v>0</v>
      </c>
      <c r="K40" s="1">
        <f>SUM(OSRRefE21_2x_3)</f>
        <v>0</v>
      </c>
      <c r="L40" s="1">
        <f>SUM(OSRRefE21_2x_4)</f>
        <v>0</v>
      </c>
      <c r="M40" s="1">
        <f>SUM(OSRRefE21_2x_5)</f>
        <v>0</v>
      </c>
      <c r="N40" s="1">
        <f>SUM(OSRRefE21_2x_6)</f>
        <v>0</v>
      </c>
      <c r="O40" s="1">
        <f>SUM(OSRRefE21_2x_7)</f>
        <v>0</v>
      </c>
      <c r="Q40" s="2">
        <f>SUM(OSRRefD20_2x)+IFERROR(SUM(OSRRefE20_2x),0)</f>
        <v>240</v>
      </c>
    </row>
    <row r="41" spans="1:17" s="34" customFormat="1" hidden="1" outlineLevel="1" x14ac:dyDescent="0.25">
      <c r="A41" s="35"/>
      <c r="B41" s="13" t="str">
        <f>CONCATENATE("          ","6381", " - ","BANK/CREDIT CARD FEES")</f>
        <v xml:space="preserve">          6381 - BANK/CREDIT CARD FEES</v>
      </c>
      <c r="C41" s="15"/>
      <c r="D41" s="2">
        <v>60</v>
      </c>
      <c r="E41" s="2">
        <v>60</v>
      </c>
      <c r="F41" s="2">
        <v>60</v>
      </c>
      <c r="G41" s="2">
        <v>60</v>
      </c>
      <c r="H41" s="2"/>
      <c r="I41" s="2"/>
      <c r="J41" s="2"/>
      <c r="K41" s="2"/>
      <c r="L41" s="2"/>
      <c r="M41" s="2"/>
      <c r="N41" s="2"/>
      <c r="O41" s="2"/>
      <c r="P41" s="9"/>
      <c r="Q41" s="2">
        <f>SUM(OSRRefD21_2_0x)+IFERROR(SUM(OSRRefE21_2_0x),0)</f>
        <v>240</v>
      </c>
    </row>
    <row r="42" spans="1:17" s="34" customFormat="1" collapsed="1" x14ac:dyDescent="0.25">
      <c r="A42" s="35"/>
      <c r="B42" s="15" t="str">
        <f>CONCATENATE("     ","Freight out/Postage                               ")</f>
        <v xml:space="preserve">     Freight out/Postage                               </v>
      </c>
      <c r="C42" s="15"/>
      <c r="D42" s="1">
        <f>SUM(OSRRefD21_3x_0)</f>
        <v>0</v>
      </c>
      <c r="E42" s="1">
        <f>SUM(OSRRefD21_3x_1)</f>
        <v>3.94</v>
      </c>
      <c r="F42" s="1">
        <f>SUM(OSRRefD21_3x_2)</f>
        <v>6.06</v>
      </c>
      <c r="G42" s="1">
        <f>SUM(OSRRefD21_3x_3)</f>
        <v>85.43</v>
      </c>
      <c r="H42" s="1">
        <f>SUM(OSRRefE21_3x_0)</f>
        <v>0</v>
      </c>
      <c r="I42" s="1">
        <f>SUM(OSRRefE21_3x_1)</f>
        <v>0</v>
      </c>
      <c r="J42" s="1">
        <f>SUM(OSRRefE21_3x_2)</f>
        <v>0</v>
      </c>
      <c r="K42" s="1">
        <f>SUM(OSRRefE21_3x_3)</f>
        <v>0</v>
      </c>
      <c r="L42" s="1">
        <f>SUM(OSRRefE21_3x_4)</f>
        <v>0</v>
      </c>
      <c r="M42" s="1">
        <f>SUM(OSRRefE21_3x_5)</f>
        <v>0</v>
      </c>
      <c r="N42" s="1">
        <f>SUM(OSRRefE21_3x_6)</f>
        <v>0</v>
      </c>
      <c r="O42" s="1">
        <f>SUM(OSRRefE21_3x_7)</f>
        <v>0</v>
      </c>
      <c r="Q42" s="2">
        <f>SUM(OSRRefD20_3x)+IFERROR(SUM(OSRRefE20_3x),0)</f>
        <v>95.43</v>
      </c>
    </row>
    <row r="43" spans="1:17" s="34" customFormat="1" hidden="1" outlineLevel="1" x14ac:dyDescent="0.25">
      <c r="A43" s="35"/>
      <c r="B43" s="13" t="str">
        <f>CONCATENATE("          ","6305", " - ","FREIGHT OUT")</f>
        <v xml:space="preserve">          6305 - FREIGHT OUT</v>
      </c>
      <c r="C43" s="15"/>
      <c r="D43" s="2"/>
      <c r="E43" s="2">
        <v>3.94</v>
      </c>
      <c r="F43" s="2">
        <v>6.06</v>
      </c>
      <c r="G43" s="2">
        <v>85.43</v>
      </c>
      <c r="H43" s="2"/>
      <c r="I43" s="2"/>
      <c r="J43" s="2"/>
      <c r="K43" s="2"/>
      <c r="L43" s="2"/>
      <c r="M43" s="2"/>
      <c r="N43" s="2"/>
      <c r="O43" s="2"/>
      <c r="P43" s="9"/>
      <c r="Q43" s="2">
        <f>SUM(OSRRefD21_3_0x)+IFERROR(SUM(OSRRefE21_3_0x),0)</f>
        <v>95.43</v>
      </c>
    </row>
    <row r="44" spans="1:17" s="34" customFormat="1" collapsed="1" x14ac:dyDescent="0.25">
      <c r="A44" s="35"/>
      <c r="B44" s="15" t="str">
        <f>CONCATENATE("     ","Repair and Maintenance                            ")</f>
        <v xml:space="preserve">     Repair and Maintenance                            </v>
      </c>
      <c r="C44" s="15"/>
      <c r="D44" s="1">
        <f>SUM(OSRRefD21_4x_0)</f>
        <v>0</v>
      </c>
      <c r="E44" s="1">
        <f>SUM(OSRRefD21_4x_1)</f>
        <v>0</v>
      </c>
      <c r="F44" s="1">
        <f>SUM(OSRRefD21_4x_2)</f>
        <v>24.12</v>
      </c>
      <c r="G44" s="1">
        <f>SUM(OSRRefD21_4x_3)</f>
        <v>0</v>
      </c>
      <c r="H44" s="1">
        <f>SUM(OSRRefE21_4x_0)</f>
        <v>0</v>
      </c>
      <c r="I44" s="1">
        <f>SUM(OSRRefE21_4x_1)</f>
        <v>0</v>
      </c>
      <c r="J44" s="1">
        <f>SUM(OSRRefE21_4x_2)</f>
        <v>0</v>
      </c>
      <c r="K44" s="1">
        <f>SUM(OSRRefE21_4x_3)</f>
        <v>0</v>
      </c>
      <c r="L44" s="1">
        <f>SUM(OSRRefE21_4x_4)</f>
        <v>0</v>
      </c>
      <c r="M44" s="1">
        <f>SUM(OSRRefE21_4x_5)</f>
        <v>0</v>
      </c>
      <c r="N44" s="1">
        <f>SUM(OSRRefE21_4x_6)</f>
        <v>0</v>
      </c>
      <c r="O44" s="1">
        <f>SUM(OSRRefE21_4x_7)</f>
        <v>0</v>
      </c>
      <c r="Q44" s="2">
        <f>SUM(OSRRefD20_4x)+IFERROR(SUM(OSRRefE20_4x),0)</f>
        <v>24.12</v>
      </c>
    </row>
    <row r="45" spans="1:17" s="34" customFormat="1" hidden="1" outlineLevel="1" x14ac:dyDescent="0.25">
      <c r="A45" s="35"/>
      <c r="B45" s="13" t="str">
        <f>CONCATENATE("          ","6373", " - ","MAINTENANCE CONTRACTS")</f>
        <v xml:space="preserve">          6373 - MAINTENANCE CONTRACTS</v>
      </c>
      <c r="C45" s="15"/>
      <c r="D45" s="2"/>
      <c r="E45" s="2"/>
      <c r="F45" s="2">
        <v>24.12</v>
      </c>
      <c r="G45" s="2"/>
      <c r="H45" s="2"/>
      <c r="I45" s="2"/>
      <c r="J45" s="2"/>
      <c r="K45" s="2"/>
      <c r="L45" s="2"/>
      <c r="M45" s="2"/>
      <c r="N45" s="2"/>
      <c r="O45" s="2"/>
      <c r="P45" s="9"/>
      <c r="Q45" s="2">
        <f>SUM(OSRRefD21_4_0x)+IFERROR(SUM(OSRRefE21_4_0x),0)</f>
        <v>24.12</v>
      </c>
    </row>
    <row r="46" spans="1:17" s="34" customFormat="1" collapsed="1" x14ac:dyDescent="0.25">
      <c r="A46" s="35"/>
      <c r="B46" s="15" t="str">
        <f>CONCATENATE("     ","Supplies                                          ")</f>
        <v xml:space="preserve">     Supplies                                          </v>
      </c>
      <c r="C46" s="15"/>
      <c r="D46" s="1">
        <f>SUM(OSRRefD21_5x_0)</f>
        <v>0</v>
      </c>
      <c r="E46" s="1">
        <f>SUM(OSRRefD21_5x_1)</f>
        <v>0</v>
      </c>
      <c r="F46" s="1">
        <f>SUM(OSRRefD21_5x_2)</f>
        <v>0</v>
      </c>
      <c r="G46" s="1">
        <f>SUM(OSRRefD21_5x_3)</f>
        <v>0</v>
      </c>
      <c r="H46" s="1">
        <f>SUM(OSRRefE21_5x_0)</f>
        <v>0</v>
      </c>
      <c r="I46" s="1">
        <f>SUM(OSRRefE21_5x_1)</f>
        <v>0</v>
      </c>
      <c r="J46" s="1">
        <f>SUM(OSRRefE21_5x_2)</f>
        <v>0</v>
      </c>
      <c r="K46" s="1">
        <f>SUM(OSRRefE21_5x_3)</f>
        <v>0</v>
      </c>
      <c r="L46" s="1">
        <f>SUM(OSRRefE21_5x_4)</f>
        <v>0</v>
      </c>
      <c r="M46" s="1">
        <f>SUM(OSRRefE21_5x_5)</f>
        <v>0</v>
      </c>
      <c r="N46" s="1">
        <f>SUM(OSRRefE21_5x_6)</f>
        <v>0</v>
      </c>
      <c r="O46" s="1">
        <f>SUM(OSRRefE21_5x_7)</f>
        <v>0</v>
      </c>
      <c r="Q46" s="2">
        <f>SUM(OSRRefD20_5x)+IFERROR(SUM(OSRRefE20_5x),0)</f>
        <v>0</v>
      </c>
    </row>
    <row r="47" spans="1:17" s="34" customFormat="1" hidden="1" outlineLevel="1" x14ac:dyDescent="0.25">
      <c r="A47" s="35"/>
      <c r="B47" s="13" t="str">
        <f>CONCATENATE("          ","6248", " - ","UNIFORMS")</f>
        <v xml:space="preserve">          6248 - UNIFORMS</v>
      </c>
      <c r="C47" s="15"/>
      <c r="D47" s="2"/>
      <c r="E47" s="2"/>
      <c r="F47" s="2"/>
      <c r="G47" s="2"/>
      <c r="H47" s="2"/>
      <c r="I47" s="2"/>
      <c r="J47" s="2">
        <v>0</v>
      </c>
      <c r="K47" s="2"/>
      <c r="L47" s="2"/>
      <c r="M47" s="2"/>
      <c r="N47" s="2"/>
      <c r="O47" s="2"/>
      <c r="P47" s="9"/>
      <c r="Q47" s="2">
        <f>SUM(OSRRefD21_5_0x)+IFERROR(SUM(OSRRefE21_5_0x),0)</f>
        <v>0</v>
      </c>
    </row>
    <row r="48" spans="1:17" s="34" customFormat="1" collapsed="1" x14ac:dyDescent="0.25">
      <c r="A48" s="35"/>
      <c r="B48" s="15" t="str">
        <f>CONCATENATE("     ","Telephone/Data Lines                              ")</f>
        <v xml:space="preserve">     Telephone/Data Lines                              </v>
      </c>
      <c r="C48" s="15"/>
      <c r="D48" s="1">
        <f>SUM(OSRRefD21_6x_0)</f>
        <v>122.3</v>
      </c>
      <c r="E48" s="1">
        <f>SUM(OSRRefD21_6x_1)</f>
        <v>122.05</v>
      </c>
      <c r="F48" s="1">
        <f>SUM(OSRRefD21_6x_2)</f>
        <v>170</v>
      </c>
      <c r="G48" s="1">
        <f>SUM(OSRRefD21_6x_3)</f>
        <v>122</v>
      </c>
      <c r="H48" s="1">
        <f>SUM(OSRRefE21_6x_0)</f>
        <v>0</v>
      </c>
      <c r="I48" s="1">
        <f>SUM(OSRRefE21_6x_1)</f>
        <v>0</v>
      </c>
      <c r="J48" s="1">
        <f>SUM(OSRRefE21_6x_2)</f>
        <v>0</v>
      </c>
      <c r="K48" s="1">
        <f>SUM(OSRRefE21_6x_3)</f>
        <v>0</v>
      </c>
      <c r="L48" s="1">
        <f>SUM(OSRRefE21_6x_4)</f>
        <v>0</v>
      </c>
      <c r="M48" s="1">
        <f>SUM(OSRRefE21_6x_5)</f>
        <v>0</v>
      </c>
      <c r="N48" s="1">
        <f>SUM(OSRRefE21_6x_6)</f>
        <v>0</v>
      </c>
      <c r="O48" s="1">
        <f>SUM(OSRRefE21_6x_7)</f>
        <v>0</v>
      </c>
      <c r="Q48" s="2">
        <f>SUM(OSRRefD20_6x)+IFERROR(SUM(OSRRefE20_6x),0)</f>
        <v>536.35</v>
      </c>
    </row>
    <row r="49" spans="1:17" s="34" customFormat="1" hidden="1" outlineLevel="1" x14ac:dyDescent="0.25">
      <c r="A49" s="35"/>
      <c r="B49" s="13" t="str">
        <f>CONCATENATE("          ","6309", " - ","TELEPHONE")</f>
        <v xml:space="preserve">          6309 - TELEPHONE</v>
      </c>
      <c r="C49" s="15"/>
      <c r="D49" s="2">
        <v>122.3</v>
      </c>
      <c r="E49" s="2">
        <v>122.05</v>
      </c>
      <c r="F49" s="2">
        <v>170</v>
      </c>
      <c r="G49" s="2">
        <v>122</v>
      </c>
      <c r="H49" s="2"/>
      <c r="I49" s="2"/>
      <c r="J49" s="2"/>
      <c r="K49" s="2"/>
      <c r="L49" s="2"/>
      <c r="M49" s="2"/>
      <c r="N49" s="2"/>
      <c r="O49" s="2"/>
      <c r="P49" s="9"/>
      <c r="Q49" s="2">
        <f>SUM(OSRRefD21_6_0x)+IFERROR(SUM(OSRRefE21_6_0x),0)</f>
        <v>536.35</v>
      </c>
    </row>
    <row r="50" spans="1:17" s="34" customFormat="1" collapsed="1" x14ac:dyDescent="0.25">
      <c r="A50" s="35"/>
      <c r="B50" s="15" t="str">
        <f>CONCATENATE("     ","Training                                          ")</f>
        <v xml:space="preserve">     Training                                          </v>
      </c>
      <c r="C50" s="15"/>
      <c r="D50" s="1">
        <f>SUM(OSRRefD21_7x_0)</f>
        <v>0</v>
      </c>
      <c r="E50" s="1">
        <f>SUM(OSRRefD21_7x_1)</f>
        <v>0</v>
      </c>
      <c r="F50" s="1">
        <f>SUM(OSRRefD21_7x_2)</f>
        <v>0</v>
      </c>
      <c r="G50" s="1">
        <f>SUM(OSRRefD21_7x_3)</f>
        <v>0</v>
      </c>
      <c r="H50" s="1">
        <f>SUM(OSRRefE21_7x_0)</f>
        <v>0</v>
      </c>
      <c r="I50" s="1">
        <f>SUM(OSRRefE21_7x_1)</f>
        <v>0</v>
      </c>
      <c r="J50" s="1">
        <f>SUM(OSRRefE21_7x_2)</f>
        <v>60</v>
      </c>
      <c r="K50" s="1">
        <f>SUM(OSRRefE21_7x_3)</f>
        <v>0</v>
      </c>
      <c r="L50" s="1">
        <f>SUM(OSRRefE21_7x_4)</f>
        <v>0</v>
      </c>
      <c r="M50" s="1">
        <f>SUM(OSRRefE21_7x_5)</f>
        <v>0</v>
      </c>
      <c r="N50" s="1">
        <f>SUM(OSRRefE21_7x_6)</f>
        <v>0</v>
      </c>
      <c r="O50" s="1">
        <f>SUM(OSRRefE21_7x_7)</f>
        <v>0</v>
      </c>
      <c r="Q50" s="2">
        <f>SUM(OSRRefD20_7x)+IFERROR(SUM(OSRRefE20_7x),0)</f>
        <v>60</v>
      </c>
    </row>
    <row r="51" spans="1:17" s="34" customFormat="1" hidden="1" outlineLevel="1" x14ac:dyDescent="0.25">
      <c r="A51" s="35"/>
      <c r="B51" s="13" t="str">
        <f>CONCATENATE("          ","6376", " - ","TRAINING")</f>
        <v xml:space="preserve">          6376 - TRAINING</v>
      </c>
      <c r="C51" s="15"/>
      <c r="D51" s="2"/>
      <c r="E51" s="2"/>
      <c r="F51" s="2"/>
      <c r="G51" s="2"/>
      <c r="H51" s="2"/>
      <c r="I51" s="2"/>
      <c r="J51" s="2">
        <v>60</v>
      </c>
      <c r="K51" s="2"/>
      <c r="L51" s="2"/>
      <c r="M51" s="2"/>
      <c r="N51" s="2"/>
      <c r="O51" s="2"/>
      <c r="P51" s="9"/>
      <c r="Q51" s="2">
        <f>SUM(OSRRefD21_7_0x)+IFERROR(SUM(OSRRefE21_7_0x),0)</f>
        <v>60</v>
      </c>
    </row>
    <row r="52" spans="1:17" s="28" customFormat="1" x14ac:dyDescent="0.25">
      <c r="A52" s="20"/>
      <c r="B52" s="20"/>
      <c r="C52" s="20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Q52" s="1"/>
    </row>
    <row r="53" spans="1:17" s="9" customFormat="1" x14ac:dyDescent="0.25">
      <c r="A53" s="22"/>
      <c r="B53" s="16" t="s">
        <v>0</v>
      </c>
      <c r="C53" s="23"/>
      <c r="D53" s="3">
        <f t="shared" ref="D53:G53" si="3">0</f>
        <v>0</v>
      </c>
      <c r="E53" s="3">
        <f t="shared" si="3"/>
        <v>0</v>
      </c>
      <c r="F53" s="3">
        <f t="shared" si="3"/>
        <v>0</v>
      </c>
      <c r="G53" s="3">
        <f t="shared" si="3"/>
        <v>0</v>
      </c>
      <c r="H53" s="3"/>
      <c r="I53" s="3"/>
      <c r="J53" s="3"/>
      <c r="K53" s="3"/>
      <c r="L53" s="3"/>
      <c r="M53" s="3"/>
      <c r="N53" s="3"/>
      <c r="O53" s="3"/>
      <c r="Q53" s="2">
        <f>SUM(OSRRefD23_0x)+IFERROR(SUM(OSRRefE23_0x),0)</f>
        <v>0</v>
      </c>
    </row>
    <row r="54" spans="1:17" x14ac:dyDescent="0.25">
      <c r="A54" s="5"/>
      <c r="B54" s="8"/>
      <c r="C54" s="8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s="14" customFormat="1" x14ac:dyDescent="0.25">
      <c r="A55" s="8"/>
      <c r="B55" s="17" t="s">
        <v>3</v>
      </c>
      <c r="C55" s="17"/>
      <c r="D55" s="6">
        <f t="shared" ref="D55:O55" si="4">IFERROR(+D15-D18+D53, 0)</f>
        <v>-9677.16</v>
      </c>
      <c r="E55" s="6">
        <f t="shared" si="4"/>
        <v>-9064.48</v>
      </c>
      <c r="F55" s="6">
        <f t="shared" si="4"/>
        <v>-9582.5499999999993</v>
      </c>
      <c r="G55" s="6">
        <f t="shared" si="4"/>
        <v>-8727.58</v>
      </c>
      <c r="H55" s="6">
        <f t="shared" si="4"/>
        <v>-175</v>
      </c>
      <c r="I55" s="6">
        <f t="shared" si="4"/>
        <v>-175</v>
      </c>
      <c r="J55" s="6">
        <f t="shared" si="4"/>
        <v>-235</v>
      </c>
      <c r="K55" s="6">
        <f t="shared" si="4"/>
        <v>-175</v>
      </c>
      <c r="L55" s="6">
        <f t="shared" si="4"/>
        <v>-175</v>
      </c>
      <c r="M55" s="6">
        <f t="shared" si="4"/>
        <v>-175</v>
      </c>
      <c r="N55" s="6">
        <f t="shared" si="4"/>
        <v>-175</v>
      </c>
      <c r="O55" s="6">
        <f t="shared" si="4"/>
        <v>-175</v>
      </c>
      <c r="Q55" s="6">
        <f>IFERROR(+Q15-Q18+Q53, 0)</f>
        <v>-38511.770000000004</v>
      </c>
    </row>
    <row r="56" spans="1:17" s="8" customFormat="1" x14ac:dyDescent="0.25">
      <c r="B56" s="16"/>
      <c r="C56" s="16"/>
      <c r="D56" s="4">
        <f t="shared" ref="D56:O56" si="5">IFERROR(D55/D10, 0)</f>
        <v>0</v>
      </c>
      <c r="E56" s="4">
        <f t="shared" si="5"/>
        <v>0</v>
      </c>
      <c r="F56" s="4">
        <f t="shared" si="5"/>
        <v>0</v>
      </c>
      <c r="G56" s="4">
        <f t="shared" si="5"/>
        <v>0</v>
      </c>
      <c r="H56" s="4">
        <f t="shared" si="5"/>
        <v>0</v>
      </c>
      <c r="I56" s="4">
        <f t="shared" si="5"/>
        <v>0</v>
      </c>
      <c r="J56" s="4">
        <f t="shared" si="5"/>
        <v>0</v>
      </c>
      <c r="K56" s="4">
        <f t="shared" si="5"/>
        <v>0</v>
      </c>
      <c r="L56" s="4">
        <f t="shared" si="5"/>
        <v>0</v>
      </c>
      <c r="M56" s="4">
        <f t="shared" si="5"/>
        <v>0</v>
      </c>
      <c r="N56" s="4">
        <f t="shared" si="5"/>
        <v>0</v>
      </c>
      <c r="O56" s="4">
        <f t="shared" si="5"/>
        <v>0</v>
      </c>
      <c r="P56" s="18"/>
      <c r="Q56" s="4">
        <f>IFERROR(Q55/Q10, 0)</f>
        <v>0</v>
      </c>
    </row>
    <row r="57" spans="1:17" x14ac:dyDescent="0.25">
      <c r="A57" s="5"/>
      <c r="B57" s="8"/>
      <c r="C57" s="5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Q57" s="3"/>
    </row>
    <row r="58" spans="1:17" s="14" customFormat="1" x14ac:dyDescent="0.25">
      <c r="A58" s="25"/>
      <c r="B58" s="8" t="s">
        <v>8</v>
      </c>
      <c r="C58" s="8"/>
      <c r="D58" s="3"/>
      <c r="E58" s="3"/>
      <c r="F58" s="3"/>
      <c r="G58" s="3"/>
      <c r="H58" s="3">
        <v>2689</v>
      </c>
      <c r="I58" s="3">
        <v>2072</v>
      </c>
      <c r="J58" s="3">
        <v>2623</v>
      </c>
      <c r="K58" s="3">
        <v>6886</v>
      </c>
      <c r="L58" s="3">
        <v>6729</v>
      </c>
      <c r="M58" s="3">
        <v>6947</v>
      </c>
      <c r="N58" s="3">
        <v>3798</v>
      </c>
      <c r="O58" s="3">
        <v>-2324</v>
      </c>
      <c r="Q58" s="2">
        <f>SUM(OSRRefD28_0x)+IFERROR(SUM(OSRRefE28_0x),0)</f>
        <v>29420</v>
      </c>
    </row>
    <row r="59" spans="1:17" x14ac:dyDescent="0.25">
      <c r="A59" s="5"/>
      <c r="B59" s="8"/>
      <c r="C59" s="8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4" customFormat="1" ht="15.75" thickBot="1" x14ac:dyDescent="0.3">
      <c r="A60" s="8"/>
      <c r="B60" s="17" t="s">
        <v>4</v>
      </c>
      <c r="C60" s="17"/>
      <c r="D60" s="7">
        <f t="shared" ref="D60:O60" si="6">IFERROR(+D55-D58, 0)</f>
        <v>-9677.16</v>
      </c>
      <c r="E60" s="7">
        <f t="shared" si="6"/>
        <v>-9064.48</v>
      </c>
      <c r="F60" s="7">
        <f t="shared" si="6"/>
        <v>-9582.5499999999993</v>
      </c>
      <c r="G60" s="7">
        <f t="shared" si="6"/>
        <v>-8727.58</v>
      </c>
      <c r="H60" s="7">
        <f t="shared" si="6"/>
        <v>-2864</v>
      </c>
      <c r="I60" s="7">
        <f t="shared" si="6"/>
        <v>-2247</v>
      </c>
      <c r="J60" s="7">
        <f t="shared" si="6"/>
        <v>-2858</v>
      </c>
      <c r="K60" s="7">
        <f t="shared" si="6"/>
        <v>-7061</v>
      </c>
      <c r="L60" s="7">
        <f t="shared" si="6"/>
        <v>-6904</v>
      </c>
      <c r="M60" s="7">
        <f t="shared" si="6"/>
        <v>-7122</v>
      </c>
      <c r="N60" s="7">
        <f t="shared" si="6"/>
        <v>-3973</v>
      </c>
      <c r="O60" s="7">
        <f t="shared" si="6"/>
        <v>2149</v>
      </c>
      <c r="Q60" s="7">
        <f>IFERROR(+Q55-Q58, 0)</f>
        <v>-67931.77</v>
      </c>
    </row>
    <row r="61" spans="1:17" ht="15.75" thickTop="1" x14ac:dyDescent="0.25">
      <c r="A61" s="5"/>
      <c r="B61" s="5"/>
      <c r="C61" s="5"/>
      <c r="D61" s="4">
        <f t="shared" ref="D61:O61" si="7">IFERROR(D60/D10, 0)</f>
        <v>0</v>
      </c>
      <c r="E61" s="4">
        <f t="shared" si="7"/>
        <v>0</v>
      </c>
      <c r="F61" s="4">
        <f t="shared" si="7"/>
        <v>0</v>
      </c>
      <c r="G61" s="4">
        <f t="shared" si="7"/>
        <v>0</v>
      </c>
      <c r="H61" s="4">
        <f t="shared" si="7"/>
        <v>0</v>
      </c>
      <c r="I61" s="4">
        <f t="shared" si="7"/>
        <v>0</v>
      </c>
      <c r="J61" s="4">
        <f t="shared" si="7"/>
        <v>0</v>
      </c>
      <c r="K61" s="4">
        <f t="shared" si="7"/>
        <v>0</v>
      </c>
      <c r="L61" s="4">
        <f t="shared" si="7"/>
        <v>0</v>
      </c>
      <c r="M61" s="4">
        <f t="shared" si="7"/>
        <v>0</v>
      </c>
      <c r="N61" s="4">
        <f t="shared" si="7"/>
        <v>0</v>
      </c>
      <c r="O61" s="4">
        <f t="shared" si="7"/>
        <v>0</v>
      </c>
      <c r="P61" s="18"/>
      <c r="Q61" s="4">
        <f>IFERROR(Q60/Q10, 0)</f>
        <v>0</v>
      </c>
    </row>
    <row r="62" spans="1:17" x14ac:dyDescent="0.25">
      <c r="A62" s="5"/>
      <c r="B62" s="5"/>
      <c r="C62" s="5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Q62" s="3"/>
    </row>
    <row r="63" spans="1:17" x14ac:dyDescent="0.25">
      <c r="A63" s="5"/>
      <c r="B63" s="5"/>
      <c r="C63" s="5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3"/>
    </row>
    <row r="64" spans="1:17" s="14" customFormat="1" ht="15.75" thickBot="1" x14ac:dyDescent="0.3">
      <c r="A64" s="8"/>
      <c r="B64" s="17" t="s">
        <v>5</v>
      </c>
      <c r="C64" s="17"/>
      <c r="D64" s="7">
        <f t="shared" ref="D64:O64" si="8">IFERROR(SUM(D60:D63), 0)</f>
        <v>-9677.16</v>
      </c>
      <c r="E64" s="7">
        <f t="shared" si="8"/>
        <v>-9064.48</v>
      </c>
      <c r="F64" s="7">
        <f t="shared" si="8"/>
        <v>-9582.5499999999993</v>
      </c>
      <c r="G64" s="7">
        <f t="shared" si="8"/>
        <v>-8727.58</v>
      </c>
      <c r="H64" s="7">
        <f t="shared" si="8"/>
        <v>-2864</v>
      </c>
      <c r="I64" s="7">
        <f t="shared" si="8"/>
        <v>-2247</v>
      </c>
      <c r="J64" s="7">
        <f t="shared" si="8"/>
        <v>-2858</v>
      </c>
      <c r="K64" s="7">
        <f t="shared" si="8"/>
        <v>-7061</v>
      </c>
      <c r="L64" s="7">
        <f t="shared" si="8"/>
        <v>-6904</v>
      </c>
      <c r="M64" s="7">
        <f t="shared" si="8"/>
        <v>-7122</v>
      </c>
      <c r="N64" s="7">
        <f t="shared" si="8"/>
        <v>-3973</v>
      </c>
      <c r="O64" s="7">
        <f t="shared" si="8"/>
        <v>2149</v>
      </c>
      <c r="Q64" s="7">
        <f>IFERROR(SUM(Q60:Q63), 0)</f>
        <v>-67931.77</v>
      </c>
    </row>
    <row r="65" spans="1:17" ht="15.75" thickTop="1" x14ac:dyDescent="0.25">
      <c r="A65" s="5"/>
      <c r="C65" s="5"/>
      <c r="D65" s="4">
        <f t="shared" ref="D65:O65" si="9">IFERROR(D64/D10, 0)</f>
        <v>0</v>
      </c>
      <c r="E65" s="4">
        <f t="shared" si="9"/>
        <v>0</v>
      </c>
      <c r="F65" s="4">
        <f t="shared" si="9"/>
        <v>0</v>
      </c>
      <c r="G65" s="4">
        <f t="shared" si="9"/>
        <v>0</v>
      </c>
      <c r="H65" s="4">
        <f t="shared" si="9"/>
        <v>0</v>
      </c>
      <c r="I65" s="4">
        <f t="shared" si="9"/>
        <v>0</v>
      </c>
      <c r="J65" s="4">
        <f t="shared" si="9"/>
        <v>0</v>
      </c>
      <c r="K65" s="4">
        <f t="shared" si="9"/>
        <v>0</v>
      </c>
      <c r="L65" s="4">
        <f t="shared" si="9"/>
        <v>0</v>
      </c>
      <c r="M65" s="4">
        <f t="shared" si="9"/>
        <v>0</v>
      </c>
      <c r="N65" s="4">
        <f t="shared" si="9"/>
        <v>0</v>
      </c>
      <c r="O65" s="4">
        <f t="shared" si="9"/>
        <v>0</v>
      </c>
      <c r="P65" s="18"/>
      <c r="Q65" s="4">
        <f>IFERROR(Q64/Q10, 0)</f>
        <v>0</v>
      </c>
    </row>
    <row r="66" spans="1:17" x14ac:dyDescent="0.25">
      <c r="A66" s="5"/>
      <c r="B66" s="26">
        <v>44151.564835763886</v>
      </c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Q66" s="12"/>
    </row>
    <row r="67" spans="1:17" x14ac:dyDescent="0.25">
      <c r="A67" s="5"/>
      <c r="B67" s="30" t="s">
        <v>311</v>
      </c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Q67" s="12"/>
    </row>
    <row r="68" spans="1:17" x14ac:dyDescent="0.25">
      <c r="A68" s="5"/>
      <c r="B68" s="31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Q68" s="12"/>
    </row>
    <row r="69" spans="1:17" x14ac:dyDescent="0.25"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Q69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","321", " - ", "Student Union C-Store")</f>
        <v>Department 321 - Student Union C-Store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714</v>
      </c>
      <c r="F10" s="3">
        <f>SUM(OSRRefD11x_2)</f>
        <v>1762.4699999999998</v>
      </c>
      <c r="G10" s="3">
        <f>SUM(OSRRefD11x_3)</f>
        <v>0</v>
      </c>
      <c r="H10" s="3">
        <f>SUM(OSRRefE11x_0)</f>
        <v>0</v>
      </c>
      <c r="I10" s="3">
        <f>SUM(OSRRefE11x_1)</f>
        <v>0</v>
      </c>
      <c r="J10" s="3">
        <f>SUM(OSRRefE11x_2)</f>
        <v>0</v>
      </c>
      <c r="K10" s="3">
        <f>SUM(OSRRefE11x_3)</f>
        <v>0</v>
      </c>
      <c r="L10" s="3">
        <f>SUM(OSRRefE11x_4)</f>
        <v>0</v>
      </c>
      <c r="M10" s="3">
        <f>SUM(OSRRefE11x_5)</f>
        <v>0</v>
      </c>
      <c r="N10" s="3">
        <f>SUM(OSRRefE11x_6)</f>
        <v>0</v>
      </c>
      <c r="O10" s="3">
        <f>SUM(OSRRefE11x_7)</f>
        <v>0</v>
      </c>
      <c r="P10" s="24"/>
      <c r="Q10" s="3">
        <f>SUM(OSRRefG11x)</f>
        <v>2476.4699999999998</v>
      </c>
      <c r="R10" s="24"/>
    </row>
    <row r="11" spans="1:18" s="9" customFormat="1" hidden="1" outlineLevel="1" x14ac:dyDescent="0.25">
      <c r="A11" s="22"/>
      <c r="B11" s="13" t="str">
        <f>CONCATENATE("          ","4032", " - ","TAXABLE SALES-JUICE")</f>
        <v xml:space="preserve">          4032 - TAXABLE SALES-JUICE</v>
      </c>
      <c r="C11" s="23"/>
      <c r="D11" s="2">
        <f t="shared" ref="D11:D12" si="0">0</f>
        <v>0</v>
      </c>
      <c r="E11" s="2">
        <f>--88.2</f>
        <v>88.2</v>
      </c>
      <c r="F11" s="2">
        <f>--356.39</f>
        <v>356.39</v>
      </c>
      <c r="G11" s="2">
        <f t="shared" ref="G11:G12" si="1">0</f>
        <v>0</v>
      </c>
      <c r="H11" s="2"/>
      <c r="I11" s="2"/>
      <c r="J11" s="2"/>
      <c r="K11" s="2"/>
      <c r="L11" s="2"/>
      <c r="M11" s="2"/>
      <c r="N11" s="2"/>
      <c r="O11" s="2"/>
      <c r="Q11" s="2">
        <f>SUM(OSRRefD11_0x)+IFERROR(SUM(OSRRefE11_0x),0)</f>
        <v>444.59</v>
      </c>
    </row>
    <row r="12" spans="1:18" s="9" customFormat="1" hidden="1" outlineLevel="1" x14ac:dyDescent="0.25">
      <c r="A12" s="22"/>
      <c r="B12" s="13" t="str">
        <f>CONCATENATE("          ","4132", " - ","NON-TAXABLE SALES-JUICE")</f>
        <v xml:space="preserve">          4132 - NON-TAXABLE SALES-JUICE</v>
      </c>
      <c r="C12" s="23"/>
      <c r="D12" s="2">
        <f t="shared" si="0"/>
        <v>0</v>
      </c>
      <c r="E12" s="2">
        <f>--625.8</f>
        <v>625.79999999999995</v>
      </c>
      <c r="F12" s="2">
        <f>--1406.08</f>
        <v>1406.08</v>
      </c>
      <c r="G12" s="2">
        <f t="shared" si="1"/>
        <v>0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2031.8799999999999</v>
      </c>
    </row>
    <row r="13" spans="1:18" x14ac:dyDescent="0.2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290</v>
      </c>
      <c r="C14" s="23"/>
      <c r="D14" s="3">
        <f>SUM(OSRRefD14x_0)</f>
        <v>0</v>
      </c>
      <c r="E14" s="3">
        <f>SUM(OSRRefD14x_1)</f>
        <v>186.33</v>
      </c>
      <c r="F14" s="3">
        <f>SUM(OSRRefD14x_2)</f>
        <v>53.15</v>
      </c>
      <c r="G14" s="3">
        <f>SUM(OSRRefD14x_3)</f>
        <v>-478</v>
      </c>
      <c r="H14" s="3">
        <f>SUM(OSRRefE14x_0)</f>
        <v>0</v>
      </c>
      <c r="I14" s="3">
        <f>SUM(OSRRefE14x_1)</f>
        <v>0</v>
      </c>
      <c r="J14" s="3">
        <f>SUM(OSRRefE14x_2)</f>
        <v>0</v>
      </c>
      <c r="K14" s="3">
        <f>SUM(OSRRefE14x_3)</f>
        <v>0</v>
      </c>
      <c r="L14" s="3">
        <f>SUM(OSRRefE14x_4)</f>
        <v>0</v>
      </c>
      <c r="M14" s="3">
        <f>SUM(OSRRefE14x_5)</f>
        <v>0</v>
      </c>
      <c r="N14" s="3">
        <f>SUM(OSRRefE14x_6)</f>
        <v>0</v>
      </c>
      <c r="O14" s="3">
        <f>SUM(OSRRefE14x_7)</f>
        <v>0</v>
      </c>
      <c r="Q14" s="3">
        <f>SUM(OSRRefG14x)</f>
        <v>-238.51999999999998</v>
      </c>
    </row>
    <row r="15" spans="1:18" s="9" customFormat="1" hidden="1" outlineLevel="1" x14ac:dyDescent="0.25">
      <c r="A15" s="22"/>
      <c r="B15" s="13" t="str">
        <f>CONCATENATE("          ","5053", " - ","PURCHASES @ COST-FOOD")</f>
        <v xml:space="preserve">          5053 - PURCHASES @ COST-FOOD</v>
      </c>
      <c r="C15" s="23"/>
      <c r="D15" s="2"/>
      <c r="E15" s="2">
        <v>186.33</v>
      </c>
      <c r="F15" s="2">
        <v>53.15</v>
      </c>
      <c r="G15" s="2">
        <v>-478</v>
      </c>
      <c r="H15" s="2"/>
      <c r="I15" s="2"/>
      <c r="J15" s="2"/>
      <c r="K15" s="2"/>
      <c r="L15" s="2"/>
      <c r="M15" s="2"/>
      <c r="N15" s="2"/>
      <c r="O15" s="2"/>
      <c r="Q15" s="2">
        <f>SUM(OSRRefD14_0x)+IFERROR(SUM(OSRRefE14_0x),0)</f>
        <v>-238.51999999999998</v>
      </c>
    </row>
    <row r="16" spans="1:18" x14ac:dyDescent="0.25">
      <c r="A16" s="5"/>
      <c r="B16" s="8"/>
      <c r="C16" s="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4" customFormat="1" x14ac:dyDescent="0.25">
      <c r="A17" s="8"/>
      <c r="B17" s="17" t="s">
        <v>6</v>
      </c>
      <c r="C17" s="17"/>
      <c r="D17" s="6">
        <f t="shared" ref="D17:O17" si="2">IFERROR(+D10-D14, 0)</f>
        <v>0</v>
      </c>
      <c r="E17" s="6">
        <f t="shared" si="2"/>
        <v>527.66999999999996</v>
      </c>
      <c r="F17" s="6">
        <f t="shared" si="2"/>
        <v>1709.3199999999997</v>
      </c>
      <c r="G17" s="6">
        <f t="shared" si="2"/>
        <v>478</v>
      </c>
      <c r="H17" s="6">
        <f t="shared" si="2"/>
        <v>0</v>
      </c>
      <c r="I17" s="6">
        <f t="shared" si="2"/>
        <v>0</v>
      </c>
      <c r="J17" s="6">
        <f t="shared" si="2"/>
        <v>0</v>
      </c>
      <c r="K17" s="6">
        <f t="shared" si="2"/>
        <v>0</v>
      </c>
      <c r="L17" s="6">
        <f t="shared" si="2"/>
        <v>0</v>
      </c>
      <c r="M17" s="6">
        <f t="shared" si="2"/>
        <v>0</v>
      </c>
      <c r="N17" s="6">
        <f t="shared" si="2"/>
        <v>0</v>
      </c>
      <c r="O17" s="6">
        <f t="shared" si="2"/>
        <v>0</v>
      </c>
      <c r="Q17" s="6">
        <f>IFERROR(+Q10-Q14, 0)</f>
        <v>2714.99</v>
      </c>
    </row>
    <row r="18" spans="1:17" s="8" customFormat="1" x14ac:dyDescent="0.25">
      <c r="B18" s="16"/>
      <c r="C18" s="16"/>
      <c r="D18" s="4">
        <f t="shared" ref="D18:O18" si="3">IFERROR(D17/D10, 0)</f>
        <v>0</v>
      </c>
      <c r="E18" s="4">
        <f t="shared" si="3"/>
        <v>0.7390336134453781</v>
      </c>
      <c r="F18" s="4">
        <f t="shared" si="3"/>
        <v>0.9698434583283686</v>
      </c>
      <c r="G18" s="4">
        <f t="shared" si="3"/>
        <v>0</v>
      </c>
      <c r="H18" s="4">
        <f t="shared" si="3"/>
        <v>0</v>
      </c>
      <c r="I18" s="4">
        <f t="shared" si="3"/>
        <v>0</v>
      </c>
      <c r="J18" s="4">
        <f t="shared" si="3"/>
        <v>0</v>
      </c>
      <c r="K18" s="4">
        <f t="shared" si="3"/>
        <v>0</v>
      </c>
      <c r="L18" s="4">
        <f t="shared" si="3"/>
        <v>0</v>
      </c>
      <c r="M18" s="4">
        <f t="shared" si="3"/>
        <v>0</v>
      </c>
      <c r="N18" s="4">
        <f t="shared" si="3"/>
        <v>0</v>
      </c>
      <c r="O18" s="4">
        <f t="shared" si="3"/>
        <v>0</v>
      </c>
      <c r="P18" s="18"/>
      <c r="Q18" s="4">
        <f>IFERROR(Q17/Q10, 0)</f>
        <v>1.0963145121887203</v>
      </c>
    </row>
    <row r="19" spans="1:17" x14ac:dyDescent="0.25">
      <c r="A19" s="5"/>
      <c r="B19" s="8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4" customFormat="1" x14ac:dyDescent="0.25">
      <c r="A20" s="8"/>
      <c r="B20" s="16" t="s">
        <v>291</v>
      </c>
      <c r="C20" s="8"/>
      <c r="D20" s="10">
        <f>SUM(OSRRefD20x_0)</f>
        <v>5571.05</v>
      </c>
      <c r="E20" s="10">
        <f>SUM(OSRRefD20x_1)</f>
        <v>8104.16</v>
      </c>
      <c r="F20" s="10">
        <f>SUM(OSRRefD20x_2)</f>
        <v>9141.6200000000026</v>
      </c>
      <c r="G20" s="10">
        <f>SUM(OSRRefD20x_3)</f>
        <v>4859.6699999999992</v>
      </c>
      <c r="H20" s="10">
        <f>SUM(OSRRefE20x_0)</f>
        <v>1200</v>
      </c>
      <c r="I20" s="10">
        <f>SUM(OSRRefE20x_1)</f>
        <v>1200</v>
      </c>
      <c r="J20" s="10">
        <f>SUM(OSRRefE20x_2)</f>
        <v>1260</v>
      </c>
      <c r="K20" s="10">
        <f>SUM(OSRRefE20x_3)</f>
        <v>1200</v>
      </c>
      <c r="L20" s="10">
        <f>SUM(OSRRefE20x_4)</f>
        <v>1200</v>
      </c>
      <c r="M20" s="10">
        <f>SUM(OSRRefE20x_5)</f>
        <v>1200</v>
      </c>
      <c r="N20" s="10">
        <f>SUM(OSRRefE20x_6)</f>
        <v>1200</v>
      </c>
      <c r="O20" s="10">
        <f>SUM(OSRRefE20x_7)</f>
        <v>1200</v>
      </c>
      <c r="Q20" s="10">
        <f>SUM(OSRRefG20x)</f>
        <v>37336.500000000007</v>
      </c>
    </row>
    <row r="21" spans="1:17" s="34" customFormat="1" collapsed="1" x14ac:dyDescent="0.25">
      <c r="A21" s="35"/>
      <c r="B21" s="15" t="str">
        <f>CONCATENATE("     ","*Benefits                                         ")</f>
        <v xml:space="preserve">     *Benefits                                         </v>
      </c>
      <c r="C21" s="15"/>
      <c r="D21" s="1">
        <f>SUM(OSRRefD21_0x_0)</f>
        <v>407.67999999999995</v>
      </c>
      <c r="E21" s="1">
        <f>SUM(OSRRefD21_0x_1)</f>
        <v>2017.6599999999999</v>
      </c>
      <c r="F21" s="1">
        <f>SUM(OSRRefD21_0x_2)</f>
        <v>2095.62</v>
      </c>
      <c r="G21" s="1">
        <f>SUM(OSRRefD21_0x_3)</f>
        <v>2222.1799999999998</v>
      </c>
      <c r="H21" s="1">
        <f>SUM(OSRRefE21_0x_0)</f>
        <v>0</v>
      </c>
      <c r="I21" s="1">
        <f>SUM(OSRRefE21_0x_1)</f>
        <v>0</v>
      </c>
      <c r="J21" s="1">
        <f>SUM(OSRRefE21_0x_2)</f>
        <v>0</v>
      </c>
      <c r="K21" s="1">
        <f>SUM(OSRRefE21_0x_3)</f>
        <v>0</v>
      </c>
      <c r="L21" s="1">
        <f>SUM(OSRRefE21_0x_4)</f>
        <v>0</v>
      </c>
      <c r="M21" s="1">
        <f>SUM(OSRRefE21_0x_5)</f>
        <v>0</v>
      </c>
      <c r="N21" s="1">
        <f>SUM(OSRRefE21_0x_6)</f>
        <v>0</v>
      </c>
      <c r="O21" s="1">
        <f>SUM(OSRRefE21_0x_7)</f>
        <v>0</v>
      </c>
      <c r="Q21" s="2">
        <f>SUM(OSRRefD20_0x)+IFERROR(SUM(OSRRefE20_0x),0)</f>
        <v>6743.1399999999994</v>
      </c>
    </row>
    <row r="22" spans="1:17" s="34" customFormat="1" hidden="1" outlineLevel="1" x14ac:dyDescent="0.25">
      <c r="A22" s="35"/>
      <c r="B22" s="13" t="str">
        <f>CONCATENATE("          ","6111", " - ","F.I.C.A.")</f>
        <v xml:space="preserve">          6111 - F.I.C.A.</v>
      </c>
      <c r="C22" s="15"/>
      <c r="D22" s="2">
        <v>159.12</v>
      </c>
      <c r="E22" s="2">
        <v>318.24</v>
      </c>
      <c r="F22" s="2">
        <v>454.71</v>
      </c>
      <c r="G22" s="2">
        <v>575.9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SUM(OSRRefD21_0_0x)+IFERROR(SUM(OSRRefE21_0_0x),0)</f>
        <v>1507.9699999999998</v>
      </c>
    </row>
    <row r="23" spans="1:17" s="34" customFormat="1" hidden="1" outlineLevel="1" x14ac:dyDescent="0.25">
      <c r="A23" s="35"/>
      <c r="B23" s="13" t="str">
        <f>CONCATENATE("          ","6112", " - ","COMPENSATION INSURANCE")</f>
        <v xml:space="preserve">          6112 - COMPENSATION INSURANCE</v>
      </c>
      <c r="C23" s="15"/>
      <c r="D23" s="2">
        <v>76.959999999999994</v>
      </c>
      <c r="E23" s="2">
        <v>76.959999999999994</v>
      </c>
      <c r="F23" s="2">
        <v>76.959999999999994</v>
      </c>
      <c r="G23" s="2">
        <v>76.959999999999994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SUM(OSRRefD21_0_1x)+IFERROR(SUM(OSRRefE21_0_1x),0)</f>
        <v>307.83999999999997</v>
      </c>
    </row>
    <row r="24" spans="1:17" s="34" customFormat="1" hidden="1" outlineLevel="1" x14ac:dyDescent="0.25">
      <c r="A24" s="35"/>
      <c r="B24" s="13" t="str">
        <f>CONCATENATE("          ","6113", " - ","GROUP INSURANCE")</f>
        <v xml:space="preserve">          6113 - GROUP INSURANCE</v>
      </c>
      <c r="C24" s="15"/>
      <c r="D24" s="2"/>
      <c r="E24" s="2">
        <v>683.68</v>
      </c>
      <c r="F24" s="2">
        <v>683.68</v>
      </c>
      <c r="G24" s="2">
        <v>683.68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SUM(OSRRefD21_0_2x)+IFERROR(SUM(OSRRefE21_0_2x),0)</f>
        <v>2051.04</v>
      </c>
    </row>
    <row r="25" spans="1:17" s="34" customFormat="1" hidden="1" outlineLevel="1" x14ac:dyDescent="0.25">
      <c r="A25" s="35"/>
      <c r="B25" s="13" t="str">
        <f>CONCATENATE("          ","6114", " - ","STATE UNEMPLOYMENT INSURANCE")</f>
        <v xml:space="preserve">          6114 - STATE UNEMPLOYMENT INSURANCE</v>
      </c>
      <c r="C25" s="15"/>
      <c r="D25" s="2">
        <v>10.82</v>
      </c>
      <c r="E25" s="2">
        <v>10.82</v>
      </c>
      <c r="F25" s="2">
        <v>10.82</v>
      </c>
      <c r="G25" s="2">
        <v>10.82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SUM(OSRRefD21_0_3x)+IFERROR(SUM(OSRRefE21_0_3x),0)</f>
        <v>43.28</v>
      </c>
    </row>
    <row r="26" spans="1:17" s="34" customFormat="1" hidden="1" outlineLevel="1" x14ac:dyDescent="0.25">
      <c r="A26" s="35"/>
      <c r="B26" s="13" t="str">
        <f>CONCATENATE("          ","6115", " - ","P.E.R.S.")</f>
        <v xml:space="preserve">          6115 - P.E.R.S.</v>
      </c>
      <c r="C26" s="15"/>
      <c r="D26" s="2">
        <v>160.78</v>
      </c>
      <c r="E26" s="2">
        <v>321.57</v>
      </c>
      <c r="F26" s="2">
        <v>321.57</v>
      </c>
      <c r="G26" s="2">
        <v>192.94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SUM(OSRRefD21_0_4x)+IFERROR(SUM(OSRRefE21_0_4x),0)</f>
        <v>996.86000000000013</v>
      </c>
    </row>
    <row r="27" spans="1:17" s="34" customFormat="1" hidden="1" outlineLevel="1" x14ac:dyDescent="0.25">
      <c r="A27" s="35"/>
      <c r="B27" s="13" t="str">
        <f>CONCATENATE("          ","6116", " - ","EDUCATIONAL BENEFITS")</f>
        <v xml:space="preserve">          6116 - EDUCATIONAL BENEFITS</v>
      </c>
      <c r="C27" s="15"/>
      <c r="D27" s="2"/>
      <c r="E27" s="2"/>
      <c r="F27" s="2"/>
      <c r="G27" s="2"/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4" customFormat="1" hidden="1" outlineLevel="1" x14ac:dyDescent="0.25">
      <c r="A28" s="35"/>
      <c r="B28" s="13" t="str">
        <f>CONCATENATE("          ","6118", " - ","VACATION")</f>
        <v xml:space="preserve">          6118 - VACATION</v>
      </c>
      <c r="C28" s="15"/>
      <c r="D28" s="2"/>
      <c r="E28" s="2">
        <v>239.72</v>
      </c>
      <c r="F28" s="2">
        <v>239.72</v>
      </c>
      <c r="G28" s="2">
        <v>359.58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SUM(OSRRefD21_0_6x)+IFERROR(SUM(OSRRefE21_0_6x),0)</f>
        <v>839.02</v>
      </c>
    </row>
    <row r="29" spans="1:17" s="34" customFormat="1" hidden="1" outlineLevel="1" x14ac:dyDescent="0.25">
      <c r="A29" s="35"/>
      <c r="B29" s="13" t="str">
        <f>CONCATENATE("          ","6119", " - ","SICK LEAVE")</f>
        <v xml:space="preserve">          6119 - SICK LEAVE</v>
      </c>
      <c r="C29" s="15"/>
      <c r="D29" s="2"/>
      <c r="E29" s="2">
        <v>191.88</v>
      </c>
      <c r="F29" s="2">
        <v>191.88</v>
      </c>
      <c r="G29" s="2">
        <v>287.82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SUM(OSRRefD21_0_7x)+IFERROR(SUM(OSRRefE21_0_7x),0)</f>
        <v>671.57999999999993</v>
      </c>
    </row>
    <row r="30" spans="1:17" s="34" customFormat="1" hidden="1" outlineLevel="1" x14ac:dyDescent="0.25">
      <c r="A30" s="35"/>
      <c r="B30" s="13" t="str">
        <f>CONCATENATE("          ","6156", " - ","EMPLOYEE MEALS")</f>
        <v xml:space="preserve">          6156 - EMPLOYEE MEALS</v>
      </c>
      <c r="C30" s="15"/>
      <c r="D30" s="2"/>
      <c r="E30" s="2">
        <v>174.79</v>
      </c>
      <c r="F30" s="2">
        <v>116.28</v>
      </c>
      <c r="G30" s="2">
        <v>34.479999999999997</v>
      </c>
      <c r="H30" s="2"/>
      <c r="I30" s="2"/>
      <c r="J30" s="2"/>
      <c r="K30" s="2"/>
      <c r="L30" s="2"/>
      <c r="M30" s="2"/>
      <c r="N30" s="2"/>
      <c r="O30" s="2"/>
      <c r="P30" s="9"/>
      <c r="Q30" s="2">
        <f>SUM(OSRRefD21_0_8x)+IFERROR(SUM(OSRRefE21_0_8x),0)</f>
        <v>325.55</v>
      </c>
    </row>
    <row r="31" spans="1:17" s="34" customFormat="1" collapsed="1" x14ac:dyDescent="0.25">
      <c r="A31" s="35"/>
      <c r="B31" s="15" t="str">
        <f>CONCATENATE("     ","*Payroll                                          ")</f>
        <v xml:space="preserve">     *Payroll                                          </v>
      </c>
      <c r="C31" s="15"/>
      <c r="D31" s="1">
        <f>SUM(OSRRefD21_1x_0)</f>
        <v>3120</v>
      </c>
      <c r="E31" s="1">
        <f>SUM(OSRRefD21_1x_1)</f>
        <v>4607</v>
      </c>
      <c r="F31" s="1">
        <f>SUM(OSRRefD21_1x_2)</f>
        <v>5429.1</v>
      </c>
      <c r="G31" s="1">
        <f>SUM(OSRRefD21_1x_3)</f>
        <v>1039.8600000000001</v>
      </c>
      <c r="H31" s="1">
        <f>SUM(OSRRefE21_1x_0)</f>
        <v>0</v>
      </c>
      <c r="I31" s="1">
        <f>SUM(OSRRefE21_1x_1)</f>
        <v>0</v>
      </c>
      <c r="J31" s="1">
        <f>SUM(OSRRefE21_1x_2)</f>
        <v>0</v>
      </c>
      <c r="K31" s="1">
        <f>SUM(OSRRefE21_1x_3)</f>
        <v>0</v>
      </c>
      <c r="L31" s="1">
        <f>SUM(OSRRefE21_1x_4)</f>
        <v>0</v>
      </c>
      <c r="M31" s="1">
        <f>SUM(OSRRefE21_1x_5)</f>
        <v>0</v>
      </c>
      <c r="N31" s="1">
        <f>SUM(OSRRefE21_1x_6)</f>
        <v>0</v>
      </c>
      <c r="O31" s="1">
        <f>SUM(OSRRefE21_1x_7)</f>
        <v>0</v>
      </c>
      <c r="Q31" s="2">
        <f>SUM(OSRRefD20_1x)+IFERROR(SUM(OSRRefE20_1x),0)</f>
        <v>14195.960000000001</v>
      </c>
    </row>
    <row r="32" spans="1:17" s="34" customFormat="1" hidden="1" outlineLevel="1" x14ac:dyDescent="0.25">
      <c r="A32" s="35"/>
      <c r="B32" s="13" t="str">
        <f>CONCATENATE("          ","6001", " - ","ADMINISTRATIVE SALARIES")</f>
        <v xml:space="preserve">          6001 - ADMINISTRATIVE SALARIES</v>
      </c>
      <c r="C32" s="15"/>
      <c r="D32" s="2"/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SUM(OSRRefD21_1_0x)+IFERROR(SUM(OSRRefE21_1_0x),0)</f>
        <v>0</v>
      </c>
    </row>
    <row r="33" spans="1:17" s="34" customFormat="1" hidden="1" outlineLevel="1" x14ac:dyDescent="0.25">
      <c r="A33" s="35"/>
      <c r="B33" s="13" t="str">
        <f>CONCATENATE("          ","6002", " - ","STAFF SALARIES")</f>
        <v xml:space="preserve">          6002 - STAFF SALARIES</v>
      </c>
      <c r="C33" s="15"/>
      <c r="D33" s="2">
        <v>3120</v>
      </c>
      <c r="E33" s="2">
        <v>3952</v>
      </c>
      <c r="F33" s="2">
        <v>3952</v>
      </c>
      <c r="G33" s="2">
        <v>1040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SUM(OSRRefD21_1_1x)+IFERROR(SUM(OSRRefE21_1_1x),0)</f>
        <v>12064</v>
      </c>
    </row>
    <row r="34" spans="1:17" s="34" customFormat="1" hidden="1" outlineLevel="1" x14ac:dyDescent="0.25">
      <c r="A34" s="35"/>
      <c r="B34" s="13" t="str">
        <f>CONCATENATE("          ","6003", " - ","STAFF HOURLY-9 MONTH")</f>
        <v xml:space="preserve">          6003 - STAFF HOURLY-9 MONTH</v>
      </c>
      <c r="C34" s="15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4" customFormat="1" hidden="1" outlineLevel="1" x14ac:dyDescent="0.25">
      <c r="A35" s="35"/>
      <c r="B35" s="13" t="str">
        <f>CONCATENATE("          ","6004", " - ","STAFF HOURLY")</f>
        <v xml:space="preserve">          6004 - STAFF HOURLY</v>
      </c>
      <c r="C35" s="15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SUM(OSRRefD21_1_3x)+IFERROR(SUM(OSRRefE21_1_3x),0)</f>
        <v>0</v>
      </c>
    </row>
    <row r="36" spans="1:17" s="34" customFormat="1" hidden="1" outlineLevel="1" x14ac:dyDescent="0.25">
      <c r="A36" s="35"/>
      <c r="B36" s="13" t="str">
        <f>CONCATENATE("          ","6005", " - ","TEMPORARY WAGES-HOURLY")</f>
        <v xml:space="preserve">          6005 - TEMPORARY WAGES-HOURLY</v>
      </c>
      <c r="C36" s="15"/>
      <c r="D36" s="2"/>
      <c r="E36" s="2"/>
      <c r="F36" s="2">
        <v>1784.1</v>
      </c>
      <c r="G36" s="2">
        <v>347.86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SUM(OSRRefD21_1_4x)+IFERROR(SUM(OSRRefE21_1_4x),0)</f>
        <v>2131.96</v>
      </c>
    </row>
    <row r="37" spans="1:17" s="34" customFormat="1" hidden="1" outlineLevel="1" x14ac:dyDescent="0.25">
      <c r="A37" s="35"/>
      <c r="B37" s="13" t="str">
        <f>CONCATENATE("          ","6006", " - ","TEMPORARY PART TIME")</f>
        <v xml:space="preserve">          6006 - TEMPORARY PART TIME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4" customFormat="1" hidden="1" outlineLevel="1" x14ac:dyDescent="0.25">
      <c r="A38" s="35"/>
      <c r="B38" s="13" t="str">
        <f>CONCATENATE("          ","6007", " - ","STUDENT HOURLY")</f>
        <v xml:space="preserve">          6007 - STUDENT HOURLY</v>
      </c>
      <c r="C38" s="15"/>
      <c r="D38" s="2"/>
      <c r="E38" s="2">
        <v>655</v>
      </c>
      <c r="F38" s="2">
        <v>-307</v>
      </c>
      <c r="G38" s="2">
        <v>-348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SUM(OSRRefD21_1_6x)+IFERROR(SUM(OSRRefE21_1_6x),0)</f>
        <v>0</v>
      </c>
    </row>
    <row r="39" spans="1:17" s="34" customFormat="1" hidden="1" outlineLevel="1" x14ac:dyDescent="0.25">
      <c r="A39" s="35"/>
      <c r="B39" s="13" t="str">
        <f>CONCATENATE("          ","6008", " - ","STUDENT HOURLY-FICA EXEMPT")</f>
        <v xml:space="preserve">          6008 - STUDENT HOURLY-FICA EXEMPT</v>
      </c>
      <c r="C39" s="15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SUM(OSRRefD21_1_7x)+IFERROR(SUM(OSRRefE21_1_7x),0)</f>
        <v>0</v>
      </c>
    </row>
    <row r="40" spans="1:17" s="34" customFormat="1" hidden="1" outlineLevel="1" x14ac:dyDescent="0.25">
      <c r="A40" s="35"/>
      <c r="B40" s="13" t="str">
        <f>CONCATENATE("          ","6009", " - ","TEMPORARY-SEASONAL")</f>
        <v xml:space="preserve">          6009 - TEMPORARY-SEASONAL</v>
      </c>
      <c r="C40" s="15"/>
      <c r="D40" s="2"/>
      <c r="E40" s="2"/>
      <c r="F40" s="2"/>
      <c r="G40" s="2"/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4" customFormat="1" hidden="1" outlineLevel="1" x14ac:dyDescent="0.25">
      <c r="A41" s="35"/>
      <c r="B41" s="13" t="str">
        <f>CONCATENATE("          ","6010", " - ","GRATUITY")</f>
        <v xml:space="preserve">          6010 - GRATUITY</v>
      </c>
      <c r="C41" s="15"/>
      <c r="D41" s="2"/>
      <c r="E41" s="2"/>
      <c r="F41" s="2"/>
      <c r="G41" s="2"/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4" customFormat="1" collapsed="1" x14ac:dyDescent="0.25">
      <c r="A42" s="35"/>
      <c r="B42" s="15" t="str">
        <f>CONCATENATE("     ","Bad Debts/Over/Short                              ")</f>
        <v xml:space="preserve">     Bad Debts/Over/Short                              </v>
      </c>
      <c r="C42" s="15"/>
      <c r="D42" s="1">
        <f>SUM(OSRRefD21_2x_0)</f>
        <v>0</v>
      </c>
      <c r="E42" s="1">
        <f>SUM(OSRRefD21_2x_1)</f>
        <v>3.75</v>
      </c>
      <c r="F42" s="1">
        <f>SUM(OSRRefD21_2x_2)</f>
        <v>-0.44</v>
      </c>
      <c r="G42" s="1">
        <f>SUM(OSRRefD21_2x_3)</f>
        <v>0</v>
      </c>
      <c r="H42" s="1">
        <f>SUM(OSRRefE21_2x_0)</f>
        <v>0</v>
      </c>
      <c r="I42" s="1">
        <f>SUM(OSRRefE21_2x_1)</f>
        <v>0</v>
      </c>
      <c r="J42" s="1">
        <f>SUM(OSRRefE21_2x_2)</f>
        <v>0</v>
      </c>
      <c r="K42" s="1">
        <f>SUM(OSRRefE21_2x_3)</f>
        <v>0</v>
      </c>
      <c r="L42" s="1">
        <f>SUM(OSRRefE21_2x_4)</f>
        <v>0</v>
      </c>
      <c r="M42" s="1">
        <f>SUM(OSRRefE21_2x_5)</f>
        <v>0</v>
      </c>
      <c r="N42" s="1">
        <f>SUM(OSRRefE21_2x_6)</f>
        <v>0</v>
      </c>
      <c r="O42" s="1">
        <f>SUM(OSRRefE21_2x_7)</f>
        <v>0</v>
      </c>
      <c r="Q42" s="2">
        <f>SUM(OSRRefD20_2x)+IFERROR(SUM(OSRRefE20_2x),0)</f>
        <v>3.31</v>
      </c>
    </row>
    <row r="43" spans="1:17" s="34" customFormat="1" hidden="1" outlineLevel="1" x14ac:dyDescent="0.25">
      <c r="A43" s="35"/>
      <c r="B43" s="13" t="str">
        <f>CONCATENATE("          ","6272", " - ","CASH (OVER/SHORT)")</f>
        <v xml:space="preserve">          6272 - CASH (OVER/SHORT)</v>
      </c>
      <c r="C43" s="15"/>
      <c r="D43" s="2"/>
      <c r="E43" s="2">
        <v>3.75</v>
      </c>
      <c r="F43" s="2">
        <v>-0.44</v>
      </c>
      <c r="G43" s="2"/>
      <c r="H43" s="2"/>
      <c r="I43" s="2"/>
      <c r="J43" s="2"/>
      <c r="K43" s="2"/>
      <c r="L43" s="2"/>
      <c r="M43" s="2"/>
      <c r="N43" s="2"/>
      <c r="O43" s="2"/>
      <c r="P43" s="9"/>
      <c r="Q43" s="2">
        <f>SUM(OSRRefD21_2_0x)+IFERROR(SUM(OSRRefE21_2_0x),0)</f>
        <v>3.31</v>
      </c>
    </row>
    <row r="44" spans="1:17" s="34" customFormat="1" collapsed="1" x14ac:dyDescent="0.25">
      <c r="A44" s="35"/>
      <c r="B44" s="15" t="str">
        <f>CONCATENATE("     ","Bank/card Fees                                    ")</f>
        <v xml:space="preserve">     Bank/card Fees                                    </v>
      </c>
      <c r="C44" s="15"/>
      <c r="D44" s="1">
        <f>SUM(OSRRefD21_3x_0)</f>
        <v>0</v>
      </c>
      <c r="E44" s="1">
        <f>SUM(OSRRefD21_3x_1)</f>
        <v>0</v>
      </c>
      <c r="F44" s="1">
        <f>SUM(OSRRefD21_3x_2)</f>
        <v>50.18</v>
      </c>
      <c r="G44" s="1">
        <f>SUM(OSRRefD21_3x_3)</f>
        <v>144.06</v>
      </c>
      <c r="H44" s="1">
        <f>SUM(OSRRefE21_3x_0)</f>
        <v>0</v>
      </c>
      <c r="I44" s="1">
        <f>SUM(OSRRefE21_3x_1)</f>
        <v>0</v>
      </c>
      <c r="J44" s="1">
        <f>SUM(OSRRefE21_3x_2)</f>
        <v>0</v>
      </c>
      <c r="K44" s="1">
        <f>SUM(OSRRefE21_3x_3)</f>
        <v>0</v>
      </c>
      <c r="L44" s="1">
        <f>SUM(OSRRefE21_3x_4)</f>
        <v>0</v>
      </c>
      <c r="M44" s="1">
        <f>SUM(OSRRefE21_3x_5)</f>
        <v>0</v>
      </c>
      <c r="N44" s="1">
        <f>SUM(OSRRefE21_3x_6)</f>
        <v>0</v>
      </c>
      <c r="O44" s="1">
        <f>SUM(OSRRefE21_3x_7)</f>
        <v>0</v>
      </c>
      <c r="Q44" s="2">
        <f>SUM(OSRRefD20_3x)+IFERROR(SUM(OSRRefE20_3x),0)</f>
        <v>194.24</v>
      </c>
    </row>
    <row r="45" spans="1:17" s="34" customFormat="1" hidden="1" outlineLevel="1" x14ac:dyDescent="0.25">
      <c r="A45" s="35"/>
      <c r="B45" s="13" t="str">
        <f>CONCATENATE("          ","6381", " - ","BANK/CREDIT CARD FEES")</f>
        <v xml:space="preserve">          6381 - BANK/CREDIT CARD FEES</v>
      </c>
      <c r="C45" s="15"/>
      <c r="D45" s="2"/>
      <c r="E45" s="2"/>
      <c r="F45" s="2">
        <v>50.18</v>
      </c>
      <c r="G45" s="2">
        <v>144.06</v>
      </c>
      <c r="H45" s="2"/>
      <c r="I45" s="2"/>
      <c r="J45" s="2"/>
      <c r="K45" s="2"/>
      <c r="L45" s="2"/>
      <c r="M45" s="2"/>
      <c r="N45" s="2"/>
      <c r="O45" s="2"/>
      <c r="P45" s="9"/>
      <c r="Q45" s="2">
        <f>SUM(OSRRefD21_3_0x)+IFERROR(SUM(OSRRefE21_3_0x),0)</f>
        <v>194.24</v>
      </c>
    </row>
    <row r="46" spans="1:17" s="34" customFormat="1" collapsed="1" x14ac:dyDescent="0.25">
      <c r="A46" s="35"/>
      <c r="B46" s="15" t="str">
        <f>CONCATENATE("     ","Depreciation                                      ")</f>
        <v xml:space="preserve">     Depreciation                                      </v>
      </c>
      <c r="C46" s="15"/>
      <c r="D46" s="1">
        <f>SUM(OSRRefD21_4x_0)</f>
        <v>1075.3699999999999</v>
      </c>
      <c r="E46" s="1">
        <f>SUM(OSRRefD21_4x_1)</f>
        <v>1075.3699999999999</v>
      </c>
      <c r="F46" s="1">
        <f>SUM(OSRRefD21_4x_2)</f>
        <v>1075.3699999999999</v>
      </c>
      <c r="G46" s="1">
        <f>SUM(OSRRefD21_4x_3)</f>
        <v>1075.3699999999999</v>
      </c>
      <c r="H46" s="1">
        <f>SUM(OSRRefE21_4x_0)</f>
        <v>1075</v>
      </c>
      <c r="I46" s="1">
        <f>SUM(OSRRefE21_4x_1)</f>
        <v>1075</v>
      </c>
      <c r="J46" s="1">
        <f>SUM(OSRRefE21_4x_2)</f>
        <v>1075</v>
      </c>
      <c r="K46" s="1">
        <f>SUM(OSRRefE21_4x_3)</f>
        <v>1075</v>
      </c>
      <c r="L46" s="1">
        <f>SUM(OSRRefE21_4x_4)</f>
        <v>1075</v>
      </c>
      <c r="M46" s="1">
        <f>SUM(OSRRefE21_4x_5)</f>
        <v>1075</v>
      </c>
      <c r="N46" s="1">
        <f>SUM(OSRRefE21_4x_6)</f>
        <v>1075</v>
      </c>
      <c r="O46" s="1">
        <f>SUM(OSRRefE21_4x_7)</f>
        <v>1075</v>
      </c>
      <c r="Q46" s="2">
        <f>SUM(OSRRefD20_4x)+IFERROR(SUM(OSRRefE20_4x),0)</f>
        <v>12901.48</v>
      </c>
    </row>
    <row r="47" spans="1:17" s="34" customFormat="1" hidden="1" outlineLevel="1" x14ac:dyDescent="0.25">
      <c r="A47" s="35"/>
      <c r="B47" s="13" t="str">
        <f>CONCATENATE("          ","6322", " - ","EQUIPMENT DEPRECIATION EXPENSE")</f>
        <v xml:space="preserve">          6322 - EQUIPMENT DEPRECIATION EXPENSE</v>
      </c>
      <c r="C47" s="15"/>
      <c r="D47" s="2">
        <v>1075.3699999999999</v>
      </c>
      <c r="E47" s="2">
        <v>1075.3699999999999</v>
      </c>
      <c r="F47" s="2">
        <v>1075.3699999999999</v>
      </c>
      <c r="G47" s="2">
        <v>1075.3699999999999</v>
      </c>
      <c r="H47" s="2">
        <v>1075</v>
      </c>
      <c r="I47" s="2">
        <v>1075</v>
      </c>
      <c r="J47" s="2">
        <v>1075</v>
      </c>
      <c r="K47" s="2">
        <v>1075</v>
      </c>
      <c r="L47" s="2">
        <v>1075</v>
      </c>
      <c r="M47" s="2">
        <v>1075</v>
      </c>
      <c r="N47" s="2">
        <v>1075</v>
      </c>
      <c r="O47" s="2">
        <v>1075</v>
      </c>
      <c r="P47" s="9"/>
      <c r="Q47" s="2">
        <f>SUM(OSRRefD21_4_0x)+IFERROR(SUM(OSRRefE21_4_0x),0)</f>
        <v>12901.48</v>
      </c>
    </row>
    <row r="48" spans="1:17" s="34" customFormat="1" collapsed="1" x14ac:dyDescent="0.25">
      <c r="A48" s="35"/>
      <c r="B48" s="15" t="str">
        <f>CONCATENATE("     ","General                                           ")</f>
        <v xml:space="preserve">     General                                           </v>
      </c>
      <c r="C48" s="15"/>
      <c r="D48" s="1">
        <f>SUM(OSRRefD21_5x_0)</f>
        <v>754.55</v>
      </c>
      <c r="E48" s="1">
        <f>SUM(OSRRefD21_5x_1)</f>
        <v>0</v>
      </c>
      <c r="F48" s="1">
        <f>SUM(OSRRefD21_5x_2)</f>
        <v>0</v>
      </c>
      <c r="G48" s="1">
        <f>SUM(OSRRefD21_5x_3)</f>
        <v>0</v>
      </c>
      <c r="H48" s="1">
        <f>SUM(OSRRefE21_5x_0)</f>
        <v>0</v>
      </c>
      <c r="I48" s="1">
        <f>SUM(OSRRefE21_5x_1)</f>
        <v>0</v>
      </c>
      <c r="J48" s="1">
        <f>SUM(OSRRefE21_5x_2)</f>
        <v>0</v>
      </c>
      <c r="K48" s="1">
        <f>SUM(OSRRefE21_5x_3)</f>
        <v>0</v>
      </c>
      <c r="L48" s="1">
        <f>SUM(OSRRefE21_5x_4)</f>
        <v>0</v>
      </c>
      <c r="M48" s="1">
        <f>SUM(OSRRefE21_5x_5)</f>
        <v>0</v>
      </c>
      <c r="N48" s="1">
        <f>SUM(OSRRefE21_5x_6)</f>
        <v>0</v>
      </c>
      <c r="O48" s="1">
        <f>SUM(OSRRefE21_5x_7)</f>
        <v>0</v>
      </c>
      <c r="Q48" s="2">
        <f>SUM(OSRRefD20_5x)+IFERROR(SUM(OSRRefE20_5x),0)</f>
        <v>754.55</v>
      </c>
    </row>
    <row r="49" spans="1:17" s="34" customFormat="1" hidden="1" outlineLevel="1" x14ac:dyDescent="0.25">
      <c r="A49" s="35"/>
      <c r="B49" s="13" t="str">
        <f>CONCATENATE("          ","6279", " - ","GENERAL EXPENSE")</f>
        <v xml:space="preserve">          6279 - GENERAL EXPENSE</v>
      </c>
      <c r="C49" s="15"/>
      <c r="D49" s="2">
        <v>754.55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9"/>
      <c r="Q49" s="2">
        <f>SUM(OSRRefD21_5_0x)+IFERROR(SUM(OSRRefE21_5_0x),0)</f>
        <v>754.55</v>
      </c>
    </row>
    <row r="50" spans="1:17" s="34" customFormat="1" collapsed="1" x14ac:dyDescent="0.25">
      <c r="A50" s="35"/>
      <c r="B50" s="15" t="str">
        <f>CONCATENATE("     ","Repair and Maintenance                            ")</f>
        <v xml:space="preserve">     Repair and Maintenance                            </v>
      </c>
      <c r="C50" s="15"/>
      <c r="D50" s="1">
        <f>SUM(OSRRefD21_6x_0)</f>
        <v>0</v>
      </c>
      <c r="E50" s="1">
        <f>SUM(OSRRefD21_6x_1)</f>
        <v>168.6</v>
      </c>
      <c r="F50" s="1">
        <f>SUM(OSRRefD21_6x_2)</f>
        <v>275.79000000000002</v>
      </c>
      <c r="G50" s="1">
        <f>SUM(OSRRefD21_6x_3)</f>
        <v>0</v>
      </c>
      <c r="H50" s="1">
        <f>SUM(OSRRefE21_6x_0)</f>
        <v>0</v>
      </c>
      <c r="I50" s="1">
        <f>SUM(OSRRefE21_6x_1)</f>
        <v>0</v>
      </c>
      <c r="J50" s="1">
        <f>SUM(OSRRefE21_6x_2)</f>
        <v>0</v>
      </c>
      <c r="K50" s="1">
        <f>SUM(OSRRefE21_6x_3)</f>
        <v>0</v>
      </c>
      <c r="L50" s="1">
        <f>SUM(OSRRefE21_6x_4)</f>
        <v>0</v>
      </c>
      <c r="M50" s="1">
        <f>SUM(OSRRefE21_6x_5)</f>
        <v>0</v>
      </c>
      <c r="N50" s="1">
        <f>SUM(OSRRefE21_6x_6)</f>
        <v>0</v>
      </c>
      <c r="O50" s="1">
        <f>SUM(OSRRefE21_6x_7)</f>
        <v>0</v>
      </c>
      <c r="Q50" s="2">
        <f>SUM(OSRRefD20_6x)+IFERROR(SUM(OSRRefE20_6x),0)</f>
        <v>444.39</v>
      </c>
    </row>
    <row r="51" spans="1:17" s="34" customFormat="1" hidden="1" outlineLevel="1" x14ac:dyDescent="0.25">
      <c r="A51" s="35"/>
      <c r="B51" s="13" t="str">
        <f>CONCATENATE("          ","6373", " - ","MAINTENANCE CONTRACTS")</f>
        <v xml:space="preserve">          6373 - MAINTENANCE CONTRACTS</v>
      </c>
      <c r="C51" s="15"/>
      <c r="D51" s="2"/>
      <c r="E51" s="2">
        <v>78.599999999999994</v>
      </c>
      <c r="F51" s="2">
        <v>48.23</v>
      </c>
      <c r="G51" s="2"/>
      <c r="H51" s="2"/>
      <c r="I51" s="2"/>
      <c r="J51" s="2"/>
      <c r="K51" s="2"/>
      <c r="L51" s="2"/>
      <c r="M51" s="2"/>
      <c r="N51" s="2"/>
      <c r="O51" s="2"/>
      <c r="P51" s="9"/>
      <c r="Q51" s="2">
        <f>SUM(OSRRefD21_6_0x)+IFERROR(SUM(OSRRefE21_6_0x),0)</f>
        <v>126.82999999999998</v>
      </c>
    </row>
    <row r="52" spans="1:17" s="34" customFormat="1" hidden="1" outlineLevel="1" x14ac:dyDescent="0.25">
      <c r="A52" s="35"/>
      <c r="B52" s="13" t="str">
        <f>CONCATENATE("          ","6375", " - ","OUTSIDE REPAIRS &amp; MAINTENANCE")</f>
        <v xml:space="preserve">          6375 - OUTSIDE REPAIRS &amp; MAINTENANCE</v>
      </c>
      <c r="C52" s="15"/>
      <c r="D52" s="2"/>
      <c r="E52" s="2">
        <v>90</v>
      </c>
      <c r="F52" s="2">
        <v>227.56</v>
      </c>
      <c r="G52" s="2"/>
      <c r="H52" s="2"/>
      <c r="I52" s="2"/>
      <c r="J52" s="2"/>
      <c r="K52" s="2"/>
      <c r="L52" s="2"/>
      <c r="M52" s="2"/>
      <c r="N52" s="2"/>
      <c r="O52" s="2"/>
      <c r="P52" s="9"/>
      <c r="Q52" s="2">
        <f>SUM(OSRRefD21_6_1x)+IFERROR(SUM(OSRRefE21_6_1x),0)</f>
        <v>317.56</v>
      </c>
    </row>
    <row r="53" spans="1:17" s="34" customFormat="1" collapsed="1" x14ac:dyDescent="0.25">
      <c r="A53" s="35"/>
      <c r="B53" s="15" t="str">
        <f>CONCATENATE("     ","Royalty &amp; Commissions                             ")</f>
        <v xml:space="preserve">     Royalty &amp; Commissions                             </v>
      </c>
      <c r="C53" s="15"/>
      <c r="D53" s="1">
        <f>SUM(OSRRefD21_7x_0)</f>
        <v>0</v>
      </c>
      <c r="E53" s="1">
        <f>SUM(OSRRefD21_7x_1)</f>
        <v>0</v>
      </c>
      <c r="F53" s="1">
        <f>SUM(OSRRefD21_7x_2)</f>
        <v>0</v>
      </c>
      <c r="G53" s="1">
        <f>SUM(OSRRefD21_7x_3)</f>
        <v>185.7</v>
      </c>
      <c r="H53" s="1">
        <f>SUM(OSRRefE21_7x_0)</f>
        <v>0</v>
      </c>
      <c r="I53" s="1">
        <f>SUM(OSRRefE21_7x_1)</f>
        <v>0</v>
      </c>
      <c r="J53" s="1">
        <f>SUM(OSRRefE21_7x_2)</f>
        <v>0</v>
      </c>
      <c r="K53" s="1">
        <f>SUM(OSRRefE21_7x_3)</f>
        <v>0</v>
      </c>
      <c r="L53" s="1">
        <f>SUM(OSRRefE21_7x_4)</f>
        <v>0</v>
      </c>
      <c r="M53" s="1">
        <f>SUM(OSRRefE21_7x_5)</f>
        <v>0</v>
      </c>
      <c r="N53" s="1">
        <f>SUM(OSRRefE21_7x_6)</f>
        <v>0</v>
      </c>
      <c r="O53" s="1">
        <f>SUM(OSRRefE21_7x_7)</f>
        <v>0</v>
      </c>
      <c r="Q53" s="2">
        <f>SUM(OSRRefD20_7x)+IFERROR(SUM(OSRRefE20_7x),0)</f>
        <v>185.7</v>
      </c>
    </row>
    <row r="54" spans="1:17" s="34" customFormat="1" hidden="1" outlineLevel="1" x14ac:dyDescent="0.25">
      <c r="A54" s="35"/>
      <c r="B54" s="13" t="str">
        <f>CONCATENATE("          ","6254", " - ","ROYALTY &amp; COMMISSIONS")</f>
        <v xml:space="preserve">          6254 - ROYALTY &amp; COMMISSIONS</v>
      </c>
      <c r="C54" s="15"/>
      <c r="D54" s="2"/>
      <c r="E54" s="2"/>
      <c r="F54" s="2"/>
      <c r="G54" s="2">
        <v>185.7</v>
      </c>
      <c r="H54" s="2"/>
      <c r="I54" s="2"/>
      <c r="J54" s="2"/>
      <c r="K54" s="2"/>
      <c r="L54" s="2"/>
      <c r="M54" s="2"/>
      <c r="N54" s="2"/>
      <c r="O54" s="2"/>
      <c r="P54" s="9"/>
      <c r="Q54" s="2">
        <f>SUM(OSRRefD21_7_0x)+IFERROR(SUM(OSRRefE21_7_0x),0)</f>
        <v>185.7</v>
      </c>
    </row>
    <row r="55" spans="1:17" s="34" customFormat="1" collapsed="1" x14ac:dyDescent="0.25">
      <c r="A55" s="35"/>
      <c r="B55" s="15" t="str">
        <f>CONCATENATE("     ","Services                                          ")</f>
        <v xml:space="preserve">     Services                                          </v>
      </c>
      <c r="C55" s="15"/>
      <c r="D55" s="1">
        <f>SUM(OSRRefD21_8x_0)</f>
        <v>-145.32</v>
      </c>
      <c r="E55" s="1">
        <f>SUM(OSRRefD21_8x_1)</f>
        <v>0</v>
      </c>
      <c r="F55" s="1">
        <f>SUM(OSRRefD21_8x_2)</f>
        <v>41</v>
      </c>
      <c r="G55" s="1">
        <f>SUM(OSRRefD21_8x_3)</f>
        <v>0</v>
      </c>
      <c r="H55" s="1">
        <f>SUM(OSRRefE21_8x_0)</f>
        <v>0</v>
      </c>
      <c r="I55" s="1">
        <f>SUM(OSRRefE21_8x_1)</f>
        <v>0</v>
      </c>
      <c r="J55" s="1">
        <f>SUM(OSRRefE21_8x_2)</f>
        <v>0</v>
      </c>
      <c r="K55" s="1">
        <f>SUM(OSRRefE21_8x_3)</f>
        <v>0</v>
      </c>
      <c r="L55" s="1">
        <f>SUM(OSRRefE21_8x_4)</f>
        <v>0</v>
      </c>
      <c r="M55" s="1">
        <f>SUM(OSRRefE21_8x_5)</f>
        <v>0</v>
      </c>
      <c r="N55" s="1">
        <f>SUM(OSRRefE21_8x_6)</f>
        <v>0</v>
      </c>
      <c r="O55" s="1">
        <f>SUM(OSRRefE21_8x_7)</f>
        <v>0</v>
      </c>
      <c r="Q55" s="2">
        <f>SUM(OSRRefD20_8x)+IFERROR(SUM(OSRRefE20_8x),0)</f>
        <v>-104.32</v>
      </c>
    </row>
    <row r="56" spans="1:17" s="34" customFormat="1" hidden="1" outlineLevel="1" x14ac:dyDescent="0.25">
      <c r="A56" s="35"/>
      <c r="B56" s="13" t="str">
        <f>CONCATENATE("          ","6282", " - ","JANITORIAL/EXTERMINATOR EXPENS")</f>
        <v xml:space="preserve">          6282 - JANITORIAL/EXTERMINATOR EXPENS</v>
      </c>
      <c r="C56" s="15"/>
      <c r="D56" s="2"/>
      <c r="E56" s="2"/>
      <c r="F56" s="2">
        <v>41</v>
      </c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SUM(OSRRefD21_8_0x)+IFERROR(SUM(OSRRefE21_8_0x),0)</f>
        <v>41</v>
      </c>
    </row>
    <row r="57" spans="1:17" s="34" customFormat="1" hidden="1" outlineLevel="1" x14ac:dyDescent="0.25">
      <c r="A57" s="35"/>
      <c r="B57" s="13" t="str">
        <f>CONCATENATE("          ","6285", " - ","JANITORIAL SERVICES")</f>
        <v xml:space="preserve">          6285 - JANITORIAL SERVICES</v>
      </c>
      <c r="C57" s="15"/>
      <c r="D57" s="2">
        <v>-145.32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SUM(OSRRefD21_8_1x)+IFERROR(SUM(OSRRefE21_8_1x),0)</f>
        <v>-145.32</v>
      </c>
    </row>
    <row r="58" spans="1:17" s="34" customFormat="1" collapsed="1" x14ac:dyDescent="0.25">
      <c r="A58" s="35"/>
      <c r="B58" s="15" t="str">
        <f>CONCATENATE("     ","Supplies                                          ")</f>
        <v xml:space="preserve">     Supplies                                          </v>
      </c>
      <c r="C58" s="15"/>
      <c r="D58" s="1">
        <f>SUM(OSRRefD21_9x_0)</f>
        <v>207.27</v>
      </c>
      <c r="E58" s="1">
        <f>SUM(OSRRefD21_9x_1)</f>
        <v>80.28</v>
      </c>
      <c r="F58" s="1">
        <f>SUM(OSRRefD21_9x_2)</f>
        <v>0</v>
      </c>
      <c r="G58" s="1">
        <f>SUM(OSRRefD21_9x_3)</f>
        <v>41</v>
      </c>
      <c r="H58" s="1">
        <f>SUM(OSRRefE21_9x_0)</f>
        <v>0</v>
      </c>
      <c r="I58" s="1">
        <f>SUM(OSRRefE21_9x_1)</f>
        <v>0</v>
      </c>
      <c r="J58" s="1">
        <f>SUM(OSRRefE21_9x_2)</f>
        <v>0</v>
      </c>
      <c r="K58" s="1">
        <f>SUM(OSRRefE21_9x_3)</f>
        <v>0</v>
      </c>
      <c r="L58" s="1">
        <f>SUM(OSRRefE21_9x_4)</f>
        <v>0</v>
      </c>
      <c r="M58" s="1">
        <f>SUM(OSRRefE21_9x_5)</f>
        <v>0</v>
      </c>
      <c r="N58" s="1">
        <f>SUM(OSRRefE21_9x_6)</f>
        <v>0</v>
      </c>
      <c r="O58" s="1">
        <f>SUM(OSRRefE21_9x_7)</f>
        <v>0</v>
      </c>
      <c r="Q58" s="2">
        <f>SUM(OSRRefD20_9x)+IFERROR(SUM(OSRRefE20_9x),0)</f>
        <v>328.55</v>
      </c>
    </row>
    <row r="59" spans="1:17" s="34" customFormat="1" hidden="1" outlineLevel="1" x14ac:dyDescent="0.25">
      <c r="A59" s="35"/>
      <c r="B59" s="13" t="str">
        <f>CONCATENATE("          ","6235", " - ","COVID-19 EXPENSES")</f>
        <v xml:space="preserve">          6235 - COVID-19 EXPENSES</v>
      </c>
      <c r="C59" s="15"/>
      <c r="D59" s="2">
        <v>207.27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9"/>
      <c r="Q59" s="2">
        <f>SUM(OSRRefD21_9_0x)+IFERROR(SUM(OSRRefE21_9_0x),0)</f>
        <v>207.27</v>
      </c>
    </row>
    <row r="60" spans="1:17" s="34" customFormat="1" hidden="1" outlineLevel="1" x14ac:dyDescent="0.25">
      <c r="A60" s="35"/>
      <c r="B60" s="13" t="str">
        <f>CONCATENATE("          ","6247", " - ","STORE SUPPLIES")</f>
        <v xml:space="preserve">          6247 - STORE SUPPLIES</v>
      </c>
      <c r="C60" s="15"/>
      <c r="D60" s="2"/>
      <c r="E60" s="2">
        <v>80.28</v>
      </c>
      <c r="F60" s="2"/>
      <c r="G60" s="2">
        <v>41</v>
      </c>
      <c r="H60" s="2"/>
      <c r="I60" s="2"/>
      <c r="J60" s="2"/>
      <c r="K60" s="2"/>
      <c r="L60" s="2"/>
      <c r="M60" s="2"/>
      <c r="N60" s="2"/>
      <c r="O60" s="2"/>
      <c r="P60" s="9"/>
      <c r="Q60" s="2">
        <f>SUM(OSRRefD21_9_1x)+IFERROR(SUM(OSRRefE21_9_1x),0)</f>
        <v>121.28</v>
      </c>
    </row>
    <row r="61" spans="1:17" s="34" customFormat="1" collapsed="1" x14ac:dyDescent="0.25">
      <c r="A61" s="35"/>
      <c r="B61" s="15" t="str">
        <f>CONCATENATE("     ","Telephone/Data Lines                              ")</f>
        <v xml:space="preserve">     Telephone/Data Lines                              </v>
      </c>
      <c r="C61" s="15"/>
      <c r="D61" s="1">
        <f>SUM(OSRRefD21_10x_0)</f>
        <v>101.5</v>
      </c>
      <c r="E61" s="1">
        <f>SUM(OSRRefD21_10x_1)</f>
        <v>101.5</v>
      </c>
      <c r="F61" s="1">
        <f>SUM(OSRRefD21_10x_2)</f>
        <v>125</v>
      </c>
      <c r="G61" s="1">
        <f>SUM(OSRRefD21_10x_3)</f>
        <v>101.5</v>
      </c>
      <c r="H61" s="1">
        <f>SUM(OSRRefE21_10x_0)</f>
        <v>75</v>
      </c>
      <c r="I61" s="1">
        <f>SUM(OSRRefE21_10x_1)</f>
        <v>75</v>
      </c>
      <c r="J61" s="1">
        <f>SUM(OSRRefE21_10x_2)</f>
        <v>75</v>
      </c>
      <c r="K61" s="1">
        <f>SUM(OSRRefE21_10x_3)</f>
        <v>75</v>
      </c>
      <c r="L61" s="1">
        <f>SUM(OSRRefE21_10x_4)</f>
        <v>75</v>
      </c>
      <c r="M61" s="1">
        <f>SUM(OSRRefE21_10x_5)</f>
        <v>75</v>
      </c>
      <c r="N61" s="1">
        <f>SUM(OSRRefE21_10x_6)</f>
        <v>75</v>
      </c>
      <c r="O61" s="1">
        <f>SUM(OSRRefE21_10x_7)</f>
        <v>75</v>
      </c>
      <c r="Q61" s="2">
        <f>SUM(OSRRefD20_10x)+IFERROR(SUM(OSRRefE20_10x),0)</f>
        <v>1029.5</v>
      </c>
    </row>
    <row r="62" spans="1:17" s="34" customFormat="1" hidden="1" outlineLevel="1" x14ac:dyDescent="0.25">
      <c r="A62" s="35"/>
      <c r="B62" s="13" t="str">
        <f>CONCATENATE("          ","6303", " - ","DATA PHONE LINES")</f>
        <v xml:space="preserve">          6303 - DATA PHONE LINES</v>
      </c>
      <c r="C62" s="15"/>
      <c r="D62" s="2"/>
      <c r="E62" s="2"/>
      <c r="F62" s="2"/>
      <c r="G62" s="2"/>
      <c r="H62" s="2">
        <v>75</v>
      </c>
      <c r="I62" s="2">
        <v>75</v>
      </c>
      <c r="J62" s="2">
        <v>75</v>
      </c>
      <c r="K62" s="2">
        <v>75</v>
      </c>
      <c r="L62" s="2">
        <v>75</v>
      </c>
      <c r="M62" s="2">
        <v>75</v>
      </c>
      <c r="N62" s="2">
        <v>75</v>
      </c>
      <c r="O62" s="2">
        <v>75</v>
      </c>
      <c r="P62" s="9"/>
      <c r="Q62" s="2">
        <f>SUM(OSRRefD21_10_0x)+IFERROR(SUM(OSRRefE21_10_0x),0)</f>
        <v>600</v>
      </c>
    </row>
    <row r="63" spans="1:17" s="34" customFormat="1" hidden="1" outlineLevel="1" x14ac:dyDescent="0.25">
      <c r="A63" s="35"/>
      <c r="B63" s="13" t="str">
        <f>CONCATENATE("          ","6309", " - ","TELEPHONE")</f>
        <v xml:space="preserve">          6309 - TELEPHONE</v>
      </c>
      <c r="C63" s="15"/>
      <c r="D63" s="2">
        <v>101.5</v>
      </c>
      <c r="E63" s="2">
        <v>101.5</v>
      </c>
      <c r="F63" s="2">
        <v>125</v>
      </c>
      <c r="G63" s="2">
        <v>101.5</v>
      </c>
      <c r="H63" s="2"/>
      <c r="I63" s="2"/>
      <c r="J63" s="2"/>
      <c r="K63" s="2"/>
      <c r="L63" s="2"/>
      <c r="M63" s="2"/>
      <c r="N63" s="2"/>
      <c r="O63" s="2"/>
      <c r="P63" s="9"/>
      <c r="Q63" s="2">
        <f>SUM(OSRRefD21_10_1x)+IFERROR(SUM(OSRRefE21_10_1x),0)</f>
        <v>429.5</v>
      </c>
    </row>
    <row r="64" spans="1:17" s="34" customFormat="1" collapsed="1" x14ac:dyDescent="0.25">
      <c r="A64" s="35"/>
      <c r="B64" s="15" t="str">
        <f>CONCATENATE("     ","Training                                          ")</f>
        <v xml:space="preserve">     Training                                          </v>
      </c>
      <c r="C64" s="15"/>
      <c r="D64" s="1">
        <f>SUM(OSRRefD21_11x_0)</f>
        <v>0</v>
      </c>
      <c r="E64" s="1">
        <f>SUM(OSRRefD21_11x_1)</f>
        <v>0</v>
      </c>
      <c r="F64" s="1">
        <f>SUM(OSRRefD21_11x_2)</f>
        <v>0</v>
      </c>
      <c r="G64" s="1">
        <f>SUM(OSRRefD21_11x_3)</f>
        <v>0</v>
      </c>
      <c r="H64" s="1">
        <f>SUM(OSRRefE21_11x_0)</f>
        <v>0</v>
      </c>
      <c r="I64" s="1">
        <f>SUM(OSRRefE21_11x_1)</f>
        <v>0</v>
      </c>
      <c r="J64" s="1">
        <f>SUM(OSRRefE21_11x_2)</f>
        <v>60</v>
      </c>
      <c r="K64" s="1">
        <f>SUM(OSRRefE21_11x_3)</f>
        <v>0</v>
      </c>
      <c r="L64" s="1">
        <f>SUM(OSRRefE21_11x_4)</f>
        <v>0</v>
      </c>
      <c r="M64" s="1">
        <f>SUM(OSRRefE21_11x_5)</f>
        <v>0</v>
      </c>
      <c r="N64" s="1">
        <f>SUM(OSRRefE21_11x_6)</f>
        <v>0</v>
      </c>
      <c r="O64" s="1">
        <f>SUM(OSRRefE21_11x_7)</f>
        <v>0</v>
      </c>
      <c r="Q64" s="2">
        <f>SUM(OSRRefD20_11x)+IFERROR(SUM(OSRRefE20_11x),0)</f>
        <v>60</v>
      </c>
    </row>
    <row r="65" spans="1:17" s="34" customFormat="1" hidden="1" outlineLevel="1" x14ac:dyDescent="0.25">
      <c r="A65" s="35"/>
      <c r="B65" s="13" t="str">
        <f>CONCATENATE("          ","6376", " - ","TRAINING")</f>
        <v xml:space="preserve">          6376 - TRAINING</v>
      </c>
      <c r="C65" s="15"/>
      <c r="D65" s="2"/>
      <c r="E65" s="2"/>
      <c r="F65" s="2"/>
      <c r="G65" s="2"/>
      <c r="H65" s="2"/>
      <c r="I65" s="2"/>
      <c r="J65" s="2">
        <v>60</v>
      </c>
      <c r="K65" s="2"/>
      <c r="L65" s="2"/>
      <c r="M65" s="2"/>
      <c r="N65" s="2"/>
      <c r="O65" s="2"/>
      <c r="P65" s="9"/>
      <c r="Q65" s="2">
        <f>SUM(OSRRefD21_11_0x)+IFERROR(SUM(OSRRefE21_11_0x),0)</f>
        <v>60</v>
      </c>
    </row>
    <row r="66" spans="1:17" s="34" customFormat="1" collapsed="1" x14ac:dyDescent="0.25">
      <c r="A66" s="35"/>
      <c r="B66" s="15" t="str">
        <f>CONCATENATE("     ","Utilities                                         ")</f>
        <v xml:space="preserve">     Utilities                                         </v>
      </c>
      <c r="C66" s="15"/>
      <c r="D66" s="1">
        <f>SUM(OSRRefD21_12x_0)</f>
        <v>50</v>
      </c>
      <c r="E66" s="1">
        <f>SUM(OSRRefD21_12x_1)</f>
        <v>50</v>
      </c>
      <c r="F66" s="1">
        <f>SUM(OSRRefD21_12x_2)</f>
        <v>50</v>
      </c>
      <c r="G66" s="1">
        <f>SUM(OSRRefD21_12x_3)</f>
        <v>50</v>
      </c>
      <c r="H66" s="1">
        <f>SUM(OSRRefE21_12x_0)</f>
        <v>50</v>
      </c>
      <c r="I66" s="1">
        <f>SUM(OSRRefE21_12x_1)</f>
        <v>50</v>
      </c>
      <c r="J66" s="1">
        <f>SUM(OSRRefE21_12x_2)</f>
        <v>50</v>
      </c>
      <c r="K66" s="1">
        <f>SUM(OSRRefE21_12x_3)</f>
        <v>50</v>
      </c>
      <c r="L66" s="1">
        <f>SUM(OSRRefE21_12x_4)</f>
        <v>50</v>
      </c>
      <c r="M66" s="1">
        <f>SUM(OSRRefE21_12x_5)</f>
        <v>50</v>
      </c>
      <c r="N66" s="1">
        <f>SUM(OSRRefE21_12x_6)</f>
        <v>50</v>
      </c>
      <c r="O66" s="1">
        <f>SUM(OSRRefE21_12x_7)</f>
        <v>50</v>
      </c>
      <c r="Q66" s="2">
        <f>SUM(OSRRefD20_12x)+IFERROR(SUM(OSRRefE20_12x),0)</f>
        <v>600</v>
      </c>
    </row>
    <row r="67" spans="1:17" s="34" customFormat="1" hidden="1" outlineLevel="1" x14ac:dyDescent="0.25">
      <c r="A67" s="35"/>
      <c r="B67" s="13" t="str">
        <f>CONCATENATE("          ","6274", " - ","UTILITIES")</f>
        <v xml:space="preserve">          6274 - UTILITIES</v>
      </c>
      <c r="C67" s="15"/>
      <c r="D67" s="2">
        <v>50</v>
      </c>
      <c r="E67" s="2">
        <v>50</v>
      </c>
      <c r="F67" s="2">
        <v>50</v>
      </c>
      <c r="G67" s="2">
        <v>50</v>
      </c>
      <c r="H67" s="2">
        <v>50</v>
      </c>
      <c r="I67" s="2">
        <v>50</v>
      </c>
      <c r="J67" s="2">
        <v>50</v>
      </c>
      <c r="K67" s="2">
        <v>50</v>
      </c>
      <c r="L67" s="2">
        <v>50</v>
      </c>
      <c r="M67" s="2">
        <v>50</v>
      </c>
      <c r="N67" s="2">
        <v>50</v>
      </c>
      <c r="O67" s="2">
        <v>50</v>
      </c>
      <c r="P67" s="9"/>
      <c r="Q67" s="2">
        <f>SUM(OSRRefD21_12_0x)+IFERROR(SUM(OSRRefE21_12_0x),0)</f>
        <v>600</v>
      </c>
    </row>
    <row r="68" spans="1:17" s="28" customFormat="1" x14ac:dyDescent="0.25">
      <c r="A68" s="20"/>
      <c r="B68" s="20"/>
      <c r="C68" s="20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Q68" s="1"/>
    </row>
    <row r="69" spans="1:17" s="9" customFormat="1" x14ac:dyDescent="0.25">
      <c r="A69" s="22"/>
      <c r="B69" s="16" t="s">
        <v>0</v>
      </c>
      <c r="C69" s="23"/>
      <c r="D69" s="3">
        <f t="shared" ref="D69:G69" si="4">0</f>
        <v>0</v>
      </c>
      <c r="E69" s="3">
        <f t="shared" si="4"/>
        <v>0</v>
      </c>
      <c r="F69" s="3">
        <f t="shared" si="4"/>
        <v>0</v>
      </c>
      <c r="G69" s="3">
        <f t="shared" si="4"/>
        <v>0</v>
      </c>
      <c r="H69" s="3"/>
      <c r="I69" s="3"/>
      <c r="J69" s="3"/>
      <c r="K69" s="3"/>
      <c r="L69" s="3"/>
      <c r="M69" s="3"/>
      <c r="N69" s="3"/>
      <c r="O69" s="3"/>
      <c r="Q69" s="2">
        <f>SUM(OSRRefD23_0x)+IFERROR(SUM(OSRRefE23_0x),0)</f>
        <v>0</v>
      </c>
    </row>
    <row r="70" spans="1:17" x14ac:dyDescent="0.25">
      <c r="A70" s="5"/>
      <c r="B70" s="8"/>
      <c r="C70" s="8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4" customFormat="1" x14ac:dyDescent="0.25">
      <c r="A71" s="8"/>
      <c r="B71" s="17" t="s">
        <v>3</v>
      </c>
      <c r="C71" s="17"/>
      <c r="D71" s="6">
        <f t="shared" ref="D71:O71" si="5">IFERROR(+D17-D20+D69, 0)</f>
        <v>-5571.05</v>
      </c>
      <c r="E71" s="6">
        <f t="shared" si="5"/>
        <v>-7576.49</v>
      </c>
      <c r="F71" s="6">
        <f t="shared" si="5"/>
        <v>-7432.3000000000029</v>
      </c>
      <c r="G71" s="6">
        <f t="shared" si="5"/>
        <v>-4381.6699999999992</v>
      </c>
      <c r="H71" s="6">
        <f t="shared" si="5"/>
        <v>-1200</v>
      </c>
      <c r="I71" s="6">
        <f t="shared" si="5"/>
        <v>-1200</v>
      </c>
      <c r="J71" s="6">
        <f t="shared" si="5"/>
        <v>-1260</v>
      </c>
      <c r="K71" s="6">
        <f t="shared" si="5"/>
        <v>-1200</v>
      </c>
      <c r="L71" s="6">
        <f t="shared" si="5"/>
        <v>-1200</v>
      </c>
      <c r="M71" s="6">
        <f t="shared" si="5"/>
        <v>-1200</v>
      </c>
      <c r="N71" s="6">
        <f t="shared" si="5"/>
        <v>-1200</v>
      </c>
      <c r="O71" s="6">
        <f t="shared" si="5"/>
        <v>-1200</v>
      </c>
      <c r="Q71" s="6">
        <f>IFERROR(+Q17-Q20+Q69, 0)</f>
        <v>-34621.510000000009</v>
      </c>
    </row>
    <row r="72" spans="1:17" s="8" customFormat="1" x14ac:dyDescent="0.25">
      <c r="B72" s="16"/>
      <c r="C72" s="16"/>
      <c r="D72" s="4">
        <f t="shared" ref="D72:O72" si="6">IFERROR(D71/D10, 0)</f>
        <v>0</v>
      </c>
      <c r="E72" s="4">
        <f t="shared" si="6"/>
        <v>-10.611330532212884</v>
      </c>
      <c r="F72" s="4">
        <f t="shared" si="6"/>
        <v>-4.216979579794268</v>
      </c>
      <c r="G72" s="4">
        <f t="shared" si="6"/>
        <v>0</v>
      </c>
      <c r="H72" s="4">
        <f t="shared" si="6"/>
        <v>0</v>
      </c>
      <c r="I72" s="4">
        <f t="shared" si="6"/>
        <v>0</v>
      </c>
      <c r="J72" s="4">
        <f t="shared" si="6"/>
        <v>0</v>
      </c>
      <c r="K72" s="4">
        <f t="shared" si="6"/>
        <v>0</v>
      </c>
      <c r="L72" s="4">
        <f t="shared" si="6"/>
        <v>0</v>
      </c>
      <c r="M72" s="4">
        <f t="shared" si="6"/>
        <v>0</v>
      </c>
      <c r="N72" s="4">
        <f t="shared" si="6"/>
        <v>0</v>
      </c>
      <c r="O72" s="4">
        <f t="shared" si="6"/>
        <v>0</v>
      </c>
      <c r="P72" s="18"/>
      <c r="Q72" s="4">
        <f>IFERROR(Q71/Q10, 0)</f>
        <v>-13.980185505982311</v>
      </c>
    </row>
    <row r="73" spans="1:17" x14ac:dyDescent="0.25">
      <c r="A73" s="5"/>
      <c r="B73" s="8"/>
      <c r="C73" s="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4" customFormat="1" x14ac:dyDescent="0.25">
      <c r="A74" s="25"/>
      <c r="B74" s="8" t="s">
        <v>8</v>
      </c>
      <c r="C74" s="8"/>
      <c r="D74" s="3"/>
      <c r="E74" s="3">
        <v>120.55</v>
      </c>
      <c r="F74" s="3">
        <v>338.23</v>
      </c>
      <c r="G74" s="3">
        <v>77.680000000000007</v>
      </c>
      <c r="H74" s="3">
        <v>1607</v>
      </c>
      <c r="I74" s="3">
        <v>1118</v>
      </c>
      <c r="J74" s="3">
        <v>1250</v>
      </c>
      <c r="K74" s="3">
        <v>4060</v>
      </c>
      <c r="L74" s="3">
        <v>3871</v>
      </c>
      <c r="M74" s="3">
        <v>3540</v>
      </c>
      <c r="N74" s="3">
        <v>1961</v>
      </c>
      <c r="O74" s="3">
        <v>-1801</v>
      </c>
      <c r="Q74" s="2">
        <f>SUM(OSRRefD28_0x)+IFERROR(SUM(OSRRefE28_0x),0)</f>
        <v>16142.46</v>
      </c>
    </row>
    <row r="75" spans="1:17" x14ac:dyDescent="0.25">
      <c r="A75" s="5"/>
      <c r="B75" s="8"/>
      <c r="C75" s="8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4" customFormat="1" ht="15.75" thickBot="1" x14ac:dyDescent="0.3">
      <c r="A76" s="8"/>
      <c r="B76" s="17" t="s">
        <v>4</v>
      </c>
      <c r="C76" s="17"/>
      <c r="D76" s="7">
        <f t="shared" ref="D76:O76" si="7">IFERROR(+D71-D74, 0)</f>
        <v>-5571.05</v>
      </c>
      <c r="E76" s="7">
        <f t="shared" si="7"/>
        <v>-7697.04</v>
      </c>
      <c r="F76" s="7">
        <f t="shared" si="7"/>
        <v>-7770.5300000000025</v>
      </c>
      <c r="G76" s="7">
        <f t="shared" si="7"/>
        <v>-4459.3499999999995</v>
      </c>
      <c r="H76" s="7">
        <f t="shared" si="7"/>
        <v>-2807</v>
      </c>
      <c r="I76" s="7">
        <f t="shared" si="7"/>
        <v>-2318</v>
      </c>
      <c r="J76" s="7">
        <f t="shared" si="7"/>
        <v>-2510</v>
      </c>
      <c r="K76" s="7">
        <f t="shared" si="7"/>
        <v>-5260</v>
      </c>
      <c r="L76" s="7">
        <f t="shared" si="7"/>
        <v>-5071</v>
      </c>
      <c r="M76" s="7">
        <f t="shared" si="7"/>
        <v>-4740</v>
      </c>
      <c r="N76" s="7">
        <f t="shared" si="7"/>
        <v>-3161</v>
      </c>
      <c r="O76" s="7">
        <f t="shared" si="7"/>
        <v>601</v>
      </c>
      <c r="Q76" s="7">
        <f>IFERROR(+Q71-Q74, 0)</f>
        <v>-50763.970000000008</v>
      </c>
    </row>
    <row r="77" spans="1:17" ht="15.75" thickTop="1" x14ac:dyDescent="0.25">
      <c r="A77" s="5"/>
      <c r="B77" s="5"/>
      <c r="C77" s="5"/>
      <c r="D77" s="4">
        <f t="shared" ref="D77:O77" si="8">IFERROR(D76/D10, 0)</f>
        <v>0</v>
      </c>
      <c r="E77" s="4">
        <f t="shared" si="8"/>
        <v>-10.78016806722689</v>
      </c>
      <c r="F77" s="4">
        <f t="shared" si="8"/>
        <v>-4.4088863923924961</v>
      </c>
      <c r="G77" s="4">
        <f t="shared" si="8"/>
        <v>0</v>
      </c>
      <c r="H77" s="4">
        <f t="shared" si="8"/>
        <v>0</v>
      </c>
      <c r="I77" s="4">
        <f t="shared" si="8"/>
        <v>0</v>
      </c>
      <c r="J77" s="4">
        <f t="shared" si="8"/>
        <v>0</v>
      </c>
      <c r="K77" s="4">
        <f t="shared" si="8"/>
        <v>0</v>
      </c>
      <c r="L77" s="4">
        <f t="shared" si="8"/>
        <v>0</v>
      </c>
      <c r="M77" s="4">
        <f t="shared" si="8"/>
        <v>0</v>
      </c>
      <c r="N77" s="4">
        <f t="shared" si="8"/>
        <v>0</v>
      </c>
      <c r="O77" s="4">
        <f t="shared" si="8"/>
        <v>0</v>
      </c>
      <c r="P77" s="18"/>
      <c r="Q77" s="4">
        <f>IFERROR(Q76/Q10, 0)</f>
        <v>-20.498520070907386</v>
      </c>
    </row>
    <row r="78" spans="1:17" x14ac:dyDescent="0.25">
      <c r="A78" s="5"/>
      <c r="B78" s="5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x14ac:dyDescent="0.25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4" customFormat="1" ht="15.75" thickBot="1" x14ac:dyDescent="0.3">
      <c r="A80" s="8"/>
      <c r="B80" s="17" t="s">
        <v>5</v>
      </c>
      <c r="C80" s="17"/>
      <c r="D80" s="7">
        <f t="shared" ref="D80:O80" si="9">IFERROR(SUM(D76:D79), 0)</f>
        <v>-5571.05</v>
      </c>
      <c r="E80" s="7">
        <f t="shared" si="9"/>
        <v>-7707.8201680672264</v>
      </c>
      <c r="F80" s="7">
        <f t="shared" si="9"/>
        <v>-7774.938886392395</v>
      </c>
      <c r="G80" s="7">
        <f t="shared" si="9"/>
        <v>-4459.3499999999995</v>
      </c>
      <c r="H80" s="7">
        <f t="shared" si="9"/>
        <v>-2807</v>
      </c>
      <c r="I80" s="7">
        <f t="shared" si="9"/>
        <v>-2318</v>
      </c>
      <c r="J80" s="7">
        <f t="shared" si="9"/>
        <v>-2510</v>
      </c>
      <c r="K80" s="7">
        <f t="shared" si="9"/>
        <v>-5260</v>
      </c>
      <c r="L80" s="7">
        <f t="shared" si="9"/>
        <v>-5071</v>
      </c>
      <c r="M80" s="7">
        <f t="shared" si="9"/>
        <v>-4740</v>
      </c>
      <c r="N80" s="7">
        <f t="shared" si="9"/>
        <v>-3161</v>
      </c>
      <c r="O80" s="7">
        <f t="shared" si="9"/>
        <v>601</v>
      </c>
      <c r="Q80" s="7">
        <f>IFERROR(SUM(Q76:Q79), 0)</f>
        <v>-50784.468520070914</v>
      </c>
    </row>
    <row r="81" spans="1:17" ht="15.75" thickTop="1" x14ac:dyDescent="0.25">
      <c r="A81" s="5"/>
      <c r="C81" s="5"/>
      <c r="D81" s="4">
        <f t="shared" ref="D81:O81" si="10">IFERROR(D80/D10, 0)</f>
        <v>0</v>
      </c>
      <c r="E81" s="4">
        <f t="shared" si="10"/>
        <v>-10.79526634183085</v>
      </c>
      <c r="F81" s="4">
        <f t="shared" si="10"/>
        <v>-4.4113879307973445</v>
      </c>
      <c r="G81" s="4">
        <f t="shared" si="10"/>
        <v>0</v>
      </c>
      <c r="H81" s="4">
        <f t="shared" si="10"/>
        <v>0</v>
      </c>
      <c r="I81" s="4">
        <f t="shared" si="10"/>
        <v>0</v>
      </c>
      <c r="J81" s="4">
        <f t="shared" si="10"/>
        <v>0</v>
      </c>
      <c r="K81" s="4">
        <f t="shared" si="10"/>
        <v>0</v>
      </c>
      <c r="L81" s="4">
        <f t="shared" si="10"/>
        <v>0</v>
      </c>
      <c r="M81" s="4">
        <f t="shared" si="10"/>
        <v>0</v>
      </c>
      <c r="N81" s="4">
        <f t="shared" si="10"/>
        <v>0</v>
      </c>
      <c r="O81" s="4">
        <f t="shared" si="10"/>
        <v>0</v>
      </c>
      <c r="P81" s="18"/>
      <c r="Q81" s="4">
        <f>IFERROR(Q80/Q10, 0)</f>
        <v>-20.506797385016139</v>
      </c>
    </row>
    <row r="82" spans="1:17" x14ac:dyDescent="0.25">
      <c r="A82" s="5"/>
      <c r="B82" s="26">
        <v>44151.564888622685</v>
      </c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Q82" s="12"/>
    </row>
    <row r="83" spans="1:17" x14ac:dyDescent="0.25">
      <c r="A83" s="5"/>
      <c r="B83" s="30" t="s">
        <v>311</v>
      </c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Q83" s="12"/>
    </row>
    <row r="84" spans="1:17" x14ac:dyDescent="0.25">
      <c r="A84" s="5"/>
      <c r="B84" s="31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Q84" s="12"/>
    </row>
    <row r="85" spans="1:17" x14ac:dyDescent="0.25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Q85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","322", " - ", "Beach Hut")</f>
        <v>Department 322 - Beach Hut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SUM(OSRRefE11x_0)</f>
        <v>0</v>
      </c>
      <c r="I10" s="3">
        <f>SUM(OSRRefE11x_1)</f>
        <v>0</v>
      </c>
      <c r="J10" s="3">
        <f>SUM(OSRRefE11x_2)</f>
        <v>0</v>
      </c>
      <c r="K10" s="3">
        <f>SUM(OSRRefE11x_3)</f>
        <v>0</v>
      </c>
      <c r="L10" s="3">
        <f>SUM(OSRRefE11x_4)</f>
        <v>0</v>
      </c>
      <c r="M10" s="3">
        <f>SUM(OSRRefE11x_5)</f>
        <v>0</v>
      </c>
      <c r="N10" s="3">
        <f>SUM(OSRRefE11x_6)</f>
        <v>0</v>
      </c>
      <c r="O10" s="3">
        <f>SUM(OSRRefE11x_7)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2"/>
      <c r="B11" s="13" t="str">
        <f>CONCATENATE("          ","4100", " - ","NON-TAXABLE SALES")</f>
        <v xml:space="preserve">          4100 - NON-TAXABLE SALES</v>
      </c>
      <c r="C11" s="23"/>
      <c r="D11" s="2">
        <f t="shared" ref="D11:G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x14ac:dyDescent="0.25">
      <c r="A12" s="5"/>
      <c r="B12" s="8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25">
      <c r="A13" s="22"/>
      <c r="B13" s="16" t="s">
        <v>290</v>
      </c>
      <c r="C13" s="23"/>
      <c r="D13" s="3">
        <f>SUM(OSRRefD14x_0)</f>
        <v>-226.87</v>
      </c>
      <c r="E13" s="3">
        <f>SUM(OSRRefD14x_1)</f>
        <v>-995.46</v>
      </c>
      <c r="F13" s="3">
        <f>SUM(OSRRefD14x_2)</f>
        <v>0</v>
      </c>
      <c r="G13" s="3">
        <f>SUM(OSRRefD14x_3)</f>
        <v>0</v>
      </c>
      <c r="H13" s="3">
        <f>SUM(OSRRefE14x_0)</f>
        <v>0</v>
      </c>
      <c r="I13" s="3">
        <f>SUM(OSRRefE14x_1)</f>
        <v>0</v>
      </c>
      <c r="J13" s="3">
        <f>SUM(OSRRefE14x_2)</f>
        <v>0</v>
      </c>
      <c r="K13" s="3">
        <f>SUM(OSRRefE14x_3)</f>
        <v>0</v>
      </c>
      <c r="L13" s="3">
        <f>SUM(OSRRefE14x_4)</f>
        <v>0</v>
      </c>
      <c r="M13" s="3">
        <f>SUM(OSRRefE14x_5)</f>
        <v>0</v>
      </c>
      <c r="N13" s="3">
        <f>SUM(OSRRefE14x_6)</f>
        <v>0</v>
      </c>
      <c r="O13" s="3">
        <f>SUM(OSRRefE14x_7)</f>
        <v>0</v>
      </c>
      <c r="Q13" s="3">
        <f>SUM(OSRRefG14x)</f>
        <v>-1222.33</v>
      </c>
    </row>
    <row r="14" spans="1:18" s="9" customFormat="1" hidden="1" outlineLevel="1" x14ac:dyDescent="0.25">
      <c r="A14" s="22"/>
      <c r="B14" s="13" t="str">
        <f>CONCATENATE("          ","5000", " - ","PURCHASES @ COST")</f>
        <v xml:space="preserve">          5000 - PURCHASES @ COST</v>
      </c>
      <c r="C14" s="23"/>
      <c r="D14" s="2"/>
      <c r="E14" s="2"/>
      <c r="F14" s="2"/>
      <c r="G14" s="2"/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Q14" s="2">
        <f>SUM(OSRRefD14_0x)+IFERROR(SUM(OSRRefE14_0x),0)</f>
        <v>0</v>
      </c>
    </row>
    <row r="15" spans="1:18" s="9" customFormat="1" hidden="1" outlineLevel="1" x14ac:dyDescent="0.25">
      <c r="A15" s="22"/>
      <c r="B15" s="13" t="str">
        <f>CONCATENATE("          ","5053", " - ","PURCHASES @ COST-FOOD")</f>
        <v xml:space="preserve">          5053 - PURCHASES @ COST-FOOD</v>
      </c>
      <c r="C15" s="23"/>
      <c r="D15" s="2">
        <v>-226.87</v>
      </c>
      <c r="E15" s="2">
        <v>-995.46</v>
      </c>
      <c r="F15" s="2"/>
      <c r="G15" s="2"/>
      <c r="H15" s="2"/>
      <c r="I15" s="2"/>
      <c r="J15" s="2"/>
      <c r="K15" s="2"/>
      <c r="L15" s="2"/>
      <c r="M15" s="2"/>
      <c r="N15" s="2"/>
      <c r="O15" s="2"/>
      <c r="Q15" s="2">
        <f>SUM(OSRRefD14_1x)+IFERROR(SUM(OSRRefE14_1x),0)</f>
        <v>-1222.33</v>
      </c>
    </row>
    <row r="16" spans="1:18" x14ac:dyDescent="0.25">
      <c r="A16" s="5"/>
      <c r="B16" s="8"/>
      <c r="C16" s="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4" customFormat="1" x14ac:dyDescent="0.25">
      <c r="A17" s="8"/>
      <c r="B17" s="17" t="s">
        <v>6</v>
      </c>
      <c r="C17" s="17"/>
      <c r="D17" s="6">
        <f t="shared" ref="D17:O17" si="1">IFERROR(+D10-D13, 0)</f>
        <v>226.87</v>
      </c>
      <c r="E17" s="6">
        <f t="shared" si="1"/>
        <v>995.46</v>
      </c>
      <c r="F17" s="6">
        <f t="shared" si="1"/>
        <v>0</v>
      </c>
      <c r="G17" s="6">
        <f t="shared" si="1"/>
        <v>0</v>
      </c>
      <c r="H17" s="6">
        <f t="shared" si="1"/>
        <v>0</v>
      </c>
      <c r="I17" s="6">
        <f t="shared" si="1"/>
        <v>0</v>
      </c>
      <c r="J17" s="6">
        <f t="shared" si="1"/>
        <v>0</v>
      </c>
      <c r="K17" s="6">
        <f t="shared" si="1"/>
        <v>0</v>
      </c>
      <c r="L17" s="6">
        <f t="shared" si="1"/>
        <v>0</v>
      </c>
      <c r="M17" s="6">
        <f t="shared" si="1"/>
        <v>0</v>
      </c>
      <c r="N17" s="6">
        <f t="shared" si="1"/>
        <v>0</v>
      </c>
      <c r="O17" s="6">
        <f t="shared" si="1"/>
        <v>0</v>
      </c>
      <c r="Q17" s="6">
        <f>IFERROR(+Q10-Q13, 0)</f>
        <v>1222.33</v>
      </c>
    </row>
    <row r="18" spans="1:17" s="8" customFormat="1" x14ac:dyDescent="0.25">
      <c r="B18" s="16"/>
      <c r="C18" s="16"/>
      <c r="D18" s="4">
        <f t="shared" ref="D18:O18" si="2">IFERROR(D17/D10, 0)</f>
        <v>0</v>
      </c>
      <c r="E18" s="4">
        <f t="shared" si="2"/>
        <v>0</v>
      </c>
      <c r="F18" s="4">
        <f t="shared" si="2"/>
        <v>0</v>
      </c>
      <c r="G18" s="4">
        <f t="shared" si="2"/>
        <v>0</v>
      </c>
      <c r="H18" s="4">
        <f t="shared" si="2"/>
        <v>0</v>
      </c>
      <c r="I18" s="4">
        <f t="shared" si="2"/>
        <v>0</v>
      </c>
      <c r="J18" s="4">
        <f t="shared" si="2"/>
        <v>0</v>
      </c>
      <c r="K18" s="4">
        <f t="shared" si="2"/>
        <v>0</v>
      </c>
      <c r="L18" s="4">
        <f t="shared" si="2"/>
        <v>0</v>
      </c>
      <c r="M18" s="4">
        <f t="shared" si="2"/>
        <v>0</v>
      </c>
      <c r="N18" s="4">
        <f t="shared" si="2"/>
        <v>0</v>
      </c>
      <c r="O18" s="4">
        <f t="shared" si="2"/>
        <v>0</v>
      </c>
      <c r="P18" s="18"/>
      <c r="Q18" s="4">
        <f>IFERROR(Q17/Q10, 0)</f>
        <v>0</v>
      </c>
    </row>
    <row r="19" spans="1:17" x14ac:dyDescent="0.25">
      <c r="A19" s="5"/>
      <c r="B19" s="8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4" customFormat="1" x14ac:dyDescent="0.25">
      <c r="A20" s="8"/>
      <c r="B20" s="16" t="s">
        <v>291</v>
      </c>
      <c r="C20" s="8"/>
      <c r="D20" s="10">
        <f>SUM(OSRRefD20x_0)</f>
        <v>5243.07</v>
      </c>
      <c r="E20" s="10">
        <f>SUM(OSRRefD20x_1)</f>
        <v>1605.98</v>
      </c>
      <c r="F20" s="10">
        <f>SUM(OSRRefD20x_2)</f>
        <v>2179.67</v>
      </c>
      <c r="G20" s="10">
        <f>SUM(OSRRefD20x_3)</f>
        <v>2238.54</v>
      </c>
      <c r="H20" s="10">
        <f>SUM(OSRRefE20x_0)</f>
        <v>2017</v>
      </c>
      <c r="I20" s="10">
        <f>SUM(OSRRefE20x_1)</f>
        <v>2017</v>
      </c>
      <c r="J20" s="10">
        <f>SUM(OSRRefE20x_2)</f>
        <v>2017</v>
      </c>
      <c r="K20" s="10">
        <f>SUM(OSRRefE20x_3)</f>
        <v>2017</v>
      </c>
      <c r="L20" s="10">
        <f>SUM(OSRRefE20x_4)</f>
        <v>2017</v>
      </c>
      <c r="M20" s="10">
        <f>SUM(OSRRefE20x_5)</f>
        <v>2017</v>
      </c>
      <c r="N20" s="10">
        <f>SUM(OSRRefE20x_6)</f>
        <v>2017</v>
      </c>
      <c r="O20" s="10">
        <f>SUM(OSRRefE20x_7)</f>
        <v>2017</v>
      </c>
      <c r="Q20" s="10">
        <f>SUM(OSRRefG20x)</f>
        <v>27403.260000000002</v>
      </c>
    </row>
    <row r="21" spans="1:17" s="34" customFormat="1" collapsed="1" x14ac:dyDescent="0.25">
      <c r="A21" s="35"/>
      <c r="B21" s="15" t="str">
        <f>CONCATENATE("     ","*Benefits                                         ")</f>
        <v xml:space="preserve">     *Benefits                                         </v>
      </c>
      <c r="C21" s="15"/>
      <c r="D21" s="1">
        <f>SUM(OSRRefD21_0x_0)</f>
        <v>1595.9699999999998</v>
      </c>
      <c r="E21" s="1">
        <f>SUM(OSRRefD21_0x_1)</f>
        <v>0</v>
      </c>
      <c r="F21" s="1">
        <f>SUM(OSRRefD21_0x_2)</f>
        <v>0</v>
      </c>
      <c r="G21" s="1">
        <f>SUM(OSRRefD21_0x_3)</f>
        <v>0</v>
      </c>
      <c r="H21" s="1">
        <f>SUM(OSRRefE21_0x_0)</f>
        <v>0</v>
      </c>
      <c r="I21" s="1">
        <f>SUM(OSRRefE21_0x_1)</f>
        <v>0</v>
      </c>
      <c r="J21" s="1">
        <f>SUM(OSRRefE21_0x_2)</f>
        <v>0</v>
      </c>
      <c r="K21" s="1">
        <f>SUM(OSRRefE21_0x_3)</f>
        <v>0</v>
      </c>
      <c r="L21" s="1">
        <f>SUM(OSRRefE21_0x_4)</f>
        <v>0</v>
      </c>
      <c r="M21" s="1">
        <f>SUM(OSRRefE21_0x_5)</f>
        <v>0</v>
      </c>
      <c r="N21" s="1">
        <f>SUM(OSRRefE21_0x_6)</f>
        <v>0</v>
      </c>
      <c r="O21" s="1">
        <f>SUM(OSRRefE21_0x_7)</f>
        <v>0</v>
      </c>
      <c r="Q21" s="2">
        <f>SUM(OSRRefD20_0x)+IFERROR(SUM(OSRRefE20_0x),0)</f>
        <v>1595.9699999999998</v>
      </c>
    </row>
    <row r="22" spans="1:17" s="34" customFormat="1" hidden="1" outlineLevel="1" x14ac:dyDescent="0.25">
      <c r="A22" s="35"/>
      <c r="B22" s="13" t="str">
        <f>CONCATENATE("          ","6111", " - ","F.I.C.A.")</f>
        <v xml:space="preserve">          6111 - F.I.C.A.</v>
      </c>
      <c r="C22" s="15"/>
      <c r="D22" s="2">
        <v>159.12</v>
      </c>
      <c r="E22" s="2"/>
      <c r="F22" s="2"/>
      <c r="G22" s="2"/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SUM(OSRRefD21_0_0x)+IFERROR(SUM(OSRRefE21_0_0x),0)</f>
        <v>159.12</v>
      </c>
    </row>
    <row r="23" spans="1:17" s="34" customFormat="1" hidden="1" outlineLevel="1" x14ac:dyDescent="0.25">
      <c r="A23" s="35"/>
      <c r="B23" s="13" t="str">
        <f>CONCATENATE("          ","6112", " - ","COMPENSATION INSURANCE")</f>
        <v xml:space="preserve">          6112 - COMPENSATION INSURANCE</v>
      </c>
      <c r="C23" s="15"/>
      <c r="D23" s="2"/>
      <c r="E23" s="2"/>
      <c r="F23" s="2"/>
      <c r="G23" s="2"/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SUM(OSRRefD21_0_1x)+IFERROR(SUM(OSRRefE21_0_1x),0)</f>
        <v>0</v>
      </c>
    </row>
    <row r="24" spans="1:17" s="34" customFormat="1" hidden="1" outlineLevel="1" x14ac:dyDescent="0.25">
      <c r="A24" s="35"/>
      <c r="B24" s="13" t="str">
        <f>CONCATENATE("          ","6113", " - ","GROUP INSURANCE")</f>
        <v xml:space="preserve">          6113 - GROUP INSURANCE</v>
      </c>
      <c r="C24" s="15"/>
      <c r="D24" s="2">
        <v>683.68</v>
      </c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SUM(OSRRefD21_0_2x)+IFERROR(SUM(OSRRefE21_0_2x),0)</f>
        <v>683.68</v>
      </c>
    </row>
    <row r="25" spans="1:17" s="34" customFormat="1" hidden="1" outlineLevel="1" x14ac:dyDescent="0.25">
      <c r="A25" s="35"/>
      <c r="B25" s="13" t="str">
        <f>CONCATENATE("          ","6114", " - ","STATE UNEMPLOYMENT INSURANCE")</f>
        <v xml:space="preserve">          6114 - STATE UNEMPLOYMENT INSURANCE</v>
      </c>
      <c r="C25" s="15"/>
      <c r="D25" s="2"/>
      <c r="E25" s="2"/>
      <c r="F25" s="2"/>
      <c r="G25" s="2"/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SUM(OSRRefD21_0_3x)+IFERROR(SUM(OSRRefE21_0_3x),0)</f>
        <v>0</v>
      </c>
    </row>
    <row r="26" spans="1:17" s="34" customFormat="1" hidden="1" outlineLevel="1" x14ac:dyDescent="0.25">
      <c r="A26" s="35"/>
      <c r="B26" s="13" t="str">
        <f>CONCATENATE("          ","6115", " - ","P.E.R.S.")</f>
        <v xml:space="preserve">          6115 - P.E.R.S.</v>
      </c>
      <c r="C26" s="15"/>
      <c r="D26" s="2">
        <v>321.57</v>
      </c>
      <c r="E26" s="2"/>
      <c r="F26" s="2"/>
      <c r="G26" s="2"/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SUM(OSRRefD21_0_4x)+IFERROR(SUM(OSRRefE21_0_4x),0)</f>
        <v>321.57</v>
      </c>
    </row>
    <row r="27" spans="1:17" s="34" customFormat="1" hidden="1" outlineLevel="1" x14ac:dyDescent="0.25">
      <c r="A27" s="35"/>
      <c r="B27" s="13" t="str">
        <f>CONCATENATE("          ","6116", " - ","EDUCATIONAL BENEFITS")</f>
        <v xml:space="preserve">          6116 - EDUCATIONAL BENEFITS</v>
      </c>
      <c r="C27" s="15"/>
      <c r="D27" s="2"/>
      <c r="E27" s="2"/>
      <c r="F27" s="2"/>
      <c r="G27" s="2"/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4" customFormat="1" hidden="1" outlineLevel="1" x14ac:dyDescent="0.25">
      <c r="A28" s="35"/>
      <c r="B28" s="13" t="str">
        <f>CONCATENATE("          ","6118", " - ","VACATION")</f>
        <v xml:space="preserve">          6118 - VACATION</v>
      </c>
      <c r="C28" s="15"/>
      <c r="D28" s="2">
        <v>239.72</v>
      </c>
      <c r="E28" s="2"/>
      <c r="F28" s="2"/>
      <c r="G28" s="2"/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SUM(OSRRefD21_0_6x)+IFERROR(SUM(OSRRefE21_0_6x),0)</f>
        <v>239.72</v>
      </c>
    </row>
    <row r="29" spans="1:17" s="34" customFormat="1" hidden="1" outlineLevel="1" x14ac:dyDescent="0.25">
      <c r="A29" s="35"/>
      <c r="B29" s="13" t="str">
        <f>CONCATENATE("          ","6119", " - ","SICK LEAVE")</f>
        <v xml:space="preserve">          6119 - SICK LEAVE</v>
      </c>
      <c r="C29" s="15"/>
      <c r="D29" s="2">
        <v>191.88</v>
      </c>
      <c r="E29" s="2"/>
      <c r="F29" s="2"/>
      <c r="G29" s="2"/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SUM(OSRRefD21_0_7x)+IFERROR(SUM(OSRRefE21_0_7x),0)</f>
        <v>191.88</v>
      </c>
    </row>
    <row r="30" spans="1:17" s="34" customFormat="1" collapsed="1" x14ac:dyDescent="0.25">
      <c r="A30" s="35"/>
      <c r="B30" s="15" t="str">
        <f>CONCATENATE("     ","*Payroll                                          ")</f>
        <v xml:space="preserve">     *Payroll                                          </v>
      </c>
      <c r="C30" s="15"/>
      <c r="D30" s="1">
        <f>SUM(OSRRefD21_1x_0)</f>
        <v>2080</v>
      </c>
      <c r="E30" s="1">
        <f>SUM(OSRRefD21_1x_1)</f>
        <v>0</v>
      </c>
      <c r="F30" s="1">
        <f>SUM(OSRRefD21_1x_2)</f>
        <v>0</v>
      </c>
      <c r="G30" s="1">
        <f>SUM(OSRRefD21_1x_3)</f>
        <v>0</v>
      </c>
      <c r="H30" s="1">
        <f>SUM(OSRRefE21_1x_0)</f>
        <v>0</v>
      </c>
      <c r="I30" s="1">
        <f>SUM(OSRRefE21_1x_1)</f>
        <v>0</v>
      </c>
      <c r="J30" s="1">
        <f>SUM(OSRRefE21_1x_2)</f>
        <v>0</v>
      </c>
      <c r="K30" s="1">
        <f>SUM(OSRRefE21_1x_3)</f>
        <v>0</v>
      </c>
      <c r="L30" s="1">
        <f>SUM(OSRRefE21_1x_4)</f>
        <v>0</v>
      </c>
      <c r="M30" s="1">
        <f>SUM(OSRRefE21_1x_5)</f>
        <v>0</v>
      </c>
      <c r="N30" s="1">
        <f>SUM(OSRRefE21_1x_6)</f>
        <v>0</v>
      </c>
      <c r="O30" s="1">
        <f>SUM(OSRRefE21_1x_7)</f>
        <v>0</v>
      </c>
      <c r="Q30" s="2">
        <f>SUM(OSRRefD20_1x)+IFERROR(SUM(OSRRefE20_1x),0)</f>
        <v>2080</v>
      </c>
    </row>
    <row r="31" spans="1:17" s="34" customFormat="1" hidden="1" outlineLevel="1" x14ac:dyDescent="0.25">
      <c r="A31" s="35"/>
      <c r="B31" s="13" t="str">
        <f>CONCATENATE("          ","6001", " - ","ADMINISTRATIVE SALARIES")</f>
        <v xml:space="preserve">          6001 - ADMINISTRATIVE SALARIES</v>
      </c>
      <c r="C31" s="15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SUM(OSRRefD21_1_0x)+IFERROR(SUM(OSRRefE21_1_0x),0)</f>
        <v>0</v>
      </c>
    </row>
    <row r="32" spans="1:17" s="34" customFormat="1" hidden="1" outlineLevel="1" x14ac:dyDescent="0.25">
      <c r="A32" s="35"/>
      <c r="B32" s="13" t="str">
        <f>CONCATENATE("          ","6002", " - ","STAFF SALARIES")</f>
        <v xml:space="preserve">          6002 - STAFF SALARIES</v>
      </c>
      <c r="C32" s="15"/>
      <c r="D32" s="2">
        <v>2080</v>
      </c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SUM(OSRRefD21_1_1x)+IFERROR(SUM(OSRRefE21_1_1x),0)</f>
        <v>2080</v>
      </c>
    </row>
    <row r="33" spans="1:17" s="34" customFormat="1" hidden="1" outlineLevel="1" x14ac:dyDescent="0.25">
      <c r="A33" s="35"/>
      <c r="B33" s="13" t="str">
        <f>CONCATENATE("          ","6003", " - ","STAFF HOURLY-9 MONTH")</f>
        <v xml:space="preserve">          6003 - STAFF HOURLY-9 MONTH</v>
      </c>
      <c r="C33" s="15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4" customFormat="1" hidden="1" outlineLevel="1" x14ac:dyDescent="0.25">
      <c r="A34" s="35"/>
      <c r="B34" s="13" t="str">
        <f>CONCATENATE("          ","6004", " - ","STAFF HOURLY")</f>
        <v xml:space="preserve">          6004 - STAFF HOURLY</v>
      </c>
      <c r="C34" s="15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SUM(OSRRefD21_1_3x)+IFERROR(SUM(OSRRefE21_1_3x),0)</f>
        <v>0</v>
      </c>
    </row>
    <row r="35" spans="1:17" s="34" customFormat="1" hidden="1" outlineLevel="1" x14ac:dyDescent="0.25">
      <c r="A35" s="35"/>
      <c r="B35" s="13" t="str">
        <f>CONCATENATE("          ","6005", " - ","TEMPORARY WAGES-HOURLY")</f>
        <v xml:space="preserve">          6005 - TEMPORARY WAGES-HOURLY</v>
      </c>
      <c r="C35" s="15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0</v>
      </c>
    </row>
    <row r="36" spans="1:17" s="34" customFormat="1" hidden="1" outlineLevel="1" x14ac:dyDescent="0.25">
      <c r="A36" s="35"/>
      <c r="B36" s="13" t="str">
        <f>CONCATENATE("          ","6006", " - ","TEMPORARY PART TIME")</f>
        <v xml:space="preserve">          6006 - TEMPORARY PART TIME</v>
      </c>
      <c r="C36" s="15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4" customFormat="1" hidden="1" outlineLevel="1" x14ac:dyDescent="0.25">
      <c r="A37" s="35"/>
      <c r="B37" s="13" t="str">
        <f>CONCATENATE("          ","6007", " - ","STUDENT HOURLY")</f>
        <v xml:space="preserve">          6007 - STUDENT HOURLY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SUM(OSRRefD21_1_6x)+IFERROR(SUM(OSRRefE21_1_6x),0)</f>
        <v>0</v>
      </c>
    </row>
    <row r="38" spans="1:17" s="34" customFormat="1" hidden="1" outlineLevel="1" x14ac:dyDescent="0.25">
      <c r="A38" s="35"/>
      <c r="B38" s="13" t="str">
        <f>CONCATENATE("          ","6008", " - ","STUDENT HOURLY-FICA EXEMPT")</f>
        <v xml:space="preserve">          6008 - STUDENT HOURLY-FICA EXEMPT</v>
      </c>
      <c r="C38" s="15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SUM(OSRRefD21_1_7x)+IFERROR(SUM(OSRRefE21_1_7x),0)</f>
        <v>0</v>
      </c>
    </row>
    <row r="39" spans="1:17" s="34" customFormat="1" hidden="1" outlineLevel="1" x14ac:dyDescent="0.25">
      <c r="A39" s="35"/>
      <c r="B39" s="13" t="str">
        <f>CONCATENATE("          ","6009", " - ","TEMPORARY-SEASONAL")</f>
        <v xml:space="preserve">          6009 - TEMPORARY-SEASONAL</v>
      </c>
      <c r="C39" s="15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4" customFormat="1" hidden="1" outlineLevel="1" x14ac:dyDescent="0.25">
      <c r="A40" s="35"/>
      <c r="B40" s="13" t="str">
        <f>CONCATENATE("          ","6010", " - ","GRATUITY")</f>
        <v xml:space="preserve">          6010 - GRATUITY</v>
      </c>
      <c r="C40" s="15"/>
      <c r="D40" s="2"/>
      <c r="E40" s="2"/>
      <c r="F40" s="2"/>
      <c r="G40" s="2"/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4" customFormat="1" collapsed="1" x14ac:dyDescent="0.25">
      <c r="A41" s="35"/>
      <c r="B41" s="15" t="str">
        <f>CONCATENATE("     ","Advertising/Promo                                 ")</f>
        <v xml:space="preserve">     Advertising/Promo                                 </v>
      </c>
      <c r="C41" s="15"/>
      <c r="D41" s="1">
        <f>SUM(OSRRefD21_2x_0)</f>
        <v>0</v>
      </c>
      <c r="E41" s="1">
        <f>SUM(OSRRefD21_2x_1)</f>
        <v>0</v>
      </c>
      <c r="F41" s="1">
        <f>SUM(OSRRefD21_2x_2)</f>
        <v>0</v>
      </c>
      <c r="G41" s="1">
        <f>SUM(OSRRefD21_2x_3)</f>
        <v>0</v>
      </c>
      <c r="H41" s="1">
        <f>SUM(OSRRefE21_2x_0)</f>
        <v>0</v>
      </c>
      <c r="I41" s="1">
        <f>SUM(OSRRefE21_2x_1)</f>
        <v>0</v>
      </c>
      <c r="J41" s="1">
        <f>SUM(OSRRefE21_2x_2)</f>
        <v>0</v>
      </c>
      <c r="K41" s="1">
        <f>SUM(OSRRefE21_2x_3)</f>
        <v>0</v>
      </c>
      <c r="L41" s="1">
        <f>SUM(OSRRefE21_2x_4)</f>
        <v>0</v>
      </c>
      <c r="M41" s="1">
        <f>SUM(OSRRefE21_2x_5)</f>
        <v>0</v>
      </c>
      <c r="N41" s="1">
        <f>SUM(OSRRefE21_2x_6)</f>
        <v>0</v>
      </c>
      <c r="O41" s="1">
        <f>SUM(OSRRefE21_2x_7)</f>
        <v>0</v>
      </c>
      <c r="Q41" s="2">
        <f>SUM(OSRRefD20_2x)+IFERROR(SUM(OSRRefE20_2x),0)</f>
        <v>0</v>
      </c>
    </row>
    <row r="42" spans="1:17" s="34" customFormat="1" hidden="1" outlineLevel="1" x14ac:dyDescent="0.25">
      <c r="A42" s="35"/>
      <c r="B42" s="13" t="str">
        <f>CONCATENATE("          ","6362", " - ","ADVERTISING EXPENSE")</f>
        <v xml:space="preserve">          6362 - ADVERTISING EXPENSE</v>
      </c>
      <c r="C42" s="15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SUM(OSRRefD21_2_0x)+IFERROR(SUM(OSRRefE21_2_0x),0)</f>
        <v>0</v>
      </c>
    </row>
    <row r="43" spans="1:17" s="34" customFormat="1" collapsed="1" x14ac:dyDescent="0.25">
      <c r="A43" s="35"/>
      <c r="B43" s="15" t="str">
        <f>CONCATENATE("     ","Bank/card Fees                                    ")</f>
        <v xml:space="preserve">     Bank/card Fees                                    </v>
      </c>
      <c r="C43" s="15"/>
      <c r="D43" s="1">
        <f>SUM(OSRRefD21_3x_0)</f>
        <v>0</v>
      </c>
      <c r="E43" s="1">
        <f>SUM(OSRRefD21_3x_1)</f>
        <v>0</v>
      </c>
      <c r="F43" s="1">
        <f>SUM(OSRRefD21_3x_2)</f>
        <v>0</v>
      </c>
      <c r="G43" s="1">
        <f>SUM(OSRRefD21_3x_3)</f>
        <v>0</v>
      </c>
      <c r="H43" s="1">
        <f>SUM(OSRRefE21_3x_0)</f>
        <v>0</v>
      </c>
      <c r="I43" s="1">
        <f>SUM(OSRRefE21_3x_1)</f>
        <v>0</v>
      </c>
      <c r="J43" s="1">
        <f>SUM(OSRRefE21_3x_2)</f>
        <v>0</v>
      </c>
      <c r="K43" s="1">
        <f>SUM(OSRRefE21_3x_3)</f>
        <v>0</v>
      </c>
      <c r="L43" s="1">
        <f>SUM(OSRRefE21_3x_4)</f>
        <v>0</v>
      </c>
      <c r="M43" s="1">
        <f>SUM(OSRRefE21_3x_5)</f>
        <v>0</v>
      </c>
      <c r="N43" s="1">
        <f>SUM(OSRRefE21_3x_6)</f>
        <v>0</v>
      </c>
      <c r="O43" s="1">
        <f>SUM(OSRRefE21_3x_7)</f>
        <v>0</v>
      </c>
      <c r="Q43" s="2">
        <f>SUM(OSRRefD20_3x)+IFERROR(SUM(OSRRefE20_3x),0)</f>
        <v>0</v>
      </c>
    </row>
    <row r="44" spans="1:17" s="34" customFormat="1" hidden="1" outlineLevel="1" x14ac:dyDescent="0.25">
      <c r="A44" s="35"/>
      <c r="B44" s="13" t="str">
        <f>CONCATENATE("          ","6381", " - ","BANK/CREDIT CARD FEES")</f>
        <v xml:space="preserve">          6381 - BANK/CREDIT CARD FEES</v>
      </c>
      <c r="C44" s="15"/>
      <c r="D44" s="2"/>
      <c r="E44" s="2"/>
      <c r="F44" s="2"/>
      <c r="G44" s="2"/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SUM(OSRRefD21_3_0x)+IFERROR(SUM(OSRRefE21_3_0x),0)</f>
        <v>0</v>
      </c>
    </row>
    <row r="45" spans="1:17" s="34" customFormat="1" collapsed="1" x14ac:dyDescent="0.25">
      <c r="A45" s="35"/>
      <c r="B45" s="15" t="str">
        <f>CONCATENATE("     ","Depreciation                                      ")</f>
        <v xml:space="preserve">     Depreciation                                      </v>
      </c>
      <c r="C45" s="15"/>
      <c r="D45" s="1">
        <f>SUM(OSRRefD21_4x_0)</f>
        <v>2017.34</v>
      </c>
      <c r="E45" s="1">
        <f>SUM(OSRRefD21_4x_1)</f>
        <v>2017.34</v>
      </c>
      <c r="F45" s="1">
        <f>SUM(OSRRefD21_4x_2)</f>
        <v>2017.34</v>
      </c>
      <c r="G45" s="1">
        <f>SUM(OSRRefD21_4x_3)</f>
        <v>2017.34</v>
      </c>
      <c r="H45" s="1">
        <f>SUM(OSRRefE21_4x_0)</f>
        <v>2017</v>
      </c>
      <c r="I45" s="1">
        <f>SUM(OSRRefE21_4x_1)</f>
        <v>2017</v>
      </c>
      <c r="J45" s="1">
        <f>SUM(OSRRefE21_4x_2)</f>
        <v>2017</v>
      </c>
      <c r="K45" s="1">
        <f>SUM(OSRRefE21_4x_3)</f>
        <v>2017</v>
      </c>
      <c r="L45" s="1">
        <f>SUM(OSRRefE21_4x_4)</f>
        <v>2017</v>
      </c>
      <c r="M45" s="1">
        <f>SUM(OSRRefE21_4x_5)</f>
        <v>2017</v>
      </c>
      <c r="N45" s="1">
        <f>SUM(OSRRefE21_4x_6)</f>
        <v>2017</v>
      </c>
      <c r="O45" s="1">
        <f>SUM(OSRRefE21_4x_7)</f>
        <v>2017</v>
      </c>
      <c r="Q45" s="2">
        <f>SUM(OSRRefD20_4x)+IFERROR(SUM(OSRRefE20_4x),0)</f>
        <v>24205.360000000001</v>
      </c>
    </row>
    <row r="46" spans="1:17" s="34" customFormat="1" hidden="1" outlineLevel="1" x14ac:dyDescent="0.25">
      <c r="A46" s="35"/>
      <c r="B46" s="13" t="str">
        <f>CONCATENATE("          ","6322", " - ","EQUIPMENT DEPRECIATION EXPENSE")</f>
        <v xml:space="preserve">          6322 - EQUIPMENT DEPRECIATION EXPENSE</v>
      </c>
      <c r="C46" s="15"/>
      <c r="D46" s="2">
        <v>2017.34</v>
      </c>
      <c r="E46" s="2">
        <v>2017.34</v>
      </c>
      <c r="F46" s="2">
        <v>2017.34</v>
      </c>
      <c r="G46" s="2">
        <v>2017.34</v>
      </c>
      <c r="H46" s="2">
        <v>2017</v>
      </c>
      <c r="I46" s="2">
        <v>2017</v>
      </c>
      <c r="J46" s="2">
        <v>2017</v>
      </c>
      <c r="K46" s="2">
        <v>2017</v>
      </c>
      <c r="L46" s="2">
        <v>2017</v>
      </c>
      <c r="M46" s="2">
        <v>2017</v>
      </c>
      <c r="N46" s="2">
        <v>2017</v>
      </c>
      <c r="O46" s="2">
        <v>2017</v>
      </c>
      <c r="P46" s="9"/>
      <c r="Q46" s="2">
        <f>SUM(OSRRefD21_4_0x)+IFERROR(SUM(OSRRefE21_4_0x),0)</f>
        <v>24205.360000000001</v>
      </c>
    </row>
    <row r="47" spans="1:17" s="34" customFormat="1" collapsed="1" x14ac:dyDescent="0.25">
      <c r="A47" s="35"/>
      <c r="B47" s="15" t="str">
        <f>CONCATENATE("     ","Rent                                              ")</f>
        <v xml:space="preserve">     Rent                                              </v>
      </c>
      <c r="C47" s="15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SUM(OSRRefE21_5x_0)</f>
        <v>0</v>
      </c>
      <c r="I47" s="1">
        <f>SUM(OSRRefE21_5x_1)</f>
        <v>0</v>
      </c>
      <c r="J47" s="1">
        <f>SUM(OSRRefE21_5x_2)</f>
        <v>0</v>
      </c>
      <c r="K47" s="1">
        <f>SUM(OSRRefE21_5x_3)</f>
        <v>0</v>
      </c>
      <c r="L47" s="1">
        <f>SUM(OSRRefE21_5x_4)</f>
        <v>0</v>
      </c>
      <c r="M47" s="1">
        <f>SUM(OSRRefE21_5x_5)</f>
        <v>0</v>
      </c>
      <c r="N47" s="1">
        <f>SUM(OSRRefE21_5x_6)</f>
        <v>0</v>
      </c>
      <c r="O47" s="1">
        <f>SUM(OSRRefE21_5x_7)</f>
        <v>0</v>
      </c>
      <c r="Q47" s="2">
        <f>SUM(OSRRefD20_5x)+IFERROR(SUM(OSRRefE20_5x),0)</f>
        <v>0</v>
      </c>
    </row>
    <row r="48" spans="1:17" s="34" customFormat="1" hidden="1" outlineLevel="1" x14ac:dyDescent="0.25">
      <c r="A48" s="35"/>
      <c r="B48" s="13" t="str">
        <f>CONCATENATE("          ","6273", " - ","RENT")</f>
        <v xml:space="preserve">          6273 - RENT</v>
      </c>
      <c r="C48" s="15"/>
      <c r="D48" s="2"/>
      <c r="E48" s="2"/>
      <c r="F48" s="2"/>
      <c r="G48" s="2"/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SUM(OSRRefD21_5_0x)+IFERROR(SUM(OSRRefE21_5_0x),0)</f>
        <v>0</v>
      </c>
    </row>
    <row r="49" spans="1:17" s="34" customFormat="1" collapsed="1" x14ac:dyDescent="0.25">
      <c r="A49" s="35"/>
      <c r="B49" s="15" t="str">
        <f>CONCATENATE("     ","Repair and Maintenance                            ")</f>
        <v xml:space="preserve">     Repair and Maintenance                            </v>
      </c>
      <c r="C49" s="15"/>
      <c r="D49" s="1">
        <f>SUM(OSRRefD21_6x_0)</f>
        <v>0</v>
      </c>
      <c r="E49" s="1">
        <f>SUM(OSRRefD21_6x_1)</f>
        <v>78.599999999999994</v>
      </c>
      <c r="F49" s="1">
        <f>SUM(OSRRefD21_6x_2)</f>
        <v>72.349999999999994</v>
      </c>
      <c r="G49" s="1">
        <f>SUM(OSRRefD21_6x_3)</f>
        <v>0</v>
      </c>
      <c r="H49" s="1">
        <f>SUM(OSRRefE21_6x_0)</f>
        <v>0</v>
      </c>
      <c r="I49" s="1">
        <f>SUM(OSRRefE21_6x_1)</f>
        <v>0</v>
      </c>
      <c r="J49" s="1">
        <f>SUM(OSRRefE21_6x_2)</f>
        <v>0</v>
      </c>
      <c r="K49" s="1">
        <f>SUM(OSRRefE21_6x_3)</f>
        <v>0</v>
      </c>
      <c r="L49" s="1">
        <f>SUM(OSRRefE21_6x_4)</f>
        <v>0</v>
      </c>
      <c r="M49" s="1">
        <f>SUM(OSRRefE21_6x_5)</f>
        <v>0</v>
      </c>
      <c r="N49" s="1">
        <f>SUM(OSRRefE21_6x_6)</f>
        <v>0</v>
      </c>
      <c r="O49" s="1">
        <f>SUM(OSRRefE21_6x_7)</f>
        <v>0</v>
      </c>
      <c r="Q49" s="2">
        <f>SUM(OSRRefD20_6x)+IFERROR(SUM(OSRRefE20_6x),0)</f>
        <v>150.94999999999999</v>
      </c>
    </row>
    <row r="50" spans="1:17" s="34" customFormat="1" hidden="1" outlineLevel="1" x14ac:dyDescent="0.25">
      <c r="A50" s="35"/>
      <c r="B50" s="13" t="str">
        <f>CONCATENATE("          ","6373", " - ","MAINTENANCE CONTRACTS")</f>
        <v xml:space="preserve">          6373 - MAINTENANCE CONTRACTS</v>
      </c>
      <c r="C50" s="15"/>
      <c r="D50" s="2"/>
      <c r="E50" s="2">
        <v>78.599999999999994</v>
      </c>
      <c r="F50" s="2">
        <v>72.349999999999994</v>
      </c>
      <c r="G50" s="2"/>
      <c r="H50" s="2"/>
      <c r="I50" s="2"/>
      <c r="J50" s="2"/>
      <c r="K50" s="2"/>
      <c r="L50" s="2"/>
      <c r="M50" s="2"/>
      <c r="N50" s="2"/>
      <c r="O50" s="2"/>
      <c r="P50" s="9"/>
      <c r="Q50" s="2">
        <f>SUM(OSRRefD21_6_0x)+IFERROR(SUM(OSRRefE21_6_0x),0)</f>
        <v>150.94999999999999</v>
      </c>
    </row>
    <row r="51" spans="1:17" s="34" customFormat="1" hidden="1" outlineLevel="1" x14ac:dyDescent="0.25">
      <c r="A51" s="35"/>
      <c r="B51" s="13" t="str">
        <f>CONCATENATE("          ","6375", " - ","OUTSIDE REPAIRS &amp; MAINTENANCE")</f>
        <v xml:space="preserve">          6375 - OUTSIDE REPAIRS &amp; MAINTENANCE</v>
      </c>
      <c r="C51" s="15"/>
      <c r="D51" s="2"/>
      <c r="E51" s="2"/>
      <c r="F51" s="2"/>
      <c r="G51" s="2"/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SUM(OSRRefD21_6_1x)+IFERROR(SUM(OSRRefE21_6_1x),0)</f>
        <v>0</v>
      </c>
    </row>
    <row r="52" spans="1:17" s="34" customFormat="1" collapsed="1" x14ac:dyDescent="0.25">
      <c r="A52" s="35"/>
      <c r="B52" s="15" t="str">
        <f>CONCATENATE("     ","Services                                          ")</f>
        <v xml:space="preserve">     Services                                          </v>
      </c>
      <c r="C52" s="15"/>
      <c r="D52" s="1">
        <f>SUM(OSRRefD21_7x_0)</f>
        <v>-486.24</v>
      </c>
      <c r="E52" s="1">
        <f>SUM(OSRRefD21_7x_1)</f>
        <v>-567.28</v>
      </c>
      <c r="F52" s="1">
        <f>SUM(OSRRefD21_7x_2)</f>
        <v>0</v>
      </c>
      <c r="G52" s="1">
        <f>SUM(OSRRefD21_7x_3)</f>
        <v>0</v>
      </c>
      <c r="H52" s="1">
        <f>SUM(OSRRefE21_7x_0)</f>
        <v>0</v>
      </c>
      <c r="I52" s="1">
        <f>SUM(OSRRefE21_7x_1)</f>
        <v>0</v>
      </c>
      <c r="J52" s="1">
        <f>SUM(OSRRefE21_7x_2)</f>
        <v>0</v>
      </c>
      <c r="K52" s="1">
        <f>SUM(OSRRefE21_7x_3)</f>
        <v>0</v>
      </c>
      <c r="L52" s="1">
        <f>SUM(OSRRefE21_7x_4)</f>
        <v>0</v>
      </c>
      <c r="M52" s="1">
        <f>SUM(OSRRefE21_7x_5)</f>
        <v>0</v>
      </c>
      <c r="N52" s="1">
        <f>SUM(OSRRefE21_7x_6)</f>
        <v>0</v>
      </c>
      <c r="O52" s="1">
        <f>SUM(OSRRefE21_7x_7)</f>
        <v>0</v>
      </c>
      <c r="Q52" s="2">
        <f>SUM(OSRRefD20_7x)+IFERROR(SUM(OSRRefE20_7x),0)</f>
        <v>-1053.52</v>
      </c>
    </row>
    <row r="53" spans="1:17" s="34" customFormat="1" hidden="1" outlineLevel="1" x14ac:dyDescent="0.25">
      <c r="A53" s="35"/>
      <c r="B53" s="13" t="str">
        <f>CONCATENATE("          ","6282", " - ","JANITORIAL/EXTERMINATOR EXPENS")</f>
        <v xml:space="preserve">          6282 - JANITORIAL/EXTERMINATOR EXPENS</v>
      </c>
      <c r="C53" s="15"/>
      <c r="D53" s="2"/>
      <c r="E53" s="2">
        <v>-567.28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9"/>
      <c r="Q53" s="2">
        <f>SUM(OSRRefD21_7_0x)+IFERROR(SUM(OSRRefE21_7_0x),0)</f>
        <v>-567.28</v>
      </c>
    </row>
    <row r="54" spans="1:17" s="34" customFormat="1" hidden="1" outlineLevel="1" x14ac:dyDescent="0.25">
      <c r="A54" s="35"/>
      <c r="B54" s="13" t="str">
        <f>CONCATENATE("          ","6285", " - ","JANITORIAL SERVICES")</f>
        <v xml:space="preserve">          6285 - JANITORIAL SERVICES</v>
      </c>
      <c r="C54" s="15"/>
      <c r="D54" s="2">
        <v>-486.24</v>
      </c>
      <c r="E54" s="2"/>
      <c r="F54" s="2"/>
      <c r="G54" s="2"/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SUM(OSRRefD21_7_1x)+IFERROR(SUM(OSRRefE21_7_1x),0)</f>
        <v>-486.24</v>
      </c>
    </row>
    <row r="55" spans="1:17" s="34" customFormat="1" collapsed="1" x14ac:dyDescent="0.25">
      <c r="A55" s="35"/>
      <c r="B55" s="15" t="str">
        <f>CONCATENATE("     ","Supplies                                          ")</f>
        <v xml:space="preserve">     Supplies                                          </v>
      </c>
      <c r="C55" s="15"/>
      <c r="D55" s="1">
        <f>SUM(OSRRefD21_8x_0)</f>
        <v>0</v>
      </c>
      <c r="E55" s="1">
        <f>SUM(OSRRefD21_8x_1)</f>
        <v>41.32</v>
      </c>
      <c r="F55" s="1">
        <f>SUM(OSRRefD21_8x_2)</f>
        <v>89.98</v>
      </c>
      <c r="G55" s="1">
        <f>SUM(OSRRefD21_8x_3)</f>
        <v>0</v>
      </c>
      <c r="H55" s="1">
        <f>SUM(OSRRefE21_8x_0)</f>
        <v>0</v>
      </c>
      <c r="I55" s="1">
        <f>SUM(OSRRefE21_8x_1)</f>
        <v>0</v>
      </c>
      <c r="J55" s="1">
        <f>SUM(OSRRefE21_8x_2)</f>
        <v>0</v>
      </c>
      <c r="K55" s="1">
        <f>SUM(OSRRefE21_8x_3)</f>
        <v>0</v>
      </c>
      <c r="L55" s="1">
        <f>SUM(OSRRefE21_8x_4)</f>
        <v>0</v>
      </c>
      <c r="M55" s="1">
        <f>SUM(OSRRefE21_8x_5)</f>
        <v>0</v>
      </c>
      <c r="N55" s="1">
        <f>SUM(OSRRefE21_8x_6)</f>
        <v>0</v>
      </c>
      <c r="O55" s="1">
        <f>SUM(OSRRefE21_8x_7)</f>
        <v>0</v>
      </c>
      <c r="Q55" s="2">
        <f>SUM(OSRRefD20_8x)+IFERROR(SUM(OSRRefE20_8x),0)</f>
        <v>131.30000000000001</v>
      </c>
    </row>
    <row r="56" spans="1:17" s="34" customFormat="1" hidden="1" outlineLevel="1" x14ac:dyDescent="0.25">
      <c r="A56" s="35"/>
      <c r="B56" s="13" t="str">
        <f>CONCATENATE("          ","6235", " - ","COVID-19 EXPENSES")</f>
        <v xml:space="preserve">          6235 - COVID-19 EXPENSES</v>
      </c>
      <c r="C56" s="15"/>
      <c r="D56" s="2"/>
      <c r="E56" s="2"/>
      <c r="F56" s="2"/>
      <c r="G56" s="2"/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9"/>
      <c r="Q56" s="2">
        <f>SUM(OSRRefD21_8_0x)+IFERROR(SUM(OSRRefE21_8_0x),0)</f>
        <v>0</v>
      </c>
    </row>
    <row r="57" spans="1:17" s="34" customFormat="1" hidden="1" outlineLevel="1" x14ac:dyDescent="0.25">
      <c r="A57" s="35"/>
      <c r="B57" s="13" t="str">
        <f>CONCATENATE("          ","6241", " - ","OFFICE EXPENSE")</f>
        <v xml:space="preserve">          6241 - OFFICE EXPENSE</v>
      </c>
      <c r="C57" s="15"/>
      <c r="D57" s="2"/>
      <c r="E57" s="2">
        <v>41.32</v>
      </c>
      <c r="F57" s="2">
        <v>89.98</v>
      </c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SUM(OSRRefD21_8_1x)+IFERROR(SUM(OSRRefE21_8_1x),0)</f>
        <v>131.30000000000001</v>
      </c>
    </row>
    <row r="58" spans="1:17" s="34" customFormat="1" hidden="1" outlineLevel="1" x14ac:dyDescent="0.25">
      <c r="A58" s="35"/>
      <c r="B58" s="13" t="str">
        <f>CONCATENATE("          ","6247", " - ","STORE SUPPLIES")</f>
        <v xml:space="preserve">          6247 - STORE SUPPLIES</v>
      </c>
      <c r="C58" s="15"/>
      <c r="D58" s="2"/>
      <c r="E58" s="2"/>
      <c r="F58" s="2"/>
      <c r="G58" s="2"/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SUM(OSRRefD21_8_2x)+IFERROR(SUM(OSRRefE21_8_2x),0)</f>
        <v>0</v>
      </c>
    </row>
    <row r="59" spans="1:17" s="34" customFormat="1" hidden="1" outlineLevel="1" x14ac:dyDescent="0.25">
      <c r="A59" s="35"/>
      <c r="B59" s="13" t="str">
        <f>CONCATENATE("          ","6248", " - ","UNIFORMS")</f>
        <v xml:space="preserve">          6248 - UNIFORMS</v>
      </c>
      <c r="C59" s="15"/>
      <c r="D59" s="2"/>
      <c r="E59" s="2"/>
      <c r="F59" s="2"/>
      <c r="G59" s="2"/>
      <c r="H59" s="2"/>
      <c r="I59" s="2"/>
      <c r="J59" s="2">
        <v>0</v>
      </c>
      <c r="K59" s="2"/>
      <c r="L59" s="2"/>
      <c r="M59" s="2"/>
      <c r="N59" s="2"/>
      <c r="O59" s="2"/>
      <c r="P59" s="9"/>
      <c r="Q59" s="2">
        <f>SUM(OSRRefD21_8_3x)+IFERROR(SUM(OSRRefE21_8_3x),0)</f>
        <v>0</v>
      </c>
    </row>
    <row r="60" spans="1:17" s="34" customFormat="1" collapsed="1" x14ac:dyDescent="0.25">
      <c r="A60" s="35"/>
      <c r="B60" s="15" t="str">
        <f>CONCATENATE("     ","Telephone/Data Lines                              ")</f>
        <v xml:space="preserve">     Telephone/Data Lines                              </v>
      </c>
      <c r="C60" s="15"/>
      <c r="D60" s="1">
        <f>SUM(OSRRefD21_9x_0)</f>
        <v>36</v>
      </c>
      <c r="E60" s="1">
        <f>SUM(OSRRefD21_9x_1)</f>
        <v>36</v>
      </c>
      <c r="F60" s="1">
        <f>SUM(OSRRefD21_9x_2)</f>
        <v>0</v>
      </c>
      <c r="G60" s="1">
        <f>SUM(OSRRefD21_9x_3)</f>
        <v>13.2</v>
      </c>
      <c r="H60" s="1">
        <f>SUM(OSRRefE21_9x_0)</f>
        <v>0</v>
      </c>
      <c r="I60" s="1">
        <f>SUM(OSRRefE21_9x_1)</f>
        <v>0</v>
      </c>
      <c r="J60" s="1">
        <f>SUM(OSRRefE21_9x_2)</f>
        <v>0</v>
      </c>
      <c r="K60" s="1">
        <f>SUM(OSRRefE21_9x_3)</f>
        <v>0</v>
      </c>
      <c r="L60" s="1">
        <f>SUM(OSRRefE21_9x_4)</f>
        <v>0</v>
      </c>
      <c r="M60" s="1">
        <f>SUM(OSRRefE21_9x_5)</f>
        <v>0</v>
      </c>
      <c r="N60" s="1">
        <f>SUM(OSRRefE21_9x_6)</f>
        <v>0</v>
      </c>
      <c r="O60" s="1">
        <f>SUM(OSRRefE21_9x_7)</f>
        <v>0</v>
      </c>
      <c r="Q60" s="2">
        <f>SUM(OSRRefD20_9x)+IFERROR(SUM(OSRRefE20_9x),0)</f>
        <v>85.2</v>
      </c>
    </row>
    <row r="61" spans="1:17" s="34" customFormat="1" hidden="1" outlineLevel="1" x14ac:dyDescent="0.25">
      <c r="A61" s="35"/>
      <c r="B61" s="13" t="str">
        <f>CONCATENATE("          ","6309", " - ","TELEPHONE")</f>
        <v xml:space="preserve">          6309 - TELEPHONE</v>
      </c>
      <c r="C61" s="15"/>
      <c r="D61" s="2">
        <v>36</v>
      </c>
      <c r="E61" s="2">
        <v>36</v>
      </c>
      <c r="F61" s="2"/>
      <c r="G61" s="2">
        <v>13.2</v>
      </c>
      <c r="H61" s="2"/>
      <c r="I61" s="2"/>
      <c r="J61" s="2"/>
      <c r="K61" s="2"/>
      <c r="L61" s="2"/>
      <c r="M61" s="2"/>
      <c r="N61" s="2"/>
      <c r="O61" s="2"/>
      <c r="P61" s="9"/>
      <c r="Q61" s="2">
        <f>SUM(OSRRefD21_9_0x)+IFERROR(SUM(OSRRefE21_9_0x),0)</f>
        <v>85.2</v>
      </c>
    </row>
    <row r="62" spans="1:17" s="34" customFormat="1" collapsed="1" x14ac:dyDescent="0.25">
      <c r="A62" s="35"/>
      <c r="B62" s="15" t="str">
        <f>CONCATENATE("     ","Utilities                                         ")</f>
        <v xml:space="preserve">     Utilities                                         </v>
      </c>
      <c r="C62" s="15"/>
      <c r="D62" s="1">
        <f>SUM(OSRRefD21_10x_0)</f>
        <v>0</v>
      </c>
      <c r="E62" s="1">
        <f>SUM(OSRRefD21_10x_1)</f>
        <v>0</v>
      </c>
      <c r="F62" s="1">
        <f>SUM(OSRRefD21_10x_2)</f>
        <v>0</v>
      </c>
      <c r="G62" s="1">
        <f>SUM(OSRRefD21_10x_3)</f>
        <v>208</v>
      </c>
      <c r="H62" s="1">
        <f>SUM(OSRRefE21_10x_0)</f>
        <v>0</v>
      </c>
      <c r="I62" s="1">
        <f>SUM(OSRRefE21_10x_1)</f>
        <v>0</v>
      </c>
      <c r="J62" s="1">
        <f>SUM(OSRRefE21_10x_2)</f>
        <v>0</v>
      </c>
      <c r="K62" s="1">
        <f>SUM(OSRRefE21_10x_3)</f>
        <v>0</v>
      </c>
      <c r="L62" s="1">
        <f>SUM(OSRRefE21_10x_4)</f>
        <v>0</v>
      </c>
      <c r="M62" s="1">
        <f>SUM(OSRRefE21_10x_5)</f>
        <v>0</v>
      </c>
      <c r="N62" s="1">
        <f>SUM(OSRRefE21_10x_6)</f>
        <v>0</v>
      </c>
      <c r="O62" s="1">
        <f>SUM(OSRRefE21_10x_7)</f>
        <v>0</v>
      </c>
      <c r="Q62" s="2">
        <f>SUM(OSRRefD20_10x)+IFERROR(SUM(OSRRefE20_10x),0)</f>
        <v>208</v>
      </c>
    </row>
    <row r="63" spans="1:17" s="34" customFormat="1" hidden="1" outlineLevel="1" x14ac:dyDescent="0.25">
      <c r="A63" s="35"/>
      <c r="B63" s="13" t="str">
        <f>CONCATENATE("          ","6274", " - ","UTILITIES")</f>
        <v xml:space="preserve">          6274 - UTILITIES</v>
      </c>
      <c r="C63" s="15"/>
      <c r="D63" s="2"/>
      <c r="E63" s="2"/>
      <c r="F63" s="2"/>
      <c r="G63" s="2">
        <v>208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SUM(OSRRefD21_10_0x)+IFERROR(SUM(OSRRefE21_10_0x),0)</f>
        <v>208</v>
      </c>
    </row>
    <row r="64" spans="1:17" s="28" customFormat="1" x14ac:dyDescent="0.25">
      <c r="A64" s="20"/>
      <c r="B64" s="20"/>
      <c r="C64" s="20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Q64" s="1"/>
    </row>
    <row r="65" spans="1:17" s="9" customFormat="1" x14ac:dyDescent="0.25">
      <c r="A65" s="22"/>
      <c r="B65" s="16" t="s">
        <v>0</v>
      </c>
      <c r="C65" s="23"/>
      <c r="D65" s="3">
        <f t="shared" ref="D65:G65" si="3">0</f>
        <v>0</v>
      </c>
      <c r="E65" s="3">
        <f t="shared" si="3"/>
        <v>0</v>
      </c>
      <c r="F65" s="3">
        <f t="shared" si="3"/>
        <v>0</v>
      </c>
      <c r="G65" s="3">
        <f t="shared" si="3"/>
        <v>0</v>
      </c>
      <c r="H65" s="3"/>
      <c r="I65" s="3"/>
      <c r="J65" s="3"/>
      <c r="K65" s="3"/>
      <c r="L65" s="3"/>
      <c r="M65" s="3"/>
      <c r="N65" s="3"/>
      <c r="O65" s="3"/>
      <c r="Q65" s="2">
        <f>SUM(OSRRefD23_0x)+IFERROR(SUM(OSRRefE23_0x),0)</f>
        <v>0</v>
      </c>
    </row>
    <row r="66" spans="1:17" x14ac:dyDescent="0.25">
      <c r="A66" s="5"/>
      <c r="B66" s="8"/>
      <c r="C66" s="8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4" customFormat="1" x14ac:dyDescent="0.25">
      <c r="A67" s="8"/>
      <c r="B67" s="17" t="s">
        <v>3</v>
      </c>
      <c r="C67" s="17"/>
      <c r="D67" s="6">
        <f t="shared" ref="D67:O67" si="4">IFERROR(+D17-D20+D65, 0)</f>
        <v>-5016.2</v>
      </c>
      <c r="E67" s="6">
        <f t="shared" si="4"/>
        <v>-610.52</v>
      </c>
      <c r="F67" s="6">
        <f t="shared" si="4"/>
        <v>-2179.67</v>
      </c>
      <c r="G67" s="6">
        <f t="shared" si="4"/>
        <v>-2238.54</v>
      </c>
      <c r="H67" s="6">
        <f t="shared" si="4"/>
        <v>-2017</v>
      </c>
      <c r="I67" s="6">
        <f t="shared" si="4"/>
        <v>-2017</v>
      </c>
      <c r="J67" s="6">
        <f t="shared" si="4"/>
        <v>-2017</v>
      </c>
      <c r="K67" s="6">
        <f t="shared" si="4"/>
        <v>-2017</v>
      </c>
      <c r="L67" s="6">
        <f t="shared" si="4"/>
        <v>-2017</v>
      </c>
      <c r="M67" s="6">
        <f t="shared" si="4"/>
        <v>-2017</v>
      </c>
      <c r="N67" s="6">
        <f t="shared" si="4"/>
        <v>-2017</v>
      </c>
      <c r="O67" s="6">
        <f t="shared" si="4"/>
        <v>-2017</v>
      </c>
      <c r="Q67" s="6">
        <f>IFERROR(+Q17-Q20+Q65, 0)</f>
        <v>-26180.93</v>
      </c>
    </row>
    <row r="68" spans="1:17" s="8" customFormat="1" x14ac:dyDescent="0.25">
      <c r="B68" s="16"/>
      <c r="C68" s="16"/>
      <c r="D68" s="4">
        <f t="shared" ref="D68:O68" si="5">IFERROR(D67/D10, 0)</f>
        <v>0</v>
      </c>
      <c r="E68" s="4">
        <f t="shared" si="5"/>
        <v>0</v>
      </c>
      <c r="F68" s="4">
        <f t="shared" si="5"/>
        <v>0</v>
      </c>
      <c r="G68" s="4">
        <f t="shared" si="5"/>
        <v>0</v>
      </c>
      <c r="H68" s="4">
        <f t="shared" si="5"/>
        <v>0</v>
      </c>
      <c r="I68" s="4">
        <f t="shared" si="5"/>
        <v>0</v>
      </c>
      <c r="J68" s="4">
        <f t="shared" si="5"/>
        <v>0</v>
      </c>
      <c r="K68" s="4">
        <f t="shared" si="5"/>
        <v>0</v>
      </c>
      <c r="L68" s="4">
        <f t="shared" si="5"/>
        <v>0</v>
      </c>
      <c r="M68" s="4">
        <f t="shared" si="5"/>
        <v>0</v>
      </c>
      <c r="N68" s="4">
        <f t="shared" si="5"/>
        <v>0</v>
      </c>
      <c r="O68" s="4">
        <f t="shared" si="5"/>
        <v>0</v>
      </c>
      <c r="P68" s="18"/>
      <c r="Q68" s="4">
        <f>IFERROR(Q67/Q10, 0)</f>
        <v>0</v>
      </c>
    </row>
    <row r="69" spans="1:17" x14ac:dyDescent="0.25">
      <c r="A69" s="5"/>
      <c r="B69" s="8"/>
      <c r="C69" s="5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3"/>
    </row>
    <row r="70" spans="1:17" s="14" customFormat="1" x14ac:dyDescent="0.25">
      <c r="A70" s="25"/>
      <c r="B70" s="8" t="s">
        <v>8</v>
      </c>
      <c r="C70" s="8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2">
        <f>SUM(OSRRefD28_0x)+IFERROR(SUM(OSRRefE28_0x),0)</f>
        <v>0</v>
      </c>
    </row>
    <row r="71" spans="1:17" x14ac:dyDescent="0.25">
      <c r="A71" s="5"/>
      <c r="B71" s="8"/>
      <c r="C71" s="8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4" customFormat="1" ht="15.75" thickBot="1" x14ac:dyDescent="0.3">
      <c r="A72" s="8"/>
      <c r="B72" s="17" t="s">
        <v>4</v>
      </c>
      <c r="C72" s="17"/>
      <c r="D72" s="7">
        <f t="shared" ref="D72:O72" si="6">IFERROR(+D67-D70, 0)</f>
        <v>-5016.2</v>
      </c>
      <c r="E72" s="7">
        <f t="shared" si="6"/>
        <v>-610.52</v>
      </c>
      <c r="F72" s="7">
        <f t="shared" si="6"/>
        <v>-2179.67</v>
      </c>
      <c r="G72" s="7">
        <f t="shared" si="6"/>
        <v>-2238.54</v>
      </c>
      <c r="H72" s="7">
        <f t="shared" si="6"/>
        <v>-2017</v>
      </c>
      <c r="I72" s="7">
        <f t="shared" si="6"/>
        <v>-2017</v>
      </c>
      <c r="J72" s="7">
        <f t="shared" si="6"/>
        <v>-2017</v>
      </c>
      <c r="K72" s="7">
        <f t="shared" si="6"/>
        <v>-2017</v>
      </c>
      <c r="L72" s="7">
        <f t="shared" si="6"/>
        <v>-2017</v>
      </c>
      <c r="M72" s="7">
        <f t="shared" si="6"/>
        <v>-2017</v>
      </c>
      <c r="N72" s="7">
        <f t="shared" si="6"/>
        <v>-2017</v>
      </c>
      <c r="O72" s="7">
        <f t="shared" si="6"/>
        <v>-2017</v>
      </c>
      <c r="Q72" s="7">
        <f>IFERROR(+Q67-Q70, 0)</f>
        <v>-26180.93</v>
      </c>
    </row>
    <row r="73" spans="1:17" ht="15.75" thickTop="1" x14ac:dyDescent="0.25">
      <c r="A73" s="5"/>
      <c r="B73" s="5"/>
      <c r="C73" s="5"/>
      <c r="D73" s="4">
        <f t="shared" ref="D73:O73" si="7">IFERROR(D72/D10, 0)</f>
        <v>0</v>
      </c>
      <c r="E73" s="4">
        <f t="shared" si="7"/>
        <v>0</v>
      </c>
      <c r="F73" s="4">
        <f t="shared" si="7"/>
        <v>0</v>
      </c>
      <c r="G73" s="4">
        <f t="shared" si="7"/>
        <v>0</v>
      </c>
      <c r="H73" s="4">
        <f t="shared" si="7"/>
        <v>0</v>
      </c>
      <c r="I73" s="4">
        <f t="shared" si="7"/>
        <v>0</v>
      </c>
      <c r="J73" s="4">
        <f t="shared" si="7"/>
        <v>0</v>
      </c>
      <c r="K73" s="4">
        <f t="shared" si="7"/>
        <v>0</v>
      </c>
      <c r="L73" s="4">
        <f t="shared" si="7"/>
        <v>0</v>
      </c>
      <c r="M73" s="4">
        <f t="shared" si="7"/>
        <v>0</v>
      </c>
      <c r="N73" s="4">
        <f t="shared" si="7"/>
        <v>0</v>
      </c>
      <c r="O73" s="4">
        <f t="shared" si="7"/>
        <v>0</v>
      </c>
      <c r="P73" s="18"/>
      <c r="Q73" s="4">
        <f>IFERROR(Q72/Q10, 0)</f>
        <v>0</v>
      </c>
    </row>
    <row r="74" spans="1:17" x14ac:dyDescent="0.25">
      <c r="A74" s="5"/>
      <c r="B74" s="5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x14ac:dyDescent="0.25">
      <c r="A75" s="5"/>
      <c r="B75" s="5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4" customFormat="1" ht="15.75" thickBot="1" x14ac:dyDescent="0.3">
      <c r="A76" s="8"/>
      <c r="B76" s="17" t="s">
        <v>5</v>
      </c>
      <c r="C76" s="17"/>
      <c r="D76" s="7">
        <f t="shared" ref="D76:O76" si="8">IFERROR(SUM(D72:D75), 0)</f>
        <v>-5016.2</v>
      </c>
      <c r="E76" s="7">
        <f t="shared" si="8"/>
        <v>-610.52</v>
      </c>
      <c r="F76" s="7">
        <f t="shared" si="8"/>
        <v>-2179.67</v>
      </c>
      <c r="G76" s="7">
        <f t="shared" si="8"/>
        <v>-2238.54</v>
      </c>
      <c r="H76" s="7">
        <f t="shared" si="8"/>
        <v>-2017</v>
      </c>
      <c r="I76" s="7">
        <f t="shared" si="8"/>
        <v>-2017</v>
      </c>
      <c r="J76" s="7">
        <f t="shared" si="8"/>
        <v>-2017</v>
      </c>
      <c r="K76" s="7">
        <f t="shared" si="8"/>
        <v>-2017</v>
      </c>
      <c r="L76" s="7">
        <f t="shared" si="8"/>
        <v>-2017</v>
      </c>
      <c r="M76" s="7">
        <f t="shared" si="8"/>
        <v>-2017</v>
      </c>
      <c r="N76" s="7">
        <f t="shared" si="8"/>
        <v>-2017</v>
      </c>
      <c r="O76" s="7">
        <f t="shared" si="8"/>
        <v>-2017</v>
      </c>
      <c r="Q76" s="7">
        <f>IFERROR(SUM(Q72:Q75), 0)</f>
        <v>-26180.93</v>
      </c>
    </row>
    <row r="77" spans="1:17" ht="15.75" thickTop="1" x14ac:dyDescent="0.25">
      <c r="A77" s="5"/>
      <c r="C77" s="5"/>
      <c r="D77" s="4">
        <f t="shared" ref="D77:O77" si="9">IFERROR(D76/D10, 0)</f>
        <v>0</v>
      </c>
      <c r="E77" s="4">
        <f t="shared" si="9"/>
        <v>0</v>
      </c>
      <c r="F77" s="4">
        <f t="shared" si="9"/>
        <v>0</v>
      </c>
      <c r="G77" s="4">
        <f t="shared" si="9"/>
        <v>0</v>
      </c>
      <c r="H77" s="4">
        <f t="shared" si="9"/>
        <v>0</v>
      </c>
      <c r="I77" s="4">
        <f t="shared" si="9"/>
        <v>0</v>
      </c>
      <c r="J77" s="4">
        <f t="shared" si="9"/>
        <v>0</v>
      </c>
      <c r="K77" s="4">
        <f t="shared" si="9"/>
        <v>0</v>
      </c>
      <c r="L77" s="4">
        <f t="shared" si="9"/>
        <v>0</v>
      </c>
      <c r="M77" s="4">
        <f t="shared" si="9"/>
        <v>0</v>
      </c>
      <c r="N77" s="4">
        <f t="shared" si="9"/>
        <v>0</v>
      </c>
      <c r="O77" s="4">
        <f t="shared" si="9"/>
        <v>0</v>
      </c>
      <c r="P77" s="18"/>
      <c r="Q77" s="4">
        <f>IFERROR(Q76/Q10, 0)</f>
        <v>0</v>
      </c>
    </row>
    <row r="78" spans="1:17" x14ac:dyDescent="0.25">
      <c r="A78" s="5"/>
      <c r="B78" s="26">
        <v>44151.564896608797</v>
      </c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Q78" s="12"/>
    </row>
    <row r="79" spans="1:17" x14ac:dyDescent="0.25">
      <c r="A79" s="5"/>
      <c r="B79" s="30" t="s">
        <v>311</v>
      </c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Q79" s="12"/>
    </row>
    <row r="80" spans="1:17" x14ac:dyDescent="0.25">
      <c r="A80" s="5"/>
      <c r="B80" s="31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Q80" s="12"/>
    </row>
    <row r="81" spans="4:17" x14ac:dyDescent="0.25"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Q8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","325", " - ", "Outpost C-Store")</f>
        <v>Department 325 - Outpost C-Store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collapsed="1" x14ac:dyDescent="0.25">
      <c r="A12" s="22"/>
      <c r="B12" s="16" t="s">
        <v>290</v>
      </c>
      <c r="C12" s="23"/>
      <c r="D12" s="3">
        <f>SUM(OSRRefD14x_0)</f>
        <v>0</v>
      </c>
      <c r="E12" s="3">
        <f>SUM(OSRRefD14x_1)</f>
        <v>-688.96</v>
      </c>
      <c r="F12" s="3">
        <f>SUM(OSRRefD14x_2)</f>
        <v>0</v>
      </c>
      <c r="G12" s="3">
        <f>SUM(OSRRefD14x_3)</f>
        <v>11536.83</v>
      </c>
      <c r="H12" s="3">
        <f>SUM(OSRRefE14x_0)</f>
        <v>0</v>
      </c>
      <c r="I12" s="3">
        <f>SUM(OSRRefE14x_1)</f>
        <v>0</v>
      </c>
      <c r="J12" s="3">
        <f>SUM(OSRRefE14x_2)</f>
        <v>0</v>
      </c>
      <c r="K12" s="3">
        <f>SUM(OSRRefE14x_3)</f>
        <v>0</v>
      </c>
      <c r="L12" s="3">
        <f>SUM(OSRRefE14x_4)</f>
        <v>0</v>
      </c>
      <c r="M12" s="3">
        <f>SUM(OSRRefE14x_5)</f>
        <v>0</v>
      </c>
      <c r="N12" s="3">
        <f>SUM(OSRRefE14x_6)</f>
        <v>0</v>
      </c>
      <c r="O12" s="3">
        <f>SUM(OSRRefE14x_7)</f>
        <v>0</v>
      </c>
      <c r="Q12" s="3">
        <f>SUM(OSRRefG14x)</f>
        <v>10847.87</v>
      </c>
    </row>
    <row r="13" spans="1:18" s="9" customFormat="1" hidden="1" outlineLevel="1" x14ac:dyDescent="0.25">
      <c r="A13" s="22"/>
      <c r="B13" s="13" t="str">
        <f>CONCATENATE("          ","5053", " - ","PURCHASES @ COST-FOOD")</f>
        <v xml:space="preserve">          5053 - PURCHASES @ COST-FOOD</v>
      </c>
      <c r="C13" s="23"/>
      <c r="D13" s="2"/>
      <c r="E13" s="2">
        <v>-688.96</v>
      </c>
      <c r="F13" s="2"/>
      <c r="G13" s="2">
        <v>-92.17</v>
      </c>
      <c r="H13" s="2"/>
      <c r="I13" s="2"/>
      <c r="J13" s="2"/>
      <c r="K13" s="2"/>
      <c r="L13" s="2"/>
      <c r="M13" s="2"/>
      <c r="N13" s="2"/>
      <c r="O13" s="2"/>
      <c r="Q13" s="2">
        <f>SUM(OSRRefD14_0x)+IFERROR(SUM(OSRRefE14_0x),0)</f>
        <v>-781.13</v>
      </c>
    </row>
    <row r="14" spans="1:18" s="9" customFormat="1" hidden="1" outlineLevel="1" x14ac:dyDescent="0.25">
      <c r="A14" s="22"/>
      <c r="B14" s="13" t="str">
        <f>CONCATENATE("          ","5059", " - ","PURCHASES @ COST-FOOD")</f>
        <v xml:space="preserve">          5059 - PURCHASES @ COST-FOOD</v>
      </c>
      <c r="C14" s="23"/>
      <c r="D14" s="2"/>
      <c r="E14" s="2"/>
      <c r="F14" s="2"/>
      <c r="G14" s="2">
        <v>11629</v>
      </c>
      <c r="H14" s="2"/>
      <c r="I14" s="2"/>
      <c r="J14" s="2"/>
      <c r="K14" s="2"/>
      <c r="L14" s="2"/>
      <c r="M14" s="2"/>
      <c r="N14" s="2"/>
      <c r="O14" s="2"/>
      <c r="Q14" s="2">
        <f>SUM(OSRRefD14_1x)+IFERROR(SUM(OSRRefE14_1x),0)</f>
        <v>11629</v>
      </c>
    </row>
    <row r="15" spans="1:18" x14ac:dyDescent="0.25">
      <c r="A15" s="5"/>
      <c r="B15" s="8"/>
      <c r="C15" s="8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4" customFormat="1" x14ac:dyDescent="0.25">
      <c r="A16" s="8"/>
      <c r="B16" s="17" t="s">
        <v>6</v>
      </c>
      <c r="C16" s="17"/>
      <c r="D16" s="6">
        <f t="shared" ref="D16:O16" si="1">IFERROR(+D10-D12, 0)</f>
        <v>0</v>
      </c>
      <c r="E16" s="6">
        <f t="shared" si="1"/>
        <v>688.96</v>
      </c>
      <c r="F16" s="6">
        <f t="shared" si="1"/>
        <v>0</v>
      </c>
      <c r="G16" s="6">
        <f t="shared" si="1"/>
        <v>-11536.83</v>
      </c>
      <c r="H16" s="6">
        <f t="shared" si="1"/>
        <v>0</v>
      </c>
      <c r="I16" s="6">
        <f t="shared" si="1"/>
        <v>0</v>
      </c>
      <c r="J16" s="6">
        <f t="shared" si="1"/>
        <v>0</v>
      </c>
      <c r="K16" s="6">
        <f t="shared" si="1"/>
        <v>0</v>
      </c>
      <c r="L16" s="6">
        <f t="shared" si="1"/>
        <v>0</v>
      </c>
      <c r="M16" s="6">
        <f t="shared" si="1"/>
        <v>0</v>
      </c>
      <c r="N16" s="6">
        <f t="shared" si="1"/>
        <v>0</v>
      </c>
      <c r="O16" s="6">
        <f t="shared" si="1"/>
        <v>0</v>
      </c>
      <c r="Q16" s="6">
        <f>IFERROR(+Q10-Q12, 0)</f>
        <v>-10847.87</v>
      </c>
    </row>
    <row r="17" spans="1:17" s="8" customFormat="1" x14ac:dyDescent="0.25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0</v>
      </c>
    </row>
    <row r="18" spans="1:17" x14ac:dyDescent="0.25">
      <c r="A18" s="5"/>
      <c r="B18" s="8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4" customFormat="1" x14ac:dyDescent="0.25">
      <c r="A19" s="8"/>
      <c r="B19" s="16" t="s">
        <v>291</v>
      </c>
      <c r="C19" s="8"/>
      <c r="D19" s="10">
        <f>SUM(OSRRefD20x_0)</f>
        <v>14436.4</v>
      </c>
      <c r="E19" s="10">
        <f>SUM(OSRRefD20x_1)</f>
        <v>9986.7300000000014</v>
      </c>
      <c r="F19" s="10">
        <f>SUM(OSRRefD20x_2)</f>
        <v>10652.890000000001</v>
      </c>
      <c r="G19" s="10">
        <f>SUM(OSRRefD20x_3)</f>
        <v>11361.830000000002</v>
      </c>
      <c r="H19" s="10">
        <f>SUM(OSRRefE20x_0)</f>
        <v>17653.900799999999</v>
      </c>
      <c r="I19" s="10">
        <f>SUM(OSRRefE20x_1)</f>
        <v>11961</v>
      </c>
      <c r="J19" s="10">
        <f>SUM(OSRRefE20x_2)</f>
        <v>19631.266080000001</v>
      </c>
      <c r="K19" s="10">
        <f>SUM(OSRRefE20x_3)</f>
        <v>18073.812864</v>
      </c>
      <c r="L19" s="10">
        <f>SUM(OSRRefE20x_4)</f>
        <v>18076.812864</v>
      </c>
      <c r="M19" s="10">
        <f>SUM(OSRRefE20x_5)</f>
        <v>19655.266080000001</v>
      </c>
      <c r="N19" s="10">
        <f>SUM(OSRRefE20x_6)</f>
        <v>17934.812864</v>
      </c>
      <c r="O19" s="10">
        <f>SUM(OSRRefE20x_7)</f>
        <v>17934.812864</v>
      </c>
      <c r="Q19" s="10">
        <f>SUM(OSRRefG20x)</f>
        <v>187359.53441599998</v>
      </c>
    </row>
    <row r="20" spans="1:17" s="34" customFormat="1" collapsed="1" x14ac:dyDescent="0.25">
      <c r="A20" s="35"/>
      <c r="B20" s="15" t="str">
        <f>CONCATENATE("     ","*Benefits                                         ")</f>
        <v xml:space="preserve">     *Benefits                                         </v>
      </c>
      <c r="C20" s="15"/>
      <c r="D20" s="1">
        <f>SUM(OSRRefD21_0x_0)</f>
        <v>2889.72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SUM(OSRRefE21_0x_0)</f>
        <v>3159.9007999999994</v>
      </c>
      <c r="I20" s="1">
        <f>SUM(OSRRefE21_0x_1)</f>
        <v>0</v>
      </c>
      <c r="J20" s="1">
        <f>SUM(OSRRefE21_0x_2)</f>
        <v>3572.8660800000002</v>
      </c>
      <c r="K20" s="1">
        <f>SUM(OSRRefE21_0x_3)</f>
        <v>3254.2928639999996</v>
      </c>
      <c r="L20" s="1">
        <f>SUM(OSRRefE21_0x_4)</f>
        <v>3254.2928639999996</v>
      </c>
      <c r="M20" s="1">
        <f>SUM(OSRRefE21_0x_5)</f>
        <v>3572.8660800000002</v>
      </c>
      <c r="N20" s="1">
        <f>SUM(OSRRefE21_0x_6)</f>
        <v>3254.2928639999996</v>
      </c>
      <c r="O20" s="1">
        <f>SUM(OSRRefE21_0x_7)</f>
        <v>3254.2928639999996</v>
      </c>
      <c r="Q20" s="2">
        <f>SUM(OSRRefD20_0x)+IFERROR(SUM(OSRRefE20_0x),0)</f>
        <v>26212.524415999997</v>
      </c>
    </row>
    <row r="21" spans="1:17" s="34" customFormat="1" hidden="1" outlineLevel="1" x14ac:dyDescent="0.25">
      <c r="A21" s="35"/>
      <c r="B21" s="13" t="str">
        <f>CONCATENATE("          ","6111", " - ","F.I.C.A.")</f>
        <v xml:space="preserve">          6111 - F.I.C.A.</v>
      </c>
      <c r="C21" s="15"/>
      <c r="D21" s="2">
        <v>159.12</v>
      </c>
      <c r="E21" s="2"/>
      <c r="F21" s="2"/>
      <c r="G21" s="2"/>
      <c r="H21" s="2">
        <v>318.3648</v>
      </c>
      <c r="I21" s="2">
        <v>0</v>
      </c>
      <c r="J21" s="2">
        <v>429.79248000000001</v>
      </c>
      <c r="K21" s="2">
        <v>343.83398399999999</v>
      </c>
      <c r="L21" s="2">
        <v>343.83398399999999</v>
      </c>
      <c r="M21" s="2">
        <v>429.79248000000001</v>
      </c>
      <c r="N21" s="2">
        <v>343.83398399999999</v>
      </c>
      <c r="O21" s="2">
        <v>343.83398399999999</v>
      </c>
      <c r="P21" s="9"/>
      <c r="Q21" s="2">
        <f>SUM(OSRRefD21_0_0x)+IFERROR(SUM(OSRRefE21_0_0x),0)</f>
        <v>2712.4056959999998</v>
      </c>
    </row>
    <row r="22" spans="1:17" s="34" customFormat="1" hidden="1" outlineLevel="1" x14ac:dyDescent="0.25">
      <c r="A22" s="35"/>
      <c r="B22" s="13" t="str">
        <f>CONCATENATE("          ","6112", " - ","COMPENSATION INSURANCE")</f>
        <v xml:space="preserve">          6112 - COMPENSATION INSURANCE</v>
      </c>
      <c r="C22" s="15"/>
      <c r="D22" s="2"/>
      <c r="E22" s="2"/>
      <c r="F22" s="2"/>
      <c r="G22" s="2"/>
      <c r="H22" s="2">
        <v>76.959999999999994</v>
      </c>
      <c r="I22" s="2">
        <v>0</v>
      </c>
      <c r="J22" s="2">
        <v>103.896</v>
      </c>
      <c r="K22" s="2">
        <v>83.116799999999998</v>
      </c>
      <c r="L22" s="2">
        <v>83.116799999999998</v>
      </c>
      <c r="M22" s="2">
        <v>103.896</v>
      </c>
      <c r="N22" s="2">
        <v>83.116799999999998</v>
      </c>
      <c r="O22" s="2">
        <v>83.116799999999998</v>
      </c>
      <c r="P22" s="9"/>
      <c r="Q22" s="2">
        <f>SUM(OSRRefD21_0_1x)+IFERROR(SUM(OSRRefE21_0_1x),0)</f>
        <v>617.2192</v>
      </c>
    </row>
    <row r="23" spans="1:17" s="34" customFormat="1" hidden="1" outlineLevel="1" x14ac:dyDescent="0.25">
      <c r="A23" s="35"/>
      <c r="B23" s="13" t="str">
        <f>CONCATENATE("          ","6113", " - ","GROUP INSURANCE")</f>
        <v xml:space="preserve">          6113 - GROUP INSURANCE</v>
      </c>
      <c r="C23" s="15"/>
      <c r="D23" s="2">
        <v>1915.63</v>
      </c>
      <c r="E23" s="2"/>
      <c r="F23" s="2"/>
      <c r="G23" s="2"/>
      <c r="H23" s="2">
        <v>1980</v>
      </c>
      <c r="I23" s="2">
        <v>0</v>
      </c>
      <c r="J23" s="2">
        <v>1980</v>
      </c>
      <c r="K23" s="2">
        <v>1980</v>
      </c>
      <c r="L23" s="2">
        <v>1980</v>
      </c>
      <c r="M23" s="2">
        <v>1980</v>
      </c>
      <c r="N23" s="2">
        <v>1980</v>
      </c>
      <c r="O23" s="2">
        <v>1980</v>
      </c>
      <c r="P23" s="9"/>
      <c r="Q23" s="2">
        <f>SUM(OSRRefD21_0_2x)+IFERROR(SUM(OSRRefE21_0_2x),0)</f>
        <v>15775.630000000001</v>
      </c>
    </row>
    <row r="24" spans="1:17" s="34" customFormat="1" hidden="1" outlineLevel="1" x14ac:dyDescent="0.25">
      <c r="A24" s="35"/>
      <c r="B24" s="13" t="str">
        <f>CONCATENATE("          ","6114", " - ","STATE UNEMPLOYMENT INSURANCE")</f>
        <v xml:space="preserve">          6114 - STATE UNEMPLOYMENT INSURANCE</v>
      </c>
      <c r="C24" s="15"/>
      <c r="D24" s="2"/>
      <c r="E24" s="2"/>
      <c r="F24" s="2"/>
      <c r="G24" s="2"/>
      <c r="H24" s="2">
        <v>10.816000000000001</v>
      </c>
      <c r="I24" s="2">
        <v>0</v>
      </c>
      <c r="J24" s="2">
        <v>14.601599999999999</v>
      </c>
      <c r="K24" s="2">
        <v>11.681279999999999</v>
      </c>
      <c r="L24" s="2">
        <v>11.681279999999999</v>
      </c>
      <c r="M24" s="2">
        <v>14.601599999999999</v>
      </c>
      <c r="N24" s="2">
        <v>11.681279999999999</v>
      </c>
      <c r="O24" s="2">
        <v>11.681279999999999</v>
      </c>
      <c r="P24" s="9"/>
      <c r="Q24" s="2">
        <f>SUM(OSRRefD21_0_3x)+IFERROR(SUM(OSRRefE21_0_3x),0)</f>
        <v>86.744320000000002</v>
      </c>
    </row>
    <row r="25" spans="1:17" s="34" customFormat="1" hidden="1" outlineLevel="1" x14ac:dyDescent="0.25">
      <c r="A25" s="35"/>
      <c r="B25" s="13" t="str">
        <f>CONCATENATE("          ","6115", " - ","P.E.R.S.")</f>
        <v xml:space="preserve">          6115 - P.E.R.S.</v>
      </c>
      <c r="C25" s="15"/>
      <c r="D25" s="2">
        <v>458.89</v>
      </c>
      <c r="E25" s="2"/>
      <c r="F25" s="2"/>
      <c r="G25" s="2"/>
      <c r="H25" s="2">
        <v>357.76</v>
      </c>
      <c r="I25" s="2">
        <v>0</v>
      </c>
      <c r="J25" s="2">
        <v>482.976</v>
      </c>
      <c r="K25" s="2">
        <v>386.38080000000002</v>
      </c>
      <c r="L25" s="2">
        <v>386.38080000000002</v>
      </c>
      <c r="M25" s="2">
        <v>482.976</v>
      </c>
      <c r="N25" s="2">
        <v>386.38080000000002</v>
      </c>
      <c r="O25" s="2">
        <v>386.38080000000002</v>
      </c>
      <c r="P25" s="9"/>
      <c r="Q25" s="2">
        <f>SUM(OSRRefD21_0_4x)+IFERROR(SUM(OSRRefE21_0_4x),0)</f>
        <v>3328.1251999999999</v>
      </c>
    </row>
    <row r="26" spans="1:17" s="34" customFormat="1" hidden="1" outlineLevel="1" x14ac:dyDescent="0.25">
      <c r="A26" s="35"/>
      <c r="B26" s="13" t="str">
        <f>CONCATENATE("          ","6116", " - ","EDUCATIONAL BENEFITS")</f>
        <v xml:space="preserve">          6116 - EDUCATIONAL BENEFITS</v>
      </c>
      <c r="C26" s="15"/>
      <c r="D26" s="2"/>
      <c r="E26" s="2"/>
      <c r="F26" s="2"/>
      <c r="G26" s="2"/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4" customFormat="1" hidden="1" outlineLevel="1" x14ac:dyDescent="0.25">
      <c r="A27" s="35"/>
      <c r="B27" s="13" t="str">
        <f>CONCATENATE("          ","6118", " - ","VACATION")</f>
        <v xml:space="preserve">          6118 - VACATION</v>
      </c>
      <c r="C27" s="15"/>
      <c r="D27" s="2">
        <v>152.1</v>
      </c>
      <c r="E27" s="2"/>
      <c r="F27" s="2"/>
      <c r="G27" s="2"/>
      <c r="H27" s="2">
        <v>208</v>
      </c>
      <c r="I27" s="2">
        <v>0</v>
      </c>
      <c r="J27" s="2">
        <v>280.8</v>
      </c>
      <c r="K27" s="2">
        <v>224.64</v>
      </c>
      <c r="L27" s="2">
        <v>224.64</v>
      </c>
      <c r="M27" s="2">
        <v>280.8</v>
      </c>
      <c r="N27" s="2">
        <v>224.64</v>
      </c>
      <c r="O27" s="2">
        <v>224.64</v>
      </c>
      <c r="P27" s="9"/>
      <c r="Q27" s="2">
        <f>SUM(OSRRefD21_0_6x)+IFERROR(SUM(OSRRefE21_0_6x),0)</f>
        <v>1820.2599999999998</v>
      </c>
    </row>
    <row r="28" spans="1:17" s="34" customFormat="1" hidden="1" outlineLevel="1" x14ac:dyDescent="0.25">
      <c r="A28" s="35"/>
      <c r="B28" s="13" t="str">
        <f>CONCATENATE("          ","6119", " - ","SICK LEAVE")</f>
        <v xml:space="preserve">          6119 - SICK LEAVE</v>
      </c>
      <c r="C28" s="15"/>
      <c r="D28" s="2">
        <v>203.98</v>
      </c>
      <c r="E28" s="2"/>
      <c r="F28" s="2"/>
      <c r="G28" s="2"/>
      <c r="H28" s="2">
        <v>208</v>
      </c>
      <c r="I28" s="2">
        <v>0</v>
      </c>
      <c r="J28" s="2">
        <v>280.8</v>
      </c>
      <c r="K28" s="2">
        <v>224.64</v>
      </c>
      <c r="L28" s="2">
        <v>224.64</v>
      </c>
      <c r="M28" s="2">
        <v>280.8</v>
      </c>
      <c r="N28" s="2">
        <v>224.64</v>
      </c>
      <c r="O28" s="2">
        <v>224.64</v>
      </c>
      <c r="P28" s="9"/>
      <c r="Q28" s="2">
        <f>SUM(OSRRefD21_0_7x)+IFERROR(SUM(OSRRefE21_0_7x),0)</f>
        <v>1872.1399999999999</v>
      </c>
    </row>
    <row r="29" spans="1:17" s="34" customFormat="1" collapsed="1" x14ac:dyDescent="0.25">
      <c r="A29" s="35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884</v>
      </c>
      <c r="E29" s="1">
        <f>SUM(OSRRefD21_1x_1)</f>
        <v>0</v>
      </c>
      <c r="F29" s="1">
        <f>SUM(OSRRefD21_1x_2)</f>
        <v>0</v>
      </c>
      <c r="G29" s="1">
        <f>SUM(OSRRefD21_1x_3)</f>
        <v>0</v>
      </c>
      <c r="H29" s="1">
        <f>SUM(OSRRefE21_1x_0)</f>
        <v>3744</v>
      </c>
      <c r="I29" s="1">
        <f>SUM(OSRRefE21_1x_1)</f>
        <v>0</v>
      </c>
      <c r="J29" s="1">
        <f>SUM(OSRRefE21_1x_2)</f>
        <v>5054.3999999999996</v>
      </c>
      <c r="K29" s="1">
        <f>SUM(OSRRefE21_1x_3)</f>
        <v>4043.52</v>
      </c>
      <c r="L29" s="1">
        <f>SUM(OSRRefE21_1x_4)</f>
        <v>4043.52</v>
      </c>
      <c r="M29" s="1">
        <f>SUM(OSRRefE21_1x_5)</f>
        <v>5054.3999999999996</v>
      </c>
      <c r="N29" s="1">
        <f>SUM(OSRRefE21_1x_6)</f>
        <v>4043.52</v>
      </c>
      <c r="O29" s="1">
        <f>SUM(OSRRefE21_1x_7)</f>
        <v>4043.52</v>
      </c>
      <c r="Q29" s="2">
        <f>SUM(OSRRefD20_1x)+IFERROR(SUM(OSRRefE20_1x),0)</f>
        <v>30910.879999999997</v>
      </c>
    </row>
    <row r="30" spans="1:17" s="34" customFormat="1" hidden="1" outlineLevel="1" x14ac:dyDescent="0.25">
      <c r="A30" s="35"/>
      <c r="B30" s="13" t="str">
        <f>CONCATENATE("          ","6001", " - ","ADMINISTRATIVE SALARIES")</f>
        <v xml:space="preserve">          6001 - ADMINISTRATIVE SALARIES</v>
      </c>
      <c r="C30" s="15"/>
      <c r="D30" s="2"/>
      <c r="E30" s="2"/>
      <c r="F30" s="2"/>
      <c r="G30" s="2"/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4" customFormat="1" hidden="1" outlineLevel="1" x14ac:dyDescent="0.25">
      <c r="A31" s="35"/>
      <c r="B31" s="13" t="str">
        <f>CONCATENATE("          ","6002", " - ","STAFF SALARIES")</f>
        <v xml:space="preserve">          6002 - STAFF SALARIES</v>
      </c>
      <c r="C31" s="15"/>
      <c r="D31" s="2">
        <v>884</v>
      </c>
      <c r="E31" s="2"/>
      <c r="F31" s="2"/>
      <c r="G31" s="2"/>
      <c r="H31" s="2">
        <v>3744</v>
      </c>
      <c r="I31" s="2">
        <v>0</v>
      </c>
      <c r="J31" s="2">
        <v>5054.3999999999996</v>
      </c>
      <c r="K31" s="2">
        <v>4043.52</v>
      </c>
      <c r="L31" s="2">
        <v>4043.52</v>
      </c>
      <c r="M31" s="2">
        <v>5054.3999999999996</v>
      </c>
      <c r="N31" s="2">
        <v>4043.52</v>
      </c>
      <c r="O31" s="2">
        <v>4043.52</v>
      </c>
      <c r="P31" s="9"/>
      <c r="Q31" s="2">
        <f>SUM(OSRRefD21_1_1x)+IFERROR(SUM(OSRRefE21_1_1x),0)</f>
        <v>30910.879999999997</v>
      </c>
    </row>
    <row r="32" spans="1:17" s="34" customFormat="1" hidden="1" outlineLevel="1" x14ac:dyDescent="0.25">
      <c r="A32" s="35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25">
      <c r="A33" s="35"/>
      <c r="B33" s="13" t="str">
        <f>CONCATENATE("          ","6004", " - ","STAFF HOURLY")</f>
        <v xml:space="preserve">          6004 - STAFF HOURLY</v>
      </c>
      <c r="C33" s="15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0</v>
      </c>
    </row>
    <row r="34" spans="1:17" s="34" customFormat="1" hidden="1" outlineLevel="1" x14ac:dyDescent="0.25">
      <c r="A34" s="35"/>
      <c r="B34" s="13" t="str">
        <f>CONCATENATE("          ","6005", " - ","TEMPORARY WAGES-HOURLY")</f>
        <v xml:space="preserve">          6005 - TEMPORARY WAGES-HOURLY</v>
      </c>
      <c r="C34" s="15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4" customFormat="1" hidden="1" outlineLevel="1" x14ac:dyDescent="0.25">
      <c r="A35" s="35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4" customFormat="1" hidden="1" outlineLevel="1" x14ac:dyDescent="0.25">
      <c r="A36" s="35"/>
      <c r="B36" s="13" t="str">
        <f>CONCATENATE("          ","6007", " - ","STUDENT HOURLY")</f>
        <v xml:space="preserve">          6007 - STUDENT HOURLY</v>
      </c>
      <c r="C36" s="15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4" customFormat="1" hidden="1" outlineLevel="1" x14ac:dyDescent="0.25">
      <c r="A37" s="35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4" customFormat="1" hidden="1" outlineLevel="1" x14ac:dyDescent="0.25">
      <c r="A38" s="35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25">
      <c r="A39" s="35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25">
      <c r="A40" s="35"/>
      <c r="B40" s="15" t="str">
        <f>CONCATENATE("     ","Advertising/Promo                                 ")</f>
        <v xml:space="preserve">     Advertising/Promo                                 </v>
      </c>
      <c r="C40" s="15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SUM(OSRRefE21_2x_0)</f>
        <v>0</v>
      </c>
      <c r="I40" s="1">
        <f>SUM(OSRRefE21_2x_1)</f>
        <v>0</v>
      </c>
      <c r="J40" s="1">
        <f>SUM(OSRRefE21_2x_2)</f>
        <v>0</v>
      </c>
      <c r="K40" s="1">
        <f>SUM(OSRRefE21_2x_3)</f>
        <v>0</v>
      </c>
      <c r="L40" s="1">
        <f>SUM(OSRRefE21_2x_4)</f>
        <v>0</v>
      </c>
      <c r="M40" s="1">
        <f>SUM(OSRRefE21_2x_5)</f>
        <v>0</v>
      </c>
      <c r="N40" s="1">
        <f>SUM(OSRRefE21_2x_6)</f>
        <v>0</v>
      </c>
      <c r="O40" s="1">
        <f>SUM(OSRRefE21_2x_7)</f>
        <v>0</v>
      </c>
      <c r="Q40" s="2">
        <f>SUM(OSRRefD20_2x)+IFERROR(SUM(OSRRefE20_2x),0)</f>
        <v>0</v>
      </c>
    </row>
    <row r="41" spans="1:17" s="34" customFormat="1" hidden="1" outlineLevel="1" x14ac:dyDescent="0.25">
      <c r="A41" s="35"/>
      <c r="B41" s="13" t="str">
        <f>CONCATENATE("          ","6362", " - ","ADVERTISING EXPENSE")</f>
        <v xml:space="preserve">          6362 - ADVERTISING EXPENSE</v>
      </c>
      <c r="C41" s="15"/>
      <c r="D41" s="2"/>
      <c r="E41" s="2"/>
      <c r="F41" s="2"/>
      <c r="G41" s="2"/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SUM(OSRRefD21_2_0x)+IFERROR(SUM(OSRRefE21_2_0x),0)</f>
        <v>0</v>
      </c>
    </row>
    <row r="42" spans="1:17" s="34" customFormat="1" collapsed="1" x14ac:dyDescent="0.25">
      <c r="A42" s="35"/>
      <c r="B42" s="15" t="str">
        <f>CONCATENATE("     ","Bad Debts/Over/Short                              ")</f>
        <v xml:space="preserve">     Bad Debts/Over/Short                              </v>
      </c>
      <c r="C42" s="15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SUM(OSRRefE21_3x_0)</f>
        <v>8</v>
      </c>
      <c r="I42" s="1">
        <f>SUM(OSRRefE21_3x_1)</f>
        <v>8</v>
      </c>
      <c r="J42" s="1">
        <f>SUM(OSRRefE21_3x_2)</f>
        <v>5</v>
      </c>
      <c r="K42" s="1">
        <f>SUM(OSRRefE21_3x_3)</f>
        <v>5</v>
      </c>
      <c r="L42" s="1">
        <f>SUM(OSRRefE21_3x_4)</f>
        <v>8</v>
      </c>
      <c r="M42" s="1">
        <f>SUM(OSRRefE21_3x_5)</f>
        <v>7</v>
      </c>
      <c r="N42" s="1">
        <f>SUM(OSRRefE21_3x_6)</f>
        <v>5</v>
      </c>
      <c r="O42" s="1">
        <f>SUM(OSRRefE21_3x_7)</f>
        <v>5</v>
      </c>
      <c r="Q42" s="2">
        <f>SUM(OSRRefD20_3x)+IFERROR(SUM(OSRRefE20_3x),0)</f>
        <v>51</v>
      </c>
    </row>
    <row r="43" spans="1:17" s="34" customFormat="1" hidden="1" outlineLevel="1" x14ac:dyDescent="0.25">
      <c r="A43" s="35"/>
      <c r="B43" s="13" t="str">
        <f>CONCATENATE("          ","6272", " - ","CASH (OVER/SHORT)")</f>
        <v xml:space="preserve">          6272 - CASH (OVER/SHORT)</v>
      </c>
      <c r="C43" s="15"/>
      <c r="D43" s="2"/>
      <c r="E43" s="2"/>
      <c r="F43" s="2"/>
      <c r="G43" s="2"/>
      <c r="H43" s="2">
        <v>8</v>
      </c>
      <c r="I43" s="2">
        <v>8</v>
      </c>
      <c r="J43" s="2">
        <v>5</v>
      </c>
      <c r="K43" s="2">
        <v>5</v>
      </c>
      <c r="L43" s="2">
        <v>8</v>
      </c>
      <c r="M43" s="2">
        <v>7</v>
      </c>
      <c r="N43" s="2">
        <v>5</v>
      </c>
      <c r="O43" s="2">
        <v>5</v>
      </c>
      <c r="P43" s="9"/>
      <c r="Q43" s="2">
        <f>SUM(OSRRefD21_3_0x)+IFERROR(SUM(OSRRefE21_3_0x),0)</f>
        <v>51</v>
      </c>
    </row>
    <row r="44" spans="1:17" s="34" customFormat="1" collapsed="1" x14ac:dyDescent="0.25">
      <c r="A44" s="35"/>
      <c r="B44" s="15" t="str">
        <f>CONCATENATE("     ","Bank/card Fees                                    ")</f>
        <v xml:space="preserve">     Bank/card Fees                                    </v>
      </c>
      <c r="C44" s="15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SUM(OSRRefD21_4x_3)</f>
        <v>0</v>
      </c>
      <c r="H44" s="1">
        <f>SUM(OSRRefE21_4x_0)</f>
        <v>0</v>
      </c>
      <c r="I44" s="1">
        <f>SUM(OSRRefE21_4x_1)</f>
        <v>0</v>
      </c>
      <c r="J44" s="1">
        <f>SUM(OSRRefE21_4x_2)</f>
        <v>0</v>
      </c>
      <c r="K44" s="1">
        <f>SUM(OSRRefE21_4x_3)</f>
        <v>0</v>
      </c>
      <c r="L44" s="1">
        <f>SUM(OSRRefE21_4x_4)</f>
        <v>0</v>
      </c>
      <c r="M44" s="1">
        <f>SUM(OSRRefE21_4x_5)</f>
        <v>0</v>
      </c>
      <c r="N44" s="1">
        <f>SUM(OSRRefE21_4x_6)</f>
        <v>0</v>
      </c>
      <c r="O44" s="1">
        <f>SUM(OSRRefE21_4x_7)</f>
        <v>0</v>
      </c>
      <c r="Q44" s="2">
        <f>SUM(OSRRefD20_4x)+IFERROR(SUM(OSRRefE20_4x),0)</f>
        <v>0</v>
      </c>
    </row>
    <row r="45" spans="1:17" s="34" customFormat="1" hidden="1" outlineLevel="1" x14ac:dyDescent="0.25">
      <c r="A45" s="35"/>
      <c r="B45" s="13" t="str">
        <f>CONCATENATE("          ","6381", " - ","BANK/CREDIT CARD FEES")</f>
        <v xml:space="preserve">          6381 - BANK/CREDIT CARD FEES</v>
      </c>
      <c r="C45" s="15"/>
      <c r="D45" s="2"/>
      <c r="E45" s="2"/>
      <c r="F45" s="2"/>
      <c r="G45" s="2"/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SUM(OSRRefD21_4_0x)+IFERROR(SUM(OSRRefE21_4_0x),0)</f>
        <v>0</v>
      </c>
    </row>
    <row r="46" spans="1:17" s="34" customFormat="1" collapsed="1" x14ac:dyDescent="0.25">
      <c r="A46" s="35"/>
      <c r="B46" s="15" t="str">
        <f>CONCATENATE("     ","Depreciation                                      ")</f>
        <v xml:space="preserve">     Depreciation                                      </v>
      </c>
      <c r="C46" s="15"/>
      <c r="D46" s="1">
        <f>SUM(OSRRefD21_5x_0)</f>
        <v>5582.59</v>
      </c>
      <c r="E46" s="1">
        <f>SUM(OSRRefD21_5x_1)</f>
        <v>5582.59</v>
      </c>
      <c r="F46" s="1">
        <f>SUM(OSRRefD21_5x_2)</f>
        <v>5582.59</v>
      </c>
      <c r="G46" s="1">
        <f>SUM(OSRRefD21_5x_3)</f>
        <v>5582.5700000000006</v>
      </c>
      <c r="H46" s="1">
        <f>SUM(OSRRefE21_5x_0)</f>
        <v>5471</v>
      </c>
      <c r="I46" s="1">
        <f>SUM(OSRRefE21_5x_1)</f>
        <v>5471</v>
      </c>
      <c r="J46" s="1">
        <f>SUM(OSRRefE21_5x_2)</f>
        <v>5471</v>
      </c>
      <c r="K46" s="1">
        <f>SUM(OSRRefE21_5x_3)</f>
        <v>5471</v>
      </c>
      <c r="L46" s="1">
        <f>SUM(OSRRefE21_5x_4)</f>
        <v>5471</v>
      </c>
      <c r="M46" s="1">
        <f>SUM(OSRRefE21_5x_5)</f>
        <v>5471</v>
      </c>
      <c r="N46" s="1">
        <f>SUM(OSRRefE21_5x_6)</f>
        <v>5471</v>
      </c>
      <c r="O46" s="1">
        <f>SUM(OSRRefE21_5x_7)</f>
        <v>5471</v>
      </c>
      <c r="Q46" s="2">
        <f>SUM(OSRRefD20_5x)+IFERROR(SUM(OSRRefE20_5x),0)</f>
        <v>66098.34</v>
      </c>
    </row>
    <row r="47" spans="1:17" s="34" customFormat="1" hidden="1" outlineLevel="1" x14ac:dyDescent="0.25">
      <c r="A47" s="35"/>
      <c r="B47" s="13" t="str">
        <f>CONCATENATE("          ","6321", " - ","BUILDING DEPRECIATION")</f>
        <v xml:space="preserve">          6321 - BUILDING DEPRECIATION</v>
      </c>
      <c r="C47" s="15"/>
      <c r="D47" s="2">
        <v>5080.51</v>
      </c>
      <c r="E47" s="2">
        <v>5080.51</v>
      </c>
      <c r="F47" s="2">
        <v>5080.51</v>
      </c>
      <c r="G47" s="2">
        <v>5080.51</v>
      </c>
      <c r="H47" s="2"/>
      <c r="I47" s="2"/>
      <c r="J47" s="2"/>
      <c r="K47" s="2"/>
      <c r="L47" s="2"/>
      <c r="M47" s="2"/>
      <c r="N47" s="2"/>
      <c r="O47" s="2"/>
      <c r="P47" s="9"/>
      <c r="Q47" s="2">
        <f>SUM(OSRRefD21_5_0x)+IFERROR(SUM(OSRRefE21_5_0x),0)</f>
        <v>20322.04</v>
      </c>
    </row>
    <row r="48" spans="1:17" s="34" customFormat="1" hidden="1" outlineLevel="1" x14ac:dyDescent="0.25">
      <c r="A48" s="35"/>
      <c r="B48" s="13" t="str">
        <f>CONCATENATE("          ","6322", " - ","EQUIPMENT DEPRECIATION EXPENSE")</f>
        <v xml:space="preserve">          6322 - EQUIPMENT DEPRECIATION EXPENSE</v>
      </c>
      <c r="C48" s="15"/>
      <c r="D48" s="2">
        <v>502.08</v>
      </c>
      <c r="E48" s="2">
        <v>502.08</v>
      </c>
      <c r="F48" s="2">
        <v>502.08</v>
      </c>
      <c r="G48" s="2">
        <v>502.06</v>
      </c>
      <c r="H48" s="2">
        <v>5471</v>
      </c>
      <c r="I48" s="2">
        <v>5471</v>
      </c>
      <c r="J48" s="2">
        <v>5471</v>
      </c>
      <c r="K48" s="2">
        <v>5471</v>
      </c>
      <c r="L48" s="2">
        <v>5471</v>
      </c>
      <c r="M48" s="2">
        <v>5471</v>
      </c>
      <c r="N48" s="2">
        <v>5471</v>
      </c>
      <c r="O48" s="2">
        <v>5471</v>
      </c>
      <c r="P48" s="9"/>
      <c r="Q48" s="2">
        <f>SUM(OSRRefD21_5_1x)+IFERROR(SUM(OSRRefE21_5_1x),0)</f>
        <v>45776.3</v>
      </c>
    </row>
    <row r="49" spans="1:17" s="34" customFormat="1" collapsed="1" x14ac:dyDescent="0.25">
      <c r="A49" s="35"/>
      <c r="B49" s="15" t="str">
        <f>CONCATENATE("     ","Employees' Appreciation                           ")</f>
        <v xml:space="preserve">     Employees' Appreciation                           </v>
      </c>
      <c r="C49" s="15"/>
      <c r="D49" s="1">
        <f>SUM(OSRRefD21_6x_0)</f>
        <v>0</v>
      </c>
      <c r="E49" s="1">
        <f>SUM(OSRRefD21_6x_1)</f>
        <v>0</v>
      </c>
      <c r="F49" s="1">
        <f>SUM(OSRRefD21_6x_2)</f>
        <v>0</v>
      </c>
      <c r="G49" s="1">
        <f>SUM(OSRRefD21_6x_3)</f>
        <v>0</v>
      </c>
      <c r="H49" s="1">
        <f>SUM(OSRRefE21_6x_0)</f>
        <v>0</v>
      </c>
      <c r="I49" s="1">
        <f>SUM(OSRRefE21_6x_1)</f>
        <v>50</v>
      </c>
      <c r="J49" s="1">
        <f>SUM(OSRRefE21_6x_2)</f>
        <v>0</v>
      </c>
      <c r="K49" s="1">
        <f>SUM(OSRRefE21_6x_3)</f>
        <v>0</v>
      </c>
      <c r="L49" s="1">
        <f>SUM(OSRRefE21_6x_4)</f>
        <v>0</v>
      </c>
      <c r="M49" s="1">
        <f>SUM(OSRRefE21_6x_5)</f>
        <v>100</v>
      </c>
      <c r="N49" s="1">
        <f>SUM(OSRRefE21_6x_6)</f>
        <v>0</v>
      </c>
      <c r="O49" s="1">
        <f>SUM(OSRRefE21_6x_7)</f>
        <v>0</v>
      </c>
      <c r="Q49" s="2">
        <f>SUM(OSRRefD20_6x)+IFERROR(SUM(OSRRefE20_6x),0)</f>
        <v>150</v>
      </c>
    </row>
    <row r="50" spans="1:17" s="34" customFormat="1" hidden="1" outlineLevel="1" x14ac:dyDescent="0.25">
      <c r="A50" s="35"/>
      <c r="B50" s="13" t="str">
        <f>CONCATENATE("          ","6277", " - ","EMPLOYEE APPRECIATION")</f>
        <v xml:space="preserve">          6277 - EMPLOYEE APPRECIATION</v>
      </c>
      <c r="C50" s="15"/>
      <c r="D50" s="2"/>
      <c r="E50" s="2"/>
      <c r="F50" s="2"/>
      <c r="G50" s="2"/>
      <c r="H50" s="2"/>
      <c r="I50" s="2">
        <v>50</v>
      </c>
      <c r="J50" s="2"/>
      <c r="K50" s="2"/>
      <c r="L50" s="2"/>
      <c r="M50" s="2">
        <v>100</v>
      </c>
      <c r="N50" s="2"/>
      <c r="O50" s="2"/>
      <c r="P50" s="9"/>
      <c r="Q50" s="2">
        <f>SUM(OSRRefD21_6_0x)+IFERROR(SUM(OSRRefE21_6_0x),0)</f>
        <v>150</v>
      </c>
    </row>
    <row r="51" spans="1:17" s="34" customFormat="1" collapsed="1" x14ac:dyDescent="0.25">
      <c r="A51" s="35"/>
      <c r="B51" s="15" t="str">
        <f>CONCATENATE("     ","Equipment Rental                                  ")</f>
        <v xml:space="preserve">     Equipment Rental                                  </v>
      </c>
      <c r="C51" s="15"/>
      <c r="D51" s="1">
        <f>SUM(OSRRefD21_7x_0)</f>
        <v>0</v>
      </c>
      <c r="E51" s="1">
        <f>SUM(OSRRefD21_7x_1)</f>
        <v>0</v>
      </c>
      <c r="F51" s="1">
        <f>SUM(OSRRefD21_7x_2)</f>
        <v>0</v>
      </c>
      <c r="G51" s="1">
        <f>SUM(OSRRefD21_7x_3)</f>
        <v>0</v>
      </c>
      <c r="H51" s="1">
        <f>SUM(OSRRefE21_7x_0)</f>
        <v>146</v>
      </c>
      <c r="I51" s="1">
        <f>SUM(OSRRefE21_7x_1)</f>
        <v>146</v>
      </c>
      <c r="J51" s="1">
        <f>SUM(OSRRefE21_7x_2)</f>
        <v>146</v>
      </c>
      <c r="K51" s="1">
        <f>SUM(OSRRefE21_7x_3)</f>
        <v>146</v>
      </c>
      <c r="L51" s="1">
        <f>SUM(OSRRefE21_7x_4)</f>
        <v>146</v>
      </c>
      <c r="M51" s="1">
        <f>SUM(OSRRefE21_7x_5)</f>
        <v>146</v>
      </c>
      <c r="N51" s="1">
        <f>SUM(OSRRefE21_7x_6)</f>
        <v>146</v>
      </c>
      <c r="O51" s="1">
        <f>SUM(OSRRefE21_7x_7)</f>
        <v>146</v>
      </c>
      <c r="Q51" s="2">
        <f>SUM(OSRRefD20_7x)+IFERROR(SUM(OSRRefE20_7x),0)</f>
        <v>1168</v>
      </c>
    </row>
    <row r="52" spans="1:17" s="34" customFormat="1" hidden="1" outlineLevel="1" x14ac:dyDescent="0.25">
      <c r="A52" s="35"/>
      <c r="B52" s="13" t="str">
        <f>CONCATENATE("          ","6351", " - ","EQUIPMENT RENTAL")</f>
        <v xml:space="preserve">          6351 - EQUIPMENT RENTAL</v>
      </c>
      <c r="C52" s="15"/>
      <c r="D52" s="2"/>
      <c r="E52" s="2"/>
      <c r="F52" s="2"/>
      <c r="G52" s="2"/>
      <c r="H52" s="2">
        <v>146</v>
      </c>
      <c r="I52" s="2">
        <v>146</v>
      </c>
      <c r="J52" s="2">
        <v>146</v>
      </c>
      <c r="K52" s="2">
        <v>146</v>
      </c>
      <c r="L52" s="2">
        <v>146</v>
      </c>
      <c r="M52" s="2">
        <v>146</v>
      </c>
      <c r="N52" s="2">
        <v>146</v>
      </c>
      <c r="O52" s="2">
        <v>146</v>
      </c>
      <c r="P52" s="9"/>
      <c r="Q52" s="2">
        <f>SUM(OSRRefD21_7_0x)+IFERROR(SUM(OSRRefE21_7_0x),0)</f>
        <v>1168</v>
      </c>
    </row>
    <row r="53" spans="1:17" s="34" customFormat="1" collapsed="1" x14ac:dyDescent="0.25">
      <c r="A53" s="35"/>
      <c r="B53" s="15" t="str">
        <f>CONCATENATE("     ","General                                           ")</f>
        <v xml:space="preserve">     General                                           </v>
      </c>
      <c r="C53" s="15"/>
      <c r="D53" s="1">
        <f>SUM(OSRRefD21_8x_0)</f>
        <v>754.55</v>
      </c>
      <c r="E53" s="1">
        <f>SUM(OSRRefD21_8x_1)</f>
        <v>0</v>
      </c>
      <c r="F53" s="1">
        <f>SUM(OSRRefD21_8x_2)</f>
        <v>0</v>
      </c>
      <c r="G53" s="1">
        <f>SUM(OSRRefD21_8x_3)</f>
        <v>0</v>
      </c>
      <c r="H53" s="1">
        <f>SUM(OSRRefE21_8x_0)</f>
        <v>0</v>
      </c>
      <c r="I53" s="1">
        <f>SUM(OSRRefE21_8x_1)</f>
        <v>0</v>
      </c>
      <c r="J53" s="1">
        <f>SUM(OSRRefE21_8x_2)</f>
        <v>0</v>
      </c>
      <c r="K53" s="1">
        <f>SUM(OSRRefE21_8x_3)</f>
        <v>0</v>
      </c>
      <c r="L53" s="1">
        <f>SUM(OSRRefE21_8x_4)</f>
        <v>0</v>
      </c>
      <c r="M53" s="1">
        <f>SUM(OSRRefE21_8x_5)</f>
        <v>0</v>
      </c>
      <c r="N53" s="1">
        <f>SUM(OSRRefE21_8x_6)</f>
        <v>0</v>
      </c>
      <c r="O53" s="1">
        <f>SUM(OSRRefE21_8x_7)</f>
        <v>0</v>
      </c>
      <c r="Q53" s="2">
        <f>SUM(OSRRefD20_8x)+IFERROR(SUM(OSRRefE20_8x),0)</f>
        <v>754.55</v>
      </c>
    </row>
    <row r="54" spans="1:17" s="34" customFormat="1" hidden="1" outlineLevel="1" x14ac:dyDescent="0.25">
      <c r="A54" s="35"/>
      <c r="B54" s="13" t="str">
        <f>CONCATENATE("          ","6279", " - ","GENERAL EXPENSE")</f>
        <v xml:space="preserve">          6279 - GENERAL EXPENSE</v>
      </c>
      <c r="C54" s="15"/>
      <c r="D54" s="2">
        <v>754.55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9"/>
      <c r="Q54" s="2">
        <f>SUM(OSRRefD21_8_0x)+IFERROR(SUM(OSRRefE21_8_0x),0)</f>
        <v>754.55</v>
      </c>
    </row>
    <row r="55" spans="1:17" s="34" customFormat="1" collapsed="1" x14ac:dyDescent="0.25">
      <c r="A55" s="35"/>
      <c r="B55" s="15" t="str">
        <f>CONCATENATE("     ","Insurance                                         ")</f>
        <v xml:space="preserve">     Insurance                                         </v>
      </c>
      <c r="C55" s="15"/>
      <c r="D55" s="1">
        <f>SUM(OSRRefD21_9x_0)</f>
        <v>243.54</v>
      </c>
      <c r="E55" s="1">
        <f>SUM(OSRRefD21_9x_1)</f>
        <v>243.54</v>
      </c>
      <c r="F55" s="1">
        <f>SUM(OSRRefD21_9x_2)</f>
        <v>243.54</v>
      </c>
      <c r="G55" s="1">
        <f>SUM(OSRRefD21_9x_3)</f>
        <v>243.54</v>
      </c>
      <c r="H55" s="1">
        <f>SUM(OSRRefE21_9x_0)</f>
        <v>270</v>
      </c>
      <c r="I55" s="1">
        <f>SUM(OSRRefE21_9x_1)</f>
        <v>270</v>
      </c>
      <c r="J55" s="1">
        <f>SUM(OSRRefE21_9x_2)</f>
        <v>270</v>
      </c>
      <c r="K55" s="1">
        <f>SUM(OSRRefE21_9x_3)</f>
        <v>270</v>
      </c>
      <c r="L55" s="1">
        <f>SUM(OSRRefE21_9x_4)</f>
        <v>270</v>
      </c>
      <c r="M55" s="1">
        <f>SUM(OSRRefE21_9x_5)</f>
        <v>270</v>
      </c>
      <c r="N55" s="1">
        <f>SUM(OSRRefE21_9x_6)</f>
        <v>270</v>
      </c>
      <c r="O55" s="1">
        <f>SUM(OSRRefE21_9x_7)</f>
        <v>270</v>
      </c>
      <c r="Q55" s="2">
        <f>SUM(OSRRefD20_9x)+IFERROR(SUM(OSRRefE20_9x),0)</f>
        <v>3134.16</v>
      </c>
    </row>
    <row r="56" spans="1:17" s="34" customFormat="1" hidden="1" outlineLevel="1" x14ac:dyDescent="0.25">
      <c r="A56" s="35"/>
      <c r="B56" s="13" t="str">
        <f>CONCATENATE("          ","6314", " - ","LIABILITY INSURANCE")</f>
        <v xml:space="preserve">          6314 - LIABILITY INSURANCE</v>
      </c>
      <c r="C56" s="15"/>
      <c r="D56" s="2">
        <v>243.54</v>
      </c>
      <c r="E56" s="2">
        <v>243.54</v>
      </c>
      <c r="F56" s="2">
        <v>243.54</v>
      </c>
      <c r="G56" s="2">
        <v>243.54</v>
      </c>
      <c r="H56" s="2">
        <v>270</v>
      </c>
      <c r="I56" s="2">
        <v>270</v>
      </c>
      <c r="J56" s="2">
        <v>270</v>
      </c>
      <c r="K56" s="2">
        <v>270</v>
      </c>
      <c r="L56" s="2">
        <v>270</v>
      </c>
      <c r="M56" s="2">
        <v>270</v>
      </c>
      <c r="N56" s="2">
        <v>270</v>
      </c>
      <c r="O56" s="2">
        <v>270</v>
      </c>
      <c r="P56" s="9"/>
      <c r="Q56" s="2">
        <f>SUM(OSRRefD21_9_0x)+IFERROR(SUM(OSRRefE21_9_0x),0)</f>
        <v>3134.16</v>
      </c>
    </row>
    <row r="57" spans="1:17" s="34" customFormat="1" collapsed="1" x14ac:dyDescent="0.25">
      <c r="A57" s="35"/>
      <c r="B57" s="15" t="str">
        <f>CONCATENATE("     ","Interest                                          ")</f>
        <v xml:space="preserve">     Interest                                          </v>
      </c>
      <c r="C57" s="15"/>
      <c r="D57" s="1">
        <f>SUM(OSRRefD21_10x_0)</f>
        <v>4044</v>
      </c>
      <c r="E57" s="1">
        <f>SUM(OSRRefD21_10x_1)</f>
        <v>4044</v>
      </c>
      <c r="F57" s="1">
        <f>SUM(OSRRefD21_10x_2)</f>
        <v>4044</v>
      </c>
      <c r="G57" s="1">
        <f>SUM(OSRRefD21_10x_3)</f>
        <v>3781.85</v>
      </c>
      <c r="H57" s="1">
        <f>SUM(OSRRefE21_10x_0)</f>
        <v>4044</v>
      </c>
      <c r="I57" s="1">
        <f>SUM(OSRRefE21_10x_1)</f>
        <v>4044</v>
      </c>
      <c r="J57" s="1">
        <f>SUM(OSRRefE21_10x_2)</f>
        <v>4044</v>
      </c>
      <c r="K57" s="1">
        <f>SUM(OSRRefE21_10x_3)</f>
        <v>4044</v>
      </c>
      <c r="L57" s="1">
        <f>SUM(OSRRefE21_10x_4)</f>
        <v>4044</v>
      </c>
      <c r="M57" s="1">
        <f>SUM(OSRRefE21_10x_5)</f>
        <v>4044</v>
      </c>
      <c r="N57" s="1">
        <f>SUM(OSRRefE21_10x_6)</f>
        <v>3905</v>
      </c>
      <c r="O57" s="1">
        <f>SUM(OSRRefE21_10x_7)</f>
        <v>3905</v>
      </c>
      <c r="Q57" s="2">
        <f>SUM(OSRRefD20_10x)+IFERROR(SUM(OSRRefE20_10x),0)</f>
        <v>47987.85</v>
      </c>
    </row>
    <row r="58" spans="1:17" s="34" customFormat="1" hidden="1" outlineLevel="1" x14ac:dyDescent="0.25">
      <c r="A58" s="35"/>
      <c r="B58" s="13" t="str">
        <f>CONCATENATE("          ","6401", " - ","INTEREST EXPENSE")</f>
        <v xml:space="preserve">          6401 - INTEREST EXPENSE</v>
      </c>
      <c r="C58" s="15"/>
      <c r="D58" s="2">
        <v>4044</v>
      </c>
      <c r="E58" s="2">
        <v>4044</v>
      </c>
      <c r="F58" s="2">
        <v>4044</v>
      </c>
      <c r="G58" s="2">
        <v>3781.85</v>
      </c>
      <c r="H58" s="2">
        <v>4044</v>
      </c>
      <c r="I58" s="2">
        <v>4044</v>
      </c>
      <c r="J58" s="2">
        <v>4044</v>
      </c>
      <c r="K58" s="2">
        <v>4044</v>
      </c>
      <c r="L58" s="2">
        <v>4044</v>
      </c>
      <c r="M58" s="2">
        <v>4044</v>
      </c>
      <c r="N58" s="2">
        <v>3905</v>
      </c>
      <c r="O58" s="2">
        <v>3905</v>
      </c>
      <c r="P58" s="9"/>
      <c r="Q58" s="2">
        <f>SUM(OSRRefD21_10_0x)+IFERROR(SUM(OSRRefE21_10_0x),0)</f>
        <v>47987.85</v>
      </c>
    </row>
    <row r="59" spans="1:17" s="34" customFormat="1" collapsed="1" x14ac:dyDescent="0.25">
      <c r="A59" s="35"/>
      <c r="B59" s="15" t="str">
        <f>CONCATENATE("     ","Repair and Maintenance                            ")</f>
        <v xml:space="preserve">     Repair and Maintenance                            </v>
      </c>
      <c r="C59" s="15"/>
      <c r="D59" s="1">
        <f>SUM(OSRRefD21_11x_0)</f>
        <v>0</v>
      </c>
      <c r="E59" s="1">
        <f>SUM(OSRRefD21_11x_1)</f>
        <v>78.599999999999994</v>
      </c>
      <c r="F59" s="1">
        <f>SUM(OSRRefD21_11x_2)</f>
        <v>108.52</v>
      </c>
      <c r="G59" s="1">
        <f>SUM(OSRRefD21_11x_3)</f>
        <v>0</v>
      </c>
      <c r="H59" s="1">
        <f>SUM(OSRRefE21_11x_0)</f>
        <v>0</v>
      </c>
      <c r="I59" s="1">
        <f>SUM(OSRRefE21_11x_1)</f>
        <v>0</v>
      </c>
      <c r="J59" s="1">
        <f>SUM(OSRRefE21_11x_2)</f>
        <v>0</v>
      </c>
      <c r="K59" s="1">
        <f>SUM(OSRRefE21_11x_3)</f>
        <v>0</v>
      </c>
      <c r="L59" s="1">
        <f>SUM(OSRRefE21_11x_4)</f>
        <v>0</v>
      </c>
      <c r="M59" s="1">
        <f>SUM(OSRRefE21_11x_5)</f>
        <v>0</v>
      </c>
      <c r="N59" s="1">
        <f>SUM(OSRRefE21_11x_6)</f>
        <v>0</v>
      </c>
      <c r="O59" s="1">
        <f>SUM(OSRRefE21_11x_7)</f>
        <v>0</v>
      </c>
      <c r="Q59" s="2">
        <f>SUM(OSRRefD20_11x)+IFERROR(SUM(OSRRefE20_11x),0)</f>
        <v>187.12</v>
      </c>
    </row>
    <row r="60" spans="1:17" s="34" customFormat="1" hidden="1" outlineLevel="1" x14ac:dyDescent="0.25">
      <c r="A60" s="35"/>
      <c r="B60" s="13" t="str">
        <f>CONCATENATE("          ","6373", " - ","MAINTENANCE CONTRACTS")</f>
        <v xml:space="preserve">          6373 - MAINTENANCE CONTRACTS</v>
      </c>
      <c r="C60" s="15"/>
      <c r="D60" s="2"/>
      <c r="E60" s="2">
        <v>78.599999999999994</v>
      </c>
      <c r="F60" s="2">
        <v>108.52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SUM(OSRRefD21_11_0x)+IFERROR(SUM(OSRRefE21_11_0x),0)</f>
        <v>187.12</v>
      </c>
    </row>
    <row r="61" spans="1:17" s="34" customFormat="1" collapsed="1" x14ac:dyDescent="0.25">
      <c r="A61" s="35"/>
      <c r="B61" s="15" t="str">
        <f>CONCATENATE("     ","Supplies                                          ")</f>
        <v xml:space="preserve">     Supplies                                          </v>
      </c>
      <c r="C61" s="15"/>
      <c r="D61" s="1">
        <f>SUM(OSRRefD21_12x_0)</f>
        <v>0</v>
      </c>
      <c r="E61" s="1">
        <f>SUM(OSRRefD21_12x_1)</f>
        <v>0</v>
      </c>
      <c r="F61" s="1">
        <f>SUM(OSRRefD21_12x_2)</f>
        <v>634.24</v>
      </c>
      <c r="G61" s="1">
        <f>SUM(OSRRefD21_12x_3)</f>
        <v>0</v>
      </c>
      <c r="H61" s="1">
        <f>SUM(OSRRefE21_12x_0)</f>
        <v>0</v>
      </c>
      <c r="I61" s="1">
        <f>SUM(OSRRefE21_12x_1)</f>
        <v>0</v>
      </c>
      <c r="J61" s="1">
        <f>SUM(OSRRefE21_12x_2)</f>
        <v>0</v>
      </c>
      <c r="K61" s="1">
        <f>SUM(OSRRefE21_12x_3)</f>
        <v>0</v>
      </c>
      <c r="L61" s="1">
        <f>SUM(OSRRefE21_12x_4)</f>
        <v>0</v>
      </c>
      <c r="M61" s="1">
        <f>SUM(OSRRefE21_12x_5)</f>
        <v>0</v>
      </c>
      <c r="N61" s="1">
        <f>SUM(OSRRefE21_12x_6)</f>
        <v>0</v>
      </c>
      <c r="O61" s="1">
        <f>SUM(OSRRefE21_12x_7)</f>
        <v>0</v>
      </c>
      <c r="Q61" s="2">
        <f>SUM(OSRRefD20_12x)+IFERROR(SUM(OSRRefE20_12x),0)</f>
        <v>634.24</v>
      </c>
    </row>
    <row r="62" spans="1:17" s="34" customFormat="1" hidden="1" outlineLevel="1" x14ac:dyDescent="0.25">
      <c r="A62" s="35"/>
      <c r="B62" s="13" t="str">
        <f>CONCATENATE("          ","6234", " - ","EXPENDABLE SUPPLIES &amp; EQUIPMEN")</f>
        <v xml:space="preserve">          6234 - EXPENDABLE SUPPLIES &amp; EQUIPMEN</v>
      </c>
      <c r="C62" s="15"/>
      <c r="D62" s="2"/>
      <c r="E62" s="2"/>
      <c r="F62" s="2">
        <v>316.67</v>
      </c>
      <c r="G62" s="2"/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/>
      <c r="P62" s="9"/>
      <c r="Q62" s="2">
        <f>SUM(OSRRefD21_12_0x)+IFERROR(SUM(OSRRefE21_12_0x),0)</f>
        <v>316.67</v>
      </c>
    </row>
    <row r="63" spans="1:17" s="34" customFormat="1" hidden="1" outlineLevel="1" x14ac:dyDescent="0.25">
      <c r="A63" s="35"/>
      <c r="B63" s="13" t="str">
        <f>CONCATENATE("          ","6235", " - ","COVID-19 EXPENSES")</f>
        <v xml:space="preserve">          6235 - COVID-19 EXPENSES</v>
      </c>
      <c r="C63" s="15"/>
      <c r="D63" s="2"/>
      <c r="E63" s="2"/>
      <c r="F63" s="2"/>
      <c r="G63" s="2"/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SUM(OSRRefD21_12_1x)+IFERROR(SUM(OSRRefE21_12_1x),0)</f>
        <v>0</v>
      </c>
    </row>
    <row r="64" spans="1:17" s="34" customFormat="1" hidden="1" outlineLevel="1" x14ac:dyDescent="0.25">
      <c r="A64" s="35"/>
      <c r="B64" s="13" t="str">
        <f>CONCATENATE("          ","6237", " - ","JANITORIAL SUPPLIES")</f>
        <v xml:space="preserve">          6237 - JANITORIAL SUPPLIES</v>
      </c>
      <c r="C64" s="15"/>
      <c r="D64" s="2"/>
      <c r="E64" s="2"/>
      <c r="F64" s="2">
        <v>317.57</v>
      </c>
      <c r="G64" s="2"/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/>
      <c r="P64" s="9"/>
      <c r="Q64" s="2">
        <f>SUM(OSRRefD21_12_2x)+IFERROR(SUM(OSRRefE21_12_2x),0)</f>
        <v>317.57</v>
      </c>
    </row>
    <row r="65" spans="1:17" s="34" customFormat="1" hidden="1" outlineLevel="1" x14ac:dyDescent="0.25">
      <c r="A65" s="35"/>
      <c r="B65" s="13" t="str">
        <f>CONCATENATE("          ","6243", " - ","PAPER SUPPLIES")</f>
        <v xml:space="preserve">          6243 - PAPER SUPPLIES</v>
      </c>
      <c r="C65" s="15"/>
      <c r="D65" s="2"/>
      <c r="E65" s="2"/>
      <c r="F65" s="2"/>
      <c r="G65" s="2"/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/>
      <c r="P65" s="9"/>
      <c r="Q65" s="2">
        <f>SUM(OSRRefD21_12_3x)+IFERROR(SUM(OSRRefE21_12_3x),0)</f>
        <v>0</v>
      </c>
    </row>
    <row r="66" spans="1:17" s="34" customFormat="1" hidden="1" outlineLevel="1" x14ac:dyDescent="0.25">
      <c r="A66" s="35"/>
      <c r="B66" s="13" t="str">
        <f>CONCATENATE("          ","6247", " - ","STORE SUPPLIES")</f>
        <v xml:space="preserve">          6247 - STORE SUPPLIES</v>
      </c>
      <c r="C66" s="15"/>
      <c r="D66" s="2"/>
      <c r="E66" s="2"/>
      <c r="F66" s="2"/>
      <c r="G66" s="2"/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/>
      <c r="P66" s="9"/>
      <c r="Q66" s="2">
        <f>SUM(OSRRefD21_12_4x)+IFERROR(SUM(OSRRefE21_12_4x),0)</f>
        <v>0</v>
      </c>
    </row>
    <row r="67" spans="1:17" s="34" customFormat="1" collapsed="1" x14ac:dyDescent="0.25">
      <c r="A67" s="35"/>
      <c r="B67" s="15" t="str">
        <f>CONCATENATE("     ","Telephone/Data Lines                              ")</f>
        <v xml:space="preserve">     Telephone/Data Lines                              </v>
      </c>
      <c r="C67" s="15"/>
      <c r="D67" s="1">
        <f>SUM(OSRRefD21_13x_0)</f>
        <v>38</v>
      </c>
      <c r="E67" s="1">
        <f>SUM(OSRRefD21_13x_1)</f>
        <v>38</v>
      </c>
      <c r="F67" s="1">
        <f>SUM(OSRRefD21_13x_2)</f>
        <v>40</v>
      </c>
      <c r="G67" s="1">
        <f>SUM(OSRRefD21_13x_3)</f>
        <v>875.87</v>
      </c>
      <c r="H67" s="1">
        <f>SUM(OSRRefE21_13x_0)</f>
        <v>40</v>
      </c>
      <c r="I67" s="1">
        <f>SUM(OSRRefE21_13x_1)</f>
        <v>40</v>
      </c>
      <c r="J67" s="1">
        <f>SUM(OSRRefE21_13x_2)</f>
        <v>190</v>
      </c>
      <c r="K67" s="1">
        <f>SUM(OSRRefE21_13x_3)</f>
        <v>40</v>
      </c>
      <c r="L67" s="1">
        <f>SUM(OSRRefE21_13x_4)</f>
        <v>40</v>
      </c>
      <c r="M67" s="1">
        <f>SUM(OSRRefE21_13x_5)</f>
        <v>190</v>
      </c>
      <c r="N67" s="1">
        <f>SUM(OSRRefE21_13x_6)</f>
        <v>40</v>
      </c>
      <c r="O67" s="1">
        <f>SUM(OSRRefE21_13x_7)</f>
        <v>40</v>
      </c>
      <c r="Q67" s="2">
        <f>SUM(OSRRefD20_13x)+IFERROR(SUM(OSRRefE20_13x),0)</f>
        <v>1611.87</v>
      </c>
    </row>
    <row r="68" spans="1:17" s="34" customFormat="1" hidden="1" outlineLevel="1" x14ac:dyDescent="0.25">
      <c r="A68" s="35"/>
      <c r="B68" s="13" t="str">
        <f>CONCATENATE("          ","6303", " - ","DATA PHONE LINES")</f>
        <v xml:space="preserve">          6303 - DATA PHONE LINES</v>
      </c>
      <c r="C68" s="15"/>
      <c r="D68" s="2"/>
      <c r="E68" s="2"/>
      <c r="F68" s="2"/>
      <c r="G68" s="2"/>
      <c r="H68" s="2">
        <v>40</v>
      </c>
      <c r="I68" s="2">
        <v>40</v>
      </c>
      <c r="J68" s="2">
        <v>40</v>
      </c>
      <c r="K68" s="2">
        <v>40</v>
      </c>
      <c r="L68" s="2">
        <v>40</v>
      </c>
      <c r="M68" s="2">
        <v>40</v>
      </c>
      <c r="N68" s="2">
        <v>40</v>
      </c>
      <c r="O68" s="2">
        <v>40</v>
      </c>
      <c r="P68" s="9"/>
      <c r="Q68" s="2">
        <f>SUM(OSRRefD21_13_0x)+IFERROR(SUM(OSRRefE21_13_0x),0)</f>
        <v>320</v>
      </c>
    </row>
    <row r="69" spans="1:17" s="34" customFormat="1" hidden="1" outlineLevel="1" x14ac:dyDescent="0.25">
      <c r="A69" s="35"/>
      <c r="B69" s="13" t="str">
        <f>CONCATENATE("          ","6309", " - ","TELEPHONE")</f>
        <v xml:space="preserve">          6309 - TELEPHONE</v>
      </c>
      <c r="C69" s="15"/>
      <c r="D69" s="2">
        <v>38</v>
      </c>
      <c r="E69" s="2">
        <v>38</v>
      </c>
      <c r="F69" s="2">
        <v>40</v>
      </c>
      <c r="G69" s="2">
        <v>875.87</v>
      </c>
      <c r="H69" s="2"/>
      <c r="I69" s="2"/>
      <c r="J69" s="2">
        <v>150</v>
      </c>
      <c r="K69" s="2"/>
      <c r="L69" s="2"/>
      <c r="M69" s="2">
        <v>150</v>
      </c>
      <c r="N69" s="2"/>
      <c r="O69" s="2"/>
      <c r="P69" s="9"/>
      <c r="Q69" s="2">
        <f>SUM(OSRRefD21_13_1x)+IFERROR(SUM(OSRRefE21_13_1x),0)</f>
        <v>1291.8699999999999</v>
      </c>
    </row>
    <row r="70" spans="1:17" s="34" customFormat="1" collapsed="1" x14ac:dyDescent="0.25">
      <c r="A70" s="35"/>
      <c r="B70" s="15" t="str">
        <f>CONCATENATE("     ","Utilities                                         ")</f>
        <v xml:space="preserve">     Utilities                                         </v>
      </c>
      <c r="C70" s="15"/>
      <c r="D70" s="1">
        <f>SUM(OSRRefD21_14x_0)</f>
        <v>0</v>
      </c>
      <c r="E70" s="1">
        <f>SUM(OSRRefD21_14x_1)</f>
        <v>0</v>
      </c>
      <c r="F70" s="1">
        <f>SUM(OSRRefD21_14x_2)</f>
        <v>0</v>
      </c>
      <c r="G70" s="1">
        <f>SUM(OSRRefD21_14x_3)</f>
        <v>878</v>
      </c>
      <c r="H70" s="1">
        <f>SUM(OSRRefE21_14x_0)</f>
        <v>771</v>
      </c>
      <c r="I70" s="1">
        <f>SUM(OSRRefE21_14x_1)</f>
        <v>1932</v>
      </c>
      <c r="J70" s="1">
        <f>SUM(OSRRefE21_14x_2)</f>
        <v>878</v>
      </c>
      <c r="K70" s="1">
        <f>SUM(OSRRefE21_14x_3)</f>
        <v>800</v>
      </c>
      <c r="L70" s="1">
        <f>SUM(OSRRefE21_14x_4)</f>
        <v>800</v>
      </c>
      <c r="M70" s="1">
        <f>SUM(OSRRefE21_14x_5)</f>
        <v>800</v>
      </c>
      <c r="N70" s="1">
        <f>SUM(OSRRefE21_14x_6)</f>
        <v>800</v>
      </c>
      <c r="O70" s="1">
        <f>SUM(OSRRefE21_14x_7)</f>
        <v>800</v>
      </c>
      <c r="Q70" s="2">
        <f>SUM(OSRRefD20_14x)+IFERROR(SUM(OSRRefE20_14x),0)</f>
        <v>8459</v>
      </c>
    </row>
    <row r="71" spans="1:17" s="34" customFormat="1" hidden="1" outlineLevel="1" x14ac:dyDescent="0.25">
      <c r="A71" s="35"/>
      <c r="B71" s="13" t="str">
        <f>CONCATENATE("          ","6274", " - ","UTILITIES")</f>
        <v xml:space="preserve">          6274 - UTILITIES</v>
      </c>
      <c r="C71" s="15"/>
      <c r="D71" s="2"/>
      <c r="E71" s="2"/>
      <c r="F71" s="2"/>
      <c r="G71" s="2">
        <v>878</v>
      </c>
      <c r="H71" s="2">
        <v>771</v>
      </c>
      <c r="I71" s="2">
        <v>1932</v>
      </c>
      <c r="J71" s="2">
        <v>878</v>
      </c>
      <c r="K71" s="2">
        <v>800</v>
      </c>
      <c r="L71" s="2">
        <v>800</v>
      </c>
      <c r="M71" s="2">
        <v>800</v>
      </c>
      <c r="N71" s="2">
        <v>800</v>
      </c>
      <c r="O71" s="2">
        <v>800</v>
      </c>
      <c r="P71" s="9"/>
      <c r="Q71" s="2">
        <f>SUM(OSRRefD21_14_0x)+IFERROR(SUM(OSRRefE21_14_0x),0)</f>
        <v>8459</v>
      </c>
    </row>
    <row r="72" spans="1:17" s="28" customFormat="1" x14ac:dyDescent="0.25">
      <c r="A72" s="20"/>
      <c r="B72" s="20"/>
      <c r="C72" s="20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Q72" s="1"/>
    </row>
    <row r="73" spans="1:17" s="9" customFormat="1" x14ac:dyDescent="0.25">
      <c r="A73" s="22"/>
      <c r="B73" s="16" t="s">
        <v>0</v>
      </c>
      <c r="C73" s="23"/>
      <c r="D73" s="3">
        <f t="shared" ref="D73:G73" si="3">0</f>
        <v>0</v>
      </c>
      <c r="E73" s="3">
        <f t="shared" si="3"/>
        <v>0</v>
      </c>
      <c r="F73" s="3">
        <f t="shared" si="3"/>
        <v>0</v>
      </c>
      <c r="G73" s="3">
        <f t="shared" si="3"/>
        <v>0</v>
      </c>
      <c r="H73" s="3"/>
      <c r="I73" s="3"/>
      <c r="J73" s="3"/>
      <c r="K73" s="3"/>
      <c r="L73" s="3"/>
      <c r="M73" s="3"/>
      <c r="N73" s="3"/>
      <c r="O73" s="3"/>
      <c r="Q73" s="2">
        <f>SUM(OSRRefD23_0x)+IFERROR(SUM(OSRRefE23_0x),0)</f>
        <v>0</v>
      </c>
    </row>
    <row r="74" spans="1:17" x14ac:dyDescent="0.25">
      <c r="A74" s="5"/>
      <c r="B74" s="8"/>
      <c r="C74" s="8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4" customFormat="1" x14ac:dyDescent="0.25">
      <c r="A75" s="8"/>
      <c r="B75" s="17" t="s">
        <v>3</v>
      </c>
      <c r="C75" s="17"/>
      <c r="D75" s="6">
        <f t="shared" ref="D75:O75" si="4">IFERROR(+D16-D19+D73, 0)</f>
        <v>-14436.4</v>
      </c>
      <c r="E75" s="6">
        <f t="shared" si="4"/>
        <v>-9297.77</v>
      </c>
      <c r="F75" s="6">
        <f t="shared" si="4"/>
        <v>-10652.890000000001</v>
      </c>
      <c r="G75" s="6">
        <f t="shared" si="4"/>
        <v>-22898.660000000003</v>
      </c>
      <c r="H75" s="6">
        <f t="shared" si="4"/>
        <v>-17653.900799999999</v>
      </c>
      <c r="I75" s="6">
        <f t="shared" si="4"/>
        <v>-11961</v>
      </c>
      <c r="J75" s="6">
        <f t="shared" si="4"/>
        <v>-19631.266080000001</v>
      </c>
      <c r="K75" s="6">
        <f t="shared" si="4"/>
        <v>-18073.812864</v>
      </c>
      <c r="L75" s="6">
        <f t="shared" si="4"/>
        <v>-18076.812864</v>
      </c>
      <c r="M75" s="6">
        <f t="shared" si="4"/>
        <v>-19655.266080000001</v>
      </c>
      <c r="N75" s="6">
        <f t="shared" si="4"/>
        <v>-17934.812864</v>
      </c>
      <c r="O75" s="6">
        <f t="shared" si="4"/>
        <v>-17934.812864</v>
      </c>
      <c r="Q75" s="6">
        <f>IFERROR(+Q16-Q19+Q73, 0)</f>
        <v>-198207.40441599998</v>
      </c>
    </row>
    <row r="76" spans="1:17" s="8" customFormat="1" x14ac:dyDescent="0.25">
      <c r="B76" s="16"/>
      <c r="C76" s="16"/>
      <c r="D76" s="4">
        <f t="shared" ref="D76:O76" si="5">IFERROR(D75/D10, 0)</f>
        <v>0</v>
      </c>
      <c r="E76" s="4">
        <f t="shared" si="5"/>
        <v>0</v>
      </c>
      <c r="F76" s="4">
        <f t="shared" si="5"/>
        <v>0</v>
      </c>
      <c r="G76" s="4">
        <f t="shared" si="5"/>
        <v>0</v>
      </c>
      <c r="H76" s="4">
        <f t="shared" si="5"/>
        <v>0</v>
      </c>
      <c r="I76" s="4">
        <f t="shared" si="5"/>
        <v>0</v>
      </c>
      <c r="J76" s="4">
        <f t="shared" si="5"/>
        <v>0</v>
      </c>
      <c r="K76" s="4">
        <f t="shared" si="5"/>
        <v>0</v>
      </c>
      <c r="L76" s="4">
        <f t="shared" si="5"/>
        <v>0</v>
      </c>
      <c r="M76" s="4">
        <f t="shared" si="5"/>
        <v>0</v>
      </c>
      <c r="N76" s="4">
        <f t="shared" si="5"/>
        <v>0</v>
      </c>
      <c r="O76" s="4">
        <f t="shared" si="5"/>
        <v>0</v>
      </c>
      <c r="P76" s="18"/>
      <c r="Q76" s="4">
        <f>IFERROR(Q75/Q10, 0)</f>
        <v>0</v>
      </c>
    </row>
    <row r="77" spans="1:17" x14ac:dyDescent="0.25">
      <c r="A77" s="5"/>
      <c r="B77" s="8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x14ac:dyDescent="0.25">
      <c r="A78" s="25"/>
      <c r="B78" s="8" t="s">
        <v>8</v>
      </c>
      <c r="C78" s="8"/>
      <c r="D78" s="3"/>
      <c r="E78" s="3"/>
      <c r="F78" s="3"/>
      <c r="G78" s="3"/>
      <c r="H78" s="3">
        <v>4296</v>
      </c>
      <c r="I78" s="3">
        <v>3306</v>
      </c>
      <c r="J78" s="3">
        <v>2850</v>
      </c>
      <c r="K78" s="3">
        <v>8519</v>
      </c>
      <c r="L78" s="3">
        <v>9098</v>
      </c>
      <c r="M78" s="3">
        <v>7979</v>
      </c>
      <c r="N78" s="3">
        <v>4833</v>
      </c>
      <c r="O78" s="3">
        <v>-3139</v>
      </c>
      <c r="Q78" s="2">
        <f>SUM(OSRRefD28_0x)+IFERROR(SUM(OSRRefE28_0x),0)</f>
        <v>37742</v>
      </c>
    </row>
    <row r="79" spans="1:17" x14ac:dyDescent="0.25">
      <c r="A79" s="5"/>
      <c r="B79" s="8"/>
      <c r="C79" s="8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4" customFormat="1" ht="15.75" thickBot="1" x14ac:dyDescent="0.3">
      <c r="A80" s="8"/>
      <c r="B80" s="17" t="s">
        <v>4</v>
      </c>
      <c r="C80" s="17"/>
      <c r="D80" s="7">
        <f t="shared" ref="D80:O80" si="6">IFERROR(+D75-D78, 0)</f>
        <v>-14436.4</v>
      </c>
      <c r="E80" s="7">
        <f t="shared" si="6"/>
        <v>-9297.77</v>
      </c>
      <c r="F80" s="7">
        <f t="shared" si="6"/>
        <v>-10652.890000000001</v>
      </c>
      <c r="G80" s="7">
        <f t="shared" si="6"/>
        <v>-22898.660000000003</v>
      </c>
      <c r="H80" s="7">
        <f t="shared" si="6"/>
        <v>-21949.900799999999</v>
      </c>
      <c r="I80" s="7">
        <f t="shared" si="6"/>
        <v>-15267</v>
      </c>
      <c r="J80" s="7">
        <f t="shared" si="6"/>
        <v>-22481.266080000001</v>
      </c>
      <c r="K80" s="7">
        <f t="shared" si="6"/>
        <v>-26592.812864</v>
      </c>
      <c r="L80" s="7">
        <f t="shared" si="6"/>
        <v>-27174.812864</v>
      </c>
      <c r="M80" s="7">
        <f t="shared" si="6"/>
        <v>-27634.266080000001</v>
      </c>
      <c r="N80" s="7">
        <f t="shared" si="6"/>
        <v>-22767.812864</v>
      </c>
      <c r="O80" s="7">
        <f t="shared" si="6"/>
        <v>-14795.812864</v>
      </c>
      <c r="Q80" s="7">
        <f>IFERROR(+Q75-Q78, 0)</f>
        <v>-235949.40441599998</v>
      </c>
    </row>
    <row r="81" spans="1:17" ht="15.75" thickTop="1" x14ac:dyDescent="0.25">
      <c r="A81" s="5"/>
      <c r="B81" s="5"/>
      <c r="C81" s="5"/>
      <c r="D81" s="4">
        <f t="shared" ref="D81:O81" si="7">IFERROR(D80/D10, 0)</f>
        <v>0</v>
      </c>
      <c r="E81" s="4">
        <f t="shared" si="7"/>
        <v>0</v>
      </c>
      <c r="F81" s="4">
        <f t="shared" si="7"/>
        <v>0</v>
      </c>
      <c r="G81" s="4">
        <f t="shared" si="7"/>
        <v>0</v>
      </c>
      <c r="H81" s="4">
        <f t="shared" si="7"/>
        <v>0</v>
      </c>
      <c r="I81" s="4">
        <f t="shared" si="7"/>
        <v>0</v>
      </c>
      <c r="J81" s="4">
        <f t="shared" si="7"/>
        <v>0</v>
      </c>
      <c r="K81" s="4">
        <f t="shared" si="7"/>
        <v>0</v>
      </c>
      <c r="L81" s="4">
        <f t="shared" si="7"/>
        <v>0</v>
      </c>
      <c r="M81" s="4">
        <f t="shared" si="7"/>
        <v>0</v>
      </c>
      <c r="N81" s="4">
        <f t="shared" si="7"/>
        <v>0</v>
      </c>
      <c r="O81" s="4">
        <f t="shared" si="7"/>
        <v>0</v>
      </c>
      <c r="P81" s="18"/>
      <c r="Q81" s="4">
        <f>IFERROR(Q80/Q10, 0)</f>
        <v>0</v>
      </c>
    </row>
    <row r="82" spans="1:17" x14ac:dyDescent="0.2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x14ac:dyDescent="0.25">
      <c r="A83" s="5"/>
      <c r="B83" s="5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4" customFormat="1" ht="15.75" thickBot="1" x14ac:dyDescent="0.3">
      <c r="A84" s="8"/>
      <c r="B84" s="17" t="s">
        <v>5</v>
      </c>
      <c r="C84" s="17"/>
      <c r="D84" s="7">
        <f t="shared" ref="D84:O84" si="8">IFERROR(SUM(D80:D83), 0)</f>
        <v>-14436.4</v>
      </c>
      <c r="E84" s="7">
        <f t="shared" si="8"/>
        <v>-9297.77</v>
      </c>
      <c r="F84" s="7">
        <f t="shared" si="8"/>
        <v>-10652.890000000001</v>
      </c>
      <c r="G84" s="7">
        <f t="shared" si="8"/>
        <v>-22898.660000000003</v>
      </c>
      <c r="H84" s="7">
        <f t="shared" si="8"/>
        <v>-21949.900799999999</v>
      </c>
      <c r="I84" s="7">
        <f t="shared" si="8"/>
        <v>-15267</v>
      </c>
      <c r="J84" s="7">
        <f t="shared" si="8"/>
        <v>-22481.266080000001</v>
      </c>
      <c r="K84" s="7">
        <f t="shared" si="8"/>
        <v>-26592.812864</v>
      </c>
      <c r="L84" s="7">
        <f t="shared" si="8"/>
        <v>-27174.812864</v>
      </c>
      <c r="M84" s="7">
        <f t="shared" si="8"/>
        <v>-27634.266080000001</v>
      </c>
      <c r="N84" s="7">
        <f t="shared" si="8"/>
        <v>-22767.812864</v>
      </c>
      <c r="O84" s="7">
        <f t="shared" si="8"/>
        <v>-14795.812864</v>
      </c>
      <c r="Q84" s="7">
        <f>IFERROR(SUM(Q80:Q83), 0)</f>
        <v>-235949.40441599998</v>
      </c>
    </row>
    <row r="85" spans="1:17" ht="15.75" thickTop="1" x14ac:dyDescent="0.25">
      <c r="A85" s="5"/>
      <c r="C85" s="5"/>
      <c r="D85" s="4">
        <f t="shared" ref="D85:O85" si="9">IFERROR(D84/D10, 0)</f>
        <v>0</v>
      </c>
      <c r="E85" s="4">
        <f t="shared" si="9"/>
        <v>0</v>
      </c>
      <c r="F85" s="4">
        <f t="shared" si="9"/>
        <v>0</v>
      </c>
      <c r="G85" s="4">
        <f t="shared" si="9"/>
        <v>0</v>
      </c>
      <c r="H85" s="4">
        <f t="shared" si="9"/>
        <v>0</v>
      </c>
      <c r="I85" s="4">
        <f t="shared" si="9"/>
        <v>0</v>
      </c>
      <c r="J85" s="4">
        <f t="shared" si="9"/>
        <v>0</v>
      </c>
      <c r="K85" s="4">
        <f t="shared" si="9"/>
        <v>0</v>
      </c>
      <c r="L85" s="4">
        <f t="shared" si="9"/>
        <v>0</v>
      </c>
      <c r="M85" s="4">
        <f t="shared" si="9"/>
        <v>0</v>
      </c>
      <c r="N85" s="4">
        <f t="shared" si="9"/>
        <v>0</v>
      </c>
      <c r="O85" s="4">
        <f t="shared" si="9"/>
        <v>0</v>
      </c>
      <c r="P85" s="18"/>
      <c r="Q85" s="4">
        <f>IFERROR(Q84/Q10, 0)</f>
        <v>0</v>
      </c>
    </row>
    <row r="86" spans="1:17" x14ac:dyDescent="0.25">
      <c r="A86" s="5"/>
      <c r="B86" s="26">
        <v>44151.564919826385</v>
      </c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Q86" s="12"/>
    </row>
    <row r="87" spans="1:17" x14ac:dyDescent="0.25">
      <c r="A87" s="5"/>
      <c r="B87" s="30" t="s">
        <v>311</v>
      </c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Q87" s="12"/>
    </row>
    <row r="88" spans="1:17" x14ac:dyDescent="0.25">
      <c r="A88" s="5"/>
      <c r="B88" s="31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Q88" s="12"/>
    </row>
    <row r="89" spans="1:17" x14ac:dyDescent="0.25"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Q89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294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4"/>
      <c r="E18" s="4"/>
      <c r="F18" s="18"/>
      <c r="G18" s="4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s="8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","327", " - ", "C-Store Vending Machine(s)")</f>
        <v>Department 327 - C-Store Vending Machine(s)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110</v>
      </c>
      <c r="F10" s="3">
        <f>SUM(OSRRefD11x_2)</f>
        <v>0</v>
      </c>
      <c r="G10" s="3">
        <f>SUM(OSRRefD11x_3)</f>
        <v>0</v>
      </c>
      <c r="H10" s="3">
        <f>SUM(OSRRefE11x_0)</f>
        <v>309</v>
      </c>
      <c r="I10" s="3">
        <f>SUM(OSRRefE11x_1)</f>
        <v>546</v>
      </c>
      <c r="J10" s="3">
        <f>SUM(OSRRefE11x_2)</f>
        <v>358</v>
      </c>
      <c r="K10" s="3">
        <f>SUM(OSRRefE11x_3)</f>
        <v>428</v>
      </c>
      <c r="L10" s="3">
        <f>SUM(OSRRefE11x_4)</f>
        <v>843</v>
      </c>
      <c r="M10" s="3">
        <f>SUM(OSRRefE11x_5)</f>
        <v>538</v>
      </c>
      <c r="N10" s="3">
        <f>SUM(OSRRefE11x_6)</f>
        <v>731</v>
      </c>
      <c r="O10" s="3">
        <f>SUM(OSRRefE11x_7)</f>
        <v>151</v>
      </c>
      <c r="P10" s="24"/>
      <c r="Q10" s="3">
        <f>SUM(OSRRefG11x)</f>
        <v>4014</v>
      </c>
      <c r="R10" s="24"/>
    </row>
    <row r="11" spans="1:18" s="9" customFormat="1" hidden="1" outlineLevel="1" x14ac:dyDescent="0.25">
      <c r="A11" s="22"/>
      <c r="B11" s="13" t="str">
        <f>CONCATENATE("          ","4100", " - ","NON-TAXABLE SALES")</f>
        <v xml:space="preserve">          4100 - NON-TAXABLE SALES</v>
      </c>
      <c r="C11" s="23"/>
      <c r="D11" s="2">
        <f t="shared" ref="D11:D12" si="0">0</f>
        <v>0</v>
      </c>
      <c r="E11" s="2">
        <f t="shared" ref="E11:G11" si="1">0</f>
        <v>0</v>
      </c>
      <c r="F11" s="2">
        <f t="shared" si="1"/>
        <v>0</v>
      </c>
      <c r="G11" s="2">
        <f t="shared" si="1"/>
        <v>0</v>
      </c>
      <c r="H11" s="2">
        <v>309</v>
      </c>
      <c r="I11" s="2">
        <v>546</v>
      </c>
      <c r="J11" s="2">
        <v>358</v>
      </c>
      <c r="K11" s="2">
        <v>428</v>
      </c>
      <c r="L11" s="2">
        <v>843</v>
      </c>
      <c r="M11" s="2">
        <v>538</v>
      </c>
      <c r="N11" s="2">
        <v>731</v>
      </c>
      <c r="O11" s="2">
        <v>151</v>
      </c>
      <c r="Q11" s="2">
        <f>SUM(OSRRefD11_0x)+IFERROR(SUM(OSRRefE11_0x),0)</f>
        <v>3904</v>
      </c>
    </row>
    <row r="12" spans="1:18" s="9" customFormat="1" hidden="1" outlineLevel="1" x14ac:dyDescent="0.25">
      <c r="A12" s="22"/>
      <c r="B12" s="13" t="str">
        <f>CONCATENATE("          ","4153", " - ","NON-TAXABLE SALES-FOOD")</f>
        <v xml:space="preserve">          4153 - NON-TAXABLE SALES-FOOD</v>
      </c>
      <c r="C12" s="23"/>
      <c r="D12" s="2">
        <f t="shared" si="0"/>
        <v>0</v>
      </c>
      <c r="E12" s="2">
        <f>--110</f>
        <v>110</v>
      </c>
      <c r="F12" s="2">
        <f t="shared" ref="F12:G12" si="2">0</f>
        <v>0</v>
      </c>
      <c r="G12" s="2">
        <f t="shared" si="2"/>
        <v>0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110</v>
      </c>
    </row>
    <row r="13" spans="1:18" x14ac:dyDescent="0.2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290</v>
      </c>
      <c r="C14" s="23"/>
      <c r="D14" s="3">
        <f>SUM(OSRRefD14x_0)</f>
        <v>0</v>
      </c>
      <c r="E14" s="3">
        <f>SUM(OSRRefD14x_1)</f>
        <v>68.91</v>
      </c>
      <c r="F14" s="3">
        <f>SUM(OSRRefD14x_2)</f>
        <v>0</v>
      </c>
      <c r="G14" s="3">
        <f>SUM(OSRRefD14x_3)</f>
        <v>0</v>
      </c>
      <c r="H14" s="3">
        <f>SUM(OSRRefE14x_0)</f>
        <v>155</v>
      </c>
      <c r="I14" s="3">
        <f>SUM(OSRRefE14x_1)</f>
        <v>273</v>
      </c>
      <c r="J14" s="3">
        <f>SUM(OSRRefE14x_2)</f>
        <v>179</v>
      </c>
      <c r="K14" s="3">
        <f>SUM(OSRRefE14x_3)</f>
        <v>214</v>
      </c>
      <c r="L14" s="3">
        <f>SUM(OSRRefE14x_4)</f>
        <v>422</v>
      </c>
      <c r="M14" s="3">
        <f>SUM(OSRRefE14x_5)</f>
        <v>269</v>
      </c>
      <c r="N14" s="3">
        <f>SUM(OSRRefE14x_6)</f>
        <v>366</v>
      </c>
      <c r="O14" s="3">
        <f>SUM(OSRRefE14x_7)</f>
        <v>75</v>
      </c>
      <c r="Q14" s="3">
        <f>SUM(OSRRefG14x)</f>
        <v>2021.91</v>
      </c>
    </row>
    <row r="15" spans="1:18" s="9" customFormat="1" hidden="1" outlineLevel="1" x14ac:dyDescent="0.25">
      <c r="A15" s="22"/>
      <c r="B15" s="13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>
        <v>155</v>
      </c>
      <c r="I15" s="2">
        <v>273</v>
      </c>
      <c r="J15" s="2">
        <v>179</v>
      </c>
      <c r="K15" s="2">
        <v>214</v>
      </c>
      <c r="L15" s="2">
        <v>422</v>
      </c>
      <c r="M15" s="2">
        <v>269</v>
      </c>
      <c r="N15" s="2">
        <v>366</v>
      </c>
      <c r="O15" s="2">
        <v>75</v>
      </c>
      <c r="Q15" s="2">
        <f>SUM(OSRRefD14_0x)+IFERROR(SUM(OSRRefE14_0x),0)</f>
        <v>1953</v>
      </c>
    </row>
    <row r="16" spans="1:18" s="9" customFormat="1" hidden="1" outlineLevel="1" x14ac:dyDescent="0.25">
      <c r="A16" s="22"/>
      <c r="B16" s="13" t="str">
        <f>CONCATENATE("          ","5059", " - ","PURCHASES @ COST-FOOD")</f>
        <v xml:space="preserve">          5059 - PURCHASES @ COST-FOOD</v>
      </c>
      <c r="C16" s="23"/>
      <c r="D16" s="2"/>
      <c r="E16" s="2">
        <v>68.91</v>
      </c>
      <c r="F16" s="2"/>
      <c r="G16" s="2"/>
      <c r="H16" s="2"/>
      <c r="I16" s="2"/>
      <c r="J16" s="2"/>
      <c r="K16" s="2"/>
      <c r="L16" s="2"/>
      <c r="M16" s="2"/>
      <c r="N16" s="2"/>
      <c r="O16" s="2"/>
      <c r="Q16" s="2">
        <f>SUM(OSRRefD14_1x)+IFERROR(SUM(OSRRefE14_1x),0)</f>
        <v>68.91</v>
      </c>
    </row>
    <row r="17" spans="1:17" x14ac:dyDescent="0.25">
      <c r="A17" s="5"/>
      <c r="B17" s="8"/>
      <c r="C17" s="8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4" customFormat="1" x14ac:dyDescent="0.25">
      <c r="A18" s="8"/>
      <c r="B18" s="17" t="s">
        <v>6</v>
      </c>
      <c r="C18" s="17"/>
      <c r="D18" s="6">
        <f t="shared" ref="D18:O18" si="3">IFERROR(+D10-D14, 0)</f>
        <v>0</v>
      </c>
      <c r="E18" s="6">
        <f t="shared" si="3"/>
        <v>41.09</v>
      </c>
      <c r="F18" s="6">
        <f t="shared" si="3"/>
        <v>0</v>
      </c>
      <c r="G18" s="6">
        <f t="shared" si="3"/>
        <v>0</v>
      </c>
      <c r="H18" s="6">
        <f t="shared" si="3"/>
        <v>154</v>
      </c>
      <c r="I18" s="6">
        <f t="shared" si="3"/>
        <v>273</v>
      </c>
      <c r="J18" s="6">
        <f t="shared" si="3"/>
        <v>179</v>
      </c>
      <c r="K18" s="6">
        <f t="shared" si="3"/>
        <v>214</v>
      </c>
      <c r="L18" s="6">
        <f t="shared" si="3"/>
        <v>421</v>
      </c>
      <c r="M18" s="6">
        <f t="shared" si="3"/>
        <v>269</v>
      </c>
      <c r="N18" s="6">
        <f t="shared" si="3"/>
        <v>365</v>
      </c>
      <c r="O18" s="6">
        <f t="shared" si="3"/>
        <v>76</v>
      </c>
      <c r="Q18" s="6">
        <f>IFERROR(+Q10-Q14, 0)</f>
        <v>1992.09</v>
      </c>
    </row>
    <row r="19" spans="1:17" s="8" customFormat="1" x14ac:dyDescent="0.25">
      <c r="B19" s="16"/>
      <c r="C19" s="16"/>
      <c r="D19" s="4">
        <f t="shared" ref="D19:O19" si="4">IFERROR(D18/D10, 0)</f>
        <v>0</v>
      </c>
      <c r="E19" s="4">
        <f t="shared" si="4"/>
        <v>0.37354545454545457</v>
      </c>
      <c r="F19" s="4">
        <f t="shared" si="4"/>
        <v>0</v>
      </c>
      <c r="G19" s="4">
        <f t="shared" si="4"/>
        <v>0</v>
      </c>
      <c r="H19" s="4">
        <f t="shared" si="4"/>
        <v>0.49838187702265374</v>
      </c>
      <c r="I19" s="4">
        <f t="shared" si="4"/>
        <v>0.5</v>
      </c>
      <c r="J19" s="4">
        <f t="shared" si="4"/>
        <v>0.5</v>
      </c>
      <c r="K19" s="4">
        <f t="shared" si="4"/>
        <v>0.5</v>
      </c>
      <c r="L19" s="4">
        <f t="shared" si="4"/>
        <v>0.49940688018979834</v>
      </c>
      <c r="M19" s="4">
        <f t="shared" si="4"/>
        <v>0.5</v>
      </c>
      <c r="N19" s="4">
        <f t="shared" si="4"/>
        <v>0.4993160054719562</v>
      </c>
      <c r="O19" s="4">
        <f t="shared" si="4"/>
        <v>0.50331125827814571</v>
      </c>
      <c r="P19" s="18"/>
      <c r="Q19" s="4">
        <f>IFERROR(Q18/Q10, 0)</f>
        <v>0.49628550074738415</v>
      </c>
    </row>
    <row r="20" spans="1:17" x14ac:dyDescent="0.25">
      <c r="A20" s="5"/>
      <c r="B20" s="8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4" customFormat="1" x14ac:dyDescent="0.25">
      <c r="A21" s="8"/>
      <c r="B21" s="16" t="s">
        <v>291</v>
      </c>
      <c r="C21" s="8"/>
      <c r="D21" s="10">
        <f>SUM(OSRRefD20x_0)</f>
        <v>0</v>
      </c>
      <c r="E21" s="10">
        <f>SUM(OSRRefD20x_1)</f>
        <v>0</v>
      </c>
      <c r="F21" s="10">
        <f>SUM(OSRRefD20x_2)</f>
        <v>0</v>
      </c>
      <c r="G21" s="10">
        <f>SUM(OSRRefD20x_3)</f>
        <v>0</v>
      </c>
      <c r="H21" s="10">
        <f>SUM(OSRRefE20x_0)</f>
        <v>27</v>
      </c>
      <c r="I21" s="10">
        <f>SUM(OSRRefE20x_1)</f>
        <v>47</v>
      </c>
      <c r="J21" s="10">
        <f>SUM(OSRRefE20x_2)</f>
        <v>31</v>
      </c>
      <c r="K21" s="10">
        <f>SUM(OSRRefE20x_3)</f>
        <v>37</v>
      </c>
      <c r="L21" s="10">
        <f>SUM(OSRRefE20x_4)</f>
        <v>73</v>
      </c>
      <c r="M21" s="10">
        <f>SUM(OSRRefE20x_5)</f>
        <v>47</v>
      </c>
      <c r="N21" s="10">
        <f>SUM(OSRRefE20x_6)</f>
        <v>63</v>
      </c>
      <c r="O21" s="10">
        <f>SUM(OSRRefE20x_7)</f>
        <v>13</v>
      </c>
      <c r="Q21" s="10">
        <f>SUM(OSRRefG20x)</f>
        <v>338</v>
      </c>
    </row>
    <row r="22" spans="1:17" s="34" customFormat="1" collapsed="1" x14ac:dyDescent="0.25">
      <c r="A22" s="35"/>
      <c r="B22" s="15" t="str">
        <f>CONCATENATE("     ","Bank/card Fees                                    ")</f>
        <v xml:space="preserve">     Bank/card Fees                                    </v>
      </c>
      <c r="C22" s="15"/>
      <c r="D22" s="1">
        <f>SUM(OSRRefD21_0x_0)</f>
        <v>0</v>
      </c>
      <c r="E22" s="1">
        <f>SUM(OSRRefD21_0x_1)</f>
        <v>0</v>
      </c>
      <c r="F22" s="1">
        <f>SUM(OSRRefD21_0x_2)</f>
        <v>0</v>
      </c>
      <c r="G22" s="1">
        <f>SUM(OSRRefD21_0x_3)</f>
        <v>0</v>
      </c>
      <c r="H22" s="1">
        <f>SUM(OSRRefE21_0x_0)</f>
        <v>27</v>
      </c>
      <c r="I22" s="1">
        <f>SUM(OSRRefE21_0x_1)</f>
        <v>47</v>
      </c>
      <c r="J22" s="1">
        <f>SUM(OSRRefE21_0x_2)</f>
        <v>31</v>
      </c>
      <c r="K22" s="1">
        <f>SUM(OSRRefE21_0x_3)</f>
        <v>37</v>
      </c>
      <c r="L22" s="1">
        <f>SUM(OSRRefE21_0x_4)</f>
        <v>73</v>
      </c>
      <c r="M22" s="1">
        <f>SUM(OSRRefE21_0x_5)</f>
        <v>47</v>
      </c>
      <c r="N22" s="1">
        <f>SUM(OSRRefE21_0x_6)</f>
        <v>63</v>
      </c>
      <c r="O22" s="1">
        <f>SUM(OSRRefE21_0x_7)</f>
        <v>13</v>
      </c>
      <c r="Q22" s="2">
        <f>SUM(OSRRefD20_0x)+IFERROR(SUM(OSRRefE20_0x),0)</f>
        <v>338</v>
      </c>
    </row>
    <row r="23" spans="1:17" s="34" customFormat="1" hidden="1" outlineLevel="1" x14ac:dyDescent="0.25">
      <c r="A23" s="35"/>
      <c r="B23" s="13" t="str">
        <f>CONCATENATE("          ","6381", " - ","BANK/CREDIT CARD FEES")</f>
        <v xml:space="preserve">          6381 - BANK/CREDIT CARD FEES</v>
      </c>
      <c r="C23" s="15"/>
      <c r="D23" s="2"/>
      <c r="E23" s="2"/>
      <c r="F23" s="2"/>
      <c r="G23" s="2"/>
      <c r="H23" s="2">
        <v>27</v>
      </c>
      <c r="I23" s="2">
        <v>47</v>
      </c>
      <c r="J23" s="2">
        <v>31</v>
      </c>
      <c r="K23" s="2">
        <v>37</v>
      </c>
      <c r="L23" s="2">
        <v>73</v>
      </c>
      <c r="M23" s="2">
        <v>47</v>
      </c>
      <c r="N23" s="2">
        <v>63</v>
      </c>
      <c r="O23" s="2">
        <v>13</v>
      </c>
      <c r="P23" s="9"/>
      <c r="Q23" s="2">
        <f>SUM(OSRRefD21_0_0x)+IFERROR(SUM(OSRRefE21_0_0x),0)</f>
        <v>338</v>
      </c>
    </row>
    <row r="24" spans="1:17" s="28" customFormat="1" x14ac:dyDescent="0.25">
      <c r="A24" s="20"/>
      <c r="B24" s="20"/>
      <c r="C24" s="20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9" customFormat="1" x14ac:dyDescent="0.25">
      <c r="A25" s="22"/>
      <c r="B25" s="16" t="s">
        <v>0</v>
      </c>
      <c r="C25" s="23"/>
      <c r="D25" s="3">
        <f t="shared" ref="D25:G25" si="5">0</f>
        <v>0</v>
      </c>
      <c r="E25" s="3">
        <f t="shared" si="5"/>
        <v>0</v>
      </c>
      <c r="F25" s="3">
        <f t="shared" si="5"/>
        <v>0</v>
      </c>
      <c r="G25" s="3">
        <f t="shared" si="5"/>
        <v>0</v>
      </c>
      <c r="H25" s="3"/>
      <c r="I25" s="3"/>
      <c r="J25" s="3"/>
      <c r="K25" s="3"/>
      <c r="L25" s="3"/>
      <c r="M25" s="3"/>
      <c r="N25" s="3"/>
      <c r="O25" s="3"/>
      <c r="Q25" s="2">
        <f>SUM(OSRRefD23_0x)+IFERROR(SUM(OSRRefE23_0x),0)</f>
        <v>0</v>
      </c>
    </row>
    <row r="26" spans="1:17" x14ac:dyDescent="0.25">
      <c r="A26" s="5"/>
      <c r="B26" s="8"/>
      <c r="C26" s="8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4" customFormat="1" x14ac:dyDescent="0.25">
      <c r="A27" s="8"/>
      <c r="B27" s="17" t="s">
        <v>3</v>
      </c>
      <c r="C27" s="17"/>
      <c r="D27" s="6">
        <f t="shared" ref="D27:O27" si="6">IFERROR(+D18-D21+D25, 0)</f>
        <v>0</v>
      </c>
      <c r="E27" s="6">
        <f t="shared" si="6"/>
        <v>41.09</v>
      </c>
      <c r="F27" s="6">
        <f t="shared" si="6"/>
        <v>0</v>
      </c>
      <c r="G27" s="6">
        <f t="shared" si="6"/>
        <v>0</v>
      </c>
      <c r="H27" s="6">
        <f t="shared" si="6"/>
        <v>127</v>
      </c>
      <c r="I27" s="6">
        <f t="shared" si="6"/>
        <v>226</v>
      </c>
      <c r="J27" s="6">
        <f t="shared" si="6"/>
        <v>148</v>
      </c>
      <c r="K27" s="6">
        <f t="shared" si="6"/>
        <v>177</v>
      </c>
      <c r="L27" s="6">
        <f t="shared" si="6"/>
        <v>348</v>
      </c>
      <c r="M27" s="6">
        <f t="shared" si="6"/>
        <v>222</v>
      </c>
      <c r="N27" s="6">
        <f t="shared" si="6"/>
        <v>302</v>
      </c>
      <c r="O27" s="6">
        <f t="shared" si="6"/>
        <v>63</v>
      </c>
      <c r="Q27" s="6">
        <f>IFERROR(+Q18-Q21+Q25, 0)</f>
        <v>1654.09</v>
      </c>
    </row>
    <row r="28" spans="1:17" s="8" customFormat="1" x14ac:dyDescent="0.25">
      <c r="B28" s="16"/>
      <c r="C28" s="16"/>
      <c r="D28" s="4">
        <f t="shared" ref="D28:O28" si="7">IFERROR(D27/D10, 0)</f>
        <v>0</v>
      </c>
      <c r="E28" s="4">
        <f t="shared" si="7"/>
        <v>0.37354545454545457</v>
      </c>
      <c r="F28" s="4">
        <f t="shared" si="7"/>
        <v>0</v>
      </c>
      <c r="G28" s="4">
        <f t="shared" si="7"/>
        <v>0</v>
      </c>
      <c r="H28" s="4">
        <f t="shared" si="7"/>
        <v>0.4110032362459547</v>
      </c>
      <c r="I28" s="4">
        <f t="shared" si="7"/>
        <v>0.41391941391941389</v>
      </c>
      <c r="J28" s="4">
        <f t="shared" si="7"/>
        <v>0.41340782122905029</v>
      </c>
      <c r="K28" s="4">
        <f t="shared" si="7"/>
        <v>0.4135514018691589</v>
      </c>
      <c r="L28" s="4">
        <f t="shared" si="7"/>
        <v>0.41281138790035588</v>
      </c>
      <c r="M28" s="4">
        <f t="shared" si="7"/>
        <v>0.41263940520446096</v>
      </c>
      <c r="N28" s="4">
        <f t="shared" si="7"/>
        <v>0.41313269493844051</v>
      </c>
      <c r="O28" s="4">
        <f t="shared" si="7"/>
        <v>0.41721854304635764</v>
      </c>
      <c r="P28" s="18"/>
      <c r="Q28" s="4">
        <f>IFERROR(Q27/Q10, 0)</f>
        <v>0.41208021923268556</v>
      </c>
    </row>
    <row r="29" spans="1:17" x14ac:dyDescent="0.25">
      <c r="A29" s="5"/>
      <c r="B29" s="8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4" customFormat="1" x14ac:dyDescent="0.25">
      <c r="A30" s="25"/>
      <c r="B30" s="8" t="s">
        <v>8</v>
      </c>
      <c r="C30" s="8"/>
      <c r="D30" s="3"/>
      <c r="E30" s="3">
        <v>18.57</v>
      </c>
      <c r="F30" s="3">
        <v>1.81</v>
      </c>
      <c r="G30" s="3">
        <v>3.45</v>
      </c>
      <c r="H30" s="3">
        <v>73</v>
      </c>
      <c r="I30" s="3">
        <v>121</v>
      </c>
      <c r="J30" s="3">
        <v>28</v>
      </c>
      <c r="K30" s="3">
        <v>70</v>
      </c>
      <c r="L30" s="3">
        <v>163</v>
      </c>
      <c r="M30" s="3">
        <v>113</v>
      </c>
      <c r="N30" s="3">
        <v>150</v>
      </c>
      <c r="O30" s="3">
        <v>-52</v>
      </c>
      <c r="Q30" s="2">
        <f>SUM(OSRRefD28_0x)+IFERROR(SUM(OSRRefE28_0x),0)</f>
        <v>689.83</v>
      </c>
    </row>
    <row r="31" spans="1:17" x14ac:dyDescent="0.25">
      <c r="A31" s="5"/>
      <c r="B31" s="8"/>
      <c r="C31" s="8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4" customFormat="1" ht="15.75" thickBot="1" x14ac:dyDescent="0.3">
      <c r="A32" s="8"/>
      <c r="B32" s="17" t="s">
        <v>4</v>
      </c>
      <c r="C32" s="17"/>
      <c r="D32" s="7">
        <f t="shared" ref="D32:O32" si="8">IFERROR(+D27-D30, 0)</f>
        <v>0</v>
      </c>
      <c r="E32" s="7">
        <f t="shared" si="8"/>
        <v>22.520000000000003</v>
      </c>
      <c r="F32" s="7">
        <f t="shared" si="8"/>
        <v>-1.81</v>
      </c>
      <c r="G32" s="7">
        <f t="shared" si="8"/>
        <v>-3.45</v>
      </c>
      <c r="H32" s="7">
        <f t="shared" si="8"/>
        <v>54</v>
      </c>
      <c r="I32" s="7">
        <f t="shared" si="8"/>
        <v>105</v>
      </c>
      <c r="J32" s="7">
        <f t="shared" si="8"/>
        <v>120</v>
      </c>
      <c r="K32" s="7">
        <f t="shared" si="8"/>
        <v>107</v>
      </c>
      <c r="L32" s="7">
        <f t="shared" si="8"/>
        <v>185</v>
      </c>
      <c r="M32" s="7">
        <f t="shared" si="8"/>
        <v>109</v>
      </c>
      <c r="N32" s="7">
        <f t="shared" si="8"/>
        <v>152</v>
      </c>
      <c r="O32" s="7">
        <f t="shared" si="8"/>
        <v>115</v>
      </c>
      <c r="Q32" s="7">
        <f>IFERROR(+Q27-Q30, 0)</f>
        <v>964.25999999999988</v>
      </c>
    </row>
    <row r="33" spans="1:17" ht="15.75" thickTop="1" x14ac:dyDescent="0.25">
      <c r="A33" s="5"/>
      <c r="B33" s="5"/>
      <c r="C33" s="5"/>
      <c r="D33" s="4">
        <f t="shared" ref="D33:O33" si="9">IFERROR(D32/D10, 0)</f>
        <v>0</v>
      </c>
      <c r="E33" s="4">
        <f t="shared" si="9"/>
        <v>0.20472727272727276</v>
      </c>
      <c r="F33" s="4">
        <f t="shared" si="9"/>
        <v>0</v>
      </c>
      <c r="G33" s="4">
        <f t="shared" si="9"/>
        <v>0</v>
      </c>
      <c r="H33" s="4">
        <f t="shared" si="9"/>
        <v>0.17475728155339806</v>
      </c>
      <c r="I33" s="4">
        <f t="shared" si="9"/>
        <v>0.19230769230769232</v>
      </c>
      <c r="J33" s="4">
        <f t="shared" si="9"/>
        <v>0.33519553072625696</v>
      </c>
      <c r="K33" s="4">
        <f t="shared" si="9"/>
        <v>0.25</v>
      </c>
      <c r="L33" s="4">
        <f t="shared" si="9"/>
        <v>0.21945432977461446</v>
      </c>
      <c r="M33" s="4">
        <f t="shared" si="9"/>
        <v>0.20260223048327136</v>
      </c>
      <c r="N33" s="4">
        <f t="shared" si="9"/>
        <v>0.20793433652530779</v>
      </c>
      <c r="O33" s="4">
        <f t="shared" si="9"/>
        <v>0.76158940397350994</v>
      </c>
      <c r="P33" s="18"/>
      <c r="Q33" s="4">
        <f>IFERROR(Q32/Q10, 0)</f>
        <v>0.24022421524663673</v>
      </c>
    </row>
    <row r="34" spans="1:17" x14ac:dyDescent="0.25">
      <c r="A34" s="5"/>
      <c r="B34" s="5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x14ac:dyDescent="0.25">
      <c r="A35" s="5"/>
      <c r="B35" s="5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4" customFormat="1" ht="15.75" thickBot="1" x14ac:dyDescent="0.3">
      <c r="A36" s="8"/>
      <c r="B36" s="17" t="s">
        <v>5</v>
      </c>
      <c r="C36" s="17"/>
      <c r="D36" s="7">
        <f t="shared" ref="D36:O36" si="10">IFERROR(SUM(D32:D35), 0)</f>
        <v>0</v>
      </c>
      <c r="E36" s="7">
        <f t="shared" si="10"/>
        <v>22.724727272727275</v>
      </c>
      <c r="F36" s="7">
        <f t="shared" si="10"/>
        <v>-1.81</v>
      </c>
      <c r="G36" s="7">
        <f t="shared" si="10"/>
        <v>-3.45</v>
      </c>
      <c r="H36" s="7">
        <f t="shared" si="10"/>
        <v>54.174757281553397</v>
      </c>
      <c r="I36" s="7">
        <f t="shared" si="10"/>
        <v>105.19230769230769</v>
      </c>
      <c r="J36" s="7">
        <f t="shared" si="10"/>
        <v>120.33519553072625</v>
      </c>
      <c r="K36" s="7">
        <f t="shared" si="10"/>
        <v>107.25</v>
      </c>
      <c r="L36" s="7">
        <f t="shared" si="10"/>
        <v>185.21945432977461</v>
      </c>
      <c r="M36" s="7">
        <f t="shared" si="10"/>
        <v>109.20260223048327</v>
      </c>
      <c r="N36" s="7">
        <f t="shared" si="10"/>
        <v>152.20793433652531</v>
      </c>
      <c r="O36" s="7">
        <f t="shared" si="10"/>
        <v>115.76158940397352</v>
      </c>
      <c r="Q36" s="7">
        <f>IFERROR(SUM(Q32:Q35), 0)</f>
        <v>964.50022421524648</v>
      </c>
    </row>
    <row r="37" spans="1:17" ht="15.75" thickTop="1" x14ac:dyDescent="0.25">
      <c r="A37" s="5"/>
      <c r="C37" s="5"/>
      <c r="D37" s="4">
        <f t="shared" ref="D37:O37" si="11">IFERROR(D36/D10, 0)</f>
        <v>0</v>
      </c>
      <c r="E37" s="4">
        <f t="shared" si="11"/>
        <v>0.20658842975206615</v>
      </c>
      <c r="F37" s="4">
        <f t="shared" si="11"/>
        <v>0</v>
      </c>
      <c r="G37" s="4">
        <f t="shared" si="11"/>
        <v>0</v>
      </c>
      <c r="H37" s="4">
        <f t="shared" si="11"/>
        <v>0.1753228390988783</v>
      </c>
      <c r="I37" s="4">
        <f t="shared" si="11"/>
        <v>0.19265990419836573</v>
      </c>
      <c r="J37" s="4">
        <f t="shared" si="11"/>
        <v>0.33613183109141409</v>
      </c>
      <c r="K37" s="4">
        <f t="shared" si="11"/>
        <v>0.25058411214953269</v>
      </c>
      <c r="L37" s="4">
        <f t="shared" si="11"/>
        <v>0.21971465519546216</v>
      </c>
      <c r="M37" s="4">
        <f t="shared" si="11"/>
        <v>0.2029788145548016</v>
      </c>
      <c r="N37" s="4">
        <f t="shared" si="11"/>
        <v>0.20821878842205926</v>
      </c>
      <c r="O37" s="4">
        <f t="shared" si="11"/>
        <v>0.76663304241042063</v>
      </c>
      <c r="P37" s="18"/>
      <c r="Q37" s="4">
        <f>IFERROR(Q36/Q10, 0)</f>
        <v>0.2402840618373808</v>
      </c>
    </row>
    <row r="38" spans="1:17" x14ac:dyDescent="0.25">
      <c r="A38" s="5"/>
      <c r="B38" s="26">
        <v>44151.564935960647</v>
      </c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Q38" s="12"/>
    </row>
    <row r="39" spans="1:17" x14ac:dyDescent="0.25">
      <c r="A39" s="5"/>
      <c r="B39" s="30" t="s">
        <v>311</v>
      </c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Q39" s="12"/>
    </row>
    <row r="40" spans="1:17" x14ac:dyDescent="0.25">
      <c r="A40" s="5"/>
      <c r="B40" s="31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Q40" s="12"/>
    </row>
    <row r="41" spans="1:17" x14ac:dyDescent="0.25"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Q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135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">
        <v>303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20302.829999999998</v>
      </c>
      <c r="E10" s="3">
        <f>SUM(OSRRefD11x_1)</f>
        <v>54547.020000000004</v>
      </c>
      <c r="F10" s="3">
        <f>SUM(OSRRefD11x_2)</f>
        <v>231032.62999999998</v>
      </c>
      <c r="G10" s="3">
        <f>SUM(OSRRefD11x_3)</f>
        <v>195671.71999999997</v>
      </c>
      <c r="H10" s="3">
        <f>SUM(OSRRefE11x_0)</f>
        <v>135295</v>
      </c>
      <c r="I10" s="3">
        <f>SUM(OSRRefE11x_1)</f>
        <v>113971</v>
      </c>
      <c r="J10" s="3">
        <f>SUM(OSRRefE11x_2)</f>
        <v>75017</v>
      </c>
      <c r="K10" s="3">
        <f>SUM(OSRRefE11x_3)</f>
        <v>157963</v>
      </c>
      <c r="L10" s="3">
        <f>SUM(OSRRefE11x_4)</f>
        <v>154698</v>
      </c>
      <c r="M10" s="3">
        <f>SUM(OSRRefE11x_5)</f>
        <v>156423</v>
      </c>
      <c r="N10" s="3">
        <f>SUM(OSRRefE11x_6)</f>
        <v>87646</v>
      </c>
      <c r="O10" s="3">
        <f>SUM(OSRRefE11x_7)</f>
        <v>5500</v>
      </c>
      <c r="P10" s="24"/>
      <c r="Q10" s="3">
        <f>SUM(OSRRefG11x)</f>
        <v>1388067.2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D13" si="0">0</f>
        <v>0</v>
      </c>
      <c r="E11" s="2">
        <f t="shared" ref="E11:G11" si="1">0</f>
        <v>0</v>
      </c>
      <c r="F11" s="2">
        <f t="shared" si="1"/>
        <v>0</v>
      </c>
      <c r="G11" s="2">
        <f t="shared" si="1"/>
        <v>0</v>
      </c>
      <c r="H11" s="2">
        <v>1602</v>
      </c>
      <c r="I11" s="2">
        <v>1446</v>
      </c>
      <c r="J11" s="2">
        <v>1213</v>
      </c>
      <c r="K11" s="2">
        <v>1322</v>
      </c>
      <c r="L11" s="2">
        <v>2014</v>
      </c>
      <c r="M11" s="2">
        <v>2550</v>
      </c>
      <c r="N11" s="2">
        <v>1648</v>
      </c>
      <c r="O11" s="2">
        <v>1711</v>
      </c>
      <c r="Q11" s="2">
        <f>SUM(OSRRefD11_0x)+IFERROR(SUM(OSRRefE11_0x),0)</f>
        <v>13506</v>
      </c>
    </row>
    <row r="12" spans="1:18" s="9" customFormat="1" hidden="1" outlineLevel="1" x14ac:dyDescent="0.25">
      <c r="A12" s="22"/>
      <c r="B12" s="13" t="str">
        <f>CONCATENATE("          ","4051", " - ","TAXABLE SALES-FOOD")</f>
        <v xml:space="preserve">          4051 - TAXABLE SALES-FOOD</v>
      </c>
      <c r="C12" s="23"/>
      <c r="D12" s="2">
        <f t="shared" si="0"/>
        <v>0</v>
      </c>
      <c r="E12" s="2">
        <f>--2510.72</f>
        <v>2510.7199999999998</v>
      </c>
      <c r="F12" s="2">
        <f>--4141.96</f>
        <v>4141.96</v>
      </c>
      <c r="G12" s="2">
        <f>--6097.26</f>
        <v>6097.26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12749.94</v>
      </c>
    </row>
    <row r="13" spans="1:18" s="9" customFormat="1" hidden="1" outlineLevel="1" x14ac:dyDescent="0.25">
      <c r="A13" s="22"/>
      <c r="B13" s="13" t="str">
        <f>CONCATENATE("          ","4052", " - ","TAXABLE SALES-FOOD")</f>
        <v xml:space="preserve">          4052 - TAXABLE SALES-FOOD</v>
      </c>
      <c r="C13" s="23"/>
      <c r="D13" s="2">
        <f t="shared" si="0"/>
        <v>0</v>
      </c>
      <c r="E13" s="2">
        <f t="shared" ref="E13:F13" si="2">0</f>
        <v>0</v>
      </c>
      <c r="F13" s="2">
        <f t="shared" si="2"/>
        <v>0</v>
      </c>
      <c r="G13" s="2">
        <f>--30231.29</f>
        <v>30231.29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30231.29</v>
      </c>
    </row>
    <row r="14" spans="1:18" s="9" customFormat="1" hidden="1" outlineLevel="1" x14ac:dyDescent="0.25">
      <c r="A14" s="22"/>
      <c r="B14" s="13" t="str">
        <f>CONCATENATE("          ","4053", " - ","TAXABLE SALES-FOOD")</f>
        <v xml:space="preserve">          4053 - TAXABLE SALES-FOOD</v>
      </c>
      <c r="C14" s="23"/>
      <c r="D14" s="2">
        <f>--199.89</f>
        <v>199.89</v>
      </c>
      <c r="E14" s="2">
        <f>--140.01</f>
        <v>140.01</v>
      </c>
      <c r="F14" s="2">
        <f>--62.54</f>
        <v>62.54</v>
      </c>
      <c r="G14" s="2">
        <f t="shared" ref="G14:G16" si="3">0</f>
        <v>0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402.44</v>
      </c>
    </row>
    <row r="15" spans="1:18" s="9" customFormat="1" hidden="1" outlineLevel="1" x14ac:dyDescent="0.25">
      <c r="A15" s="22"/>
      <c r="B15" s="13" t="str">
        <f>CONCATENATE("          ","4058", " - ","TAXABLE SALES-FOOD")</f>
        <v xml:space="preserve">          4058 - TAXABLE SALES-FOOD</v>
      </c>
      <c r="C15" s="23"/>
      <c r="D15" s="2">
        <f>--974.91</f>
        <v>974.91</v>
      </c>
      <c r="E15" s="2">
        <f t="shared" ref="E15:F16" si="4">0</f>
        <v>0</v>
      </c>
      <c r="F15" s="2">
        <f t="shared" si="4"/>
        <v>0</v>
      </c>
      <c r="G15" s="2">
        <f t="shared" si="3"/>
        <v>0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974.91</v>
      </c>
    </row>
    <row r="16" spans="1:18" s="9" customFormat="1" hidden="1" outlineLevel="1" x14ac:dyDescent="0.25">
      <c r="A16" s="22"/>
      <c r="B16" s="13" t="str">
        <f>CONCATENATE("          ","4100", " - ","NON-TAXABLE SALES")</f>
        <v xml:space="preserve">          4100 - NON-TAXABLE SALES</v>
      </c>
      <c r="C16" s="23"/>
      <c r="D16" s="2">
        <f>0</f>
        <v>0</v>
      </c>
      <c r="E16" s="2">
        <f t="shared" si="4"/>
        <v>0</v>
      </c>
      <c r="F16" s="2">
        <f t="shared" si="4"/>
        <v>0</v>
      </c>
      <c r="G16" s="2">
        <f t="shared" si="3"/>
        <v>0</v>
      </c>
      <c r="H16" s="2">
        <v>133693</v>
      </c>
      <c r="I16" s="2">
        <v>112525</v>
      </c>
      <c r="J16" s="2">
        <v>73804</v>
      </c>
      <c r="K16" s="2">
        <v>156641</v>
      </c>
      <c r="L16" s="2">
        <v>152684</v>
      </c>
      <c r="M16" s="2">
        <v>153873</v>
      </c>
      <c r="N16" s="2">
        <v>85998</v>
      </c>
      <c r="O16" s="2">
        <v>3789</v>
      </c>
      <c r="Q16" s="2">
        <f>SUM(OSRRefD11_5x)+IFERROR(SUM(OSRRefE11_5x),0)</f>
        <v>873007</v>
      </c>
    </row>
    <row r="17" spans="1:17" s="9" customFormat="1" hidden="1" outlineLevel="1" x14ac:dyDescent="0.25">
      <c r="A17" s="22"/>
      <c r="B17" s="13" t="str">
        <f>CONCATENATE("          ","4151", " - ","NON-TAXABLE SALES-FOOD")</f>
        <v xml:space="preserve">          4151 - NON-TAXABLE SALES-FOOD</v>
      </c>
      <c r="C17" s="23"/>
      <c r="D17" s="2">
        <f>--1300</f>
        <v>1300</v>
      </c>
      <c r="E17" s="2">
        <f>--42758.9</f>
        <v>42758.9</v>
      </c>
      <c r="F17" s="2">
        <f>--223549.77</f>
        <v>223549.77</v>
      </c>
      <c r="G17" s="2">
        <f>--173820.37</f>
        <v>173820.37</v>
      </c>
      <c r="H17" s="2"/>
      <c r="I17" s="2"/>
      <c r="J17" s="2"/>
      <c r="K17" s="2"/>
      <c r="L17" s="2"/>
      <c r="M17" s="2"/>
      <c r="N17" s="2"/>
      <c r="O17" s="2"/>
      <c r="Q17" s="2">
        <f>SUM(OSRRefD11_6x)+IFERROR(SUM(OSRRefE11_6x),0)</f>
        <v>441429.04</v>
      </c>
    </row>
    <row r="18" spans="1:17" s="9" customFormat="1" hidden="1" outlineLevel="1" x14ac:dyDescent="0.25">
      <c r="A18" s="22"/>
      <c r="B18" s="13" t="str">
        <f>CONCATENATE("          ","4153", " - ","NON-TAXABLE SALES-FOOD")</f>
        <v xml:space="preserve">          4153 - NON-TAXABLE SALES-FOOD</v>
      </c>
      <c r="C18" s="23"/>
      <c r="D18" s="2">
        <f>--17828.03</f>
        <v>17828.03</v>
      </c>
      <c r="E18" s="2">
        <f>--9137.39</f>
        <v>9137.39</v>
      </c>
      <c r="F18" s="2">
        <f>--3278.36</f>
        <v>3278.36</v>
      </c>
      <c r="G18" s="2">
        <f>-14477.2</f>
        <v>-14477.2</v>
      </c>
      <c r="H18" s="2"/>
      <c r="I18" s="2"/>
      <c r="J18" s="2"/>
      <c r="K18" s="2"/>
      <c r="L18" s="2"/>
      <c r="M18" s="2"/>
      <c r="N18" s="2"/>
      <c r="O18" s="2"/>
      <c r="Q18" s="2">
        <f>SUM(OSRRefD11_7x)+IFERROR(SUM(OSRRefE11_7x),0)</f>
        <v>15766.579999999998</v>
      </c>
    </row>
    <row r="19" spans="1:17" x14ac:dyDescent="0.25">
      <c r="A19" s="5"/>
      <c r="B19" s="8"/>
      <c r="C19" s="5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Q19" s="3"/>
    </row>
    <row r="20" spans="1:17" s="9" customFormat="1" collapsed="1" x14ac:dyDescent="0.25">
      <c r="A20" s="22"/>
      <c r="B20" s="16" t="s">
        <v>290</v>
      </c>
      <c r="C20" s="23"/>
      <c r="D20" s="3">
        <f>SUM(OSRRefD14x_0)</f>
        <v>11689.62</v>
      </c>
      <c r="E20" s="3">
        <f>SUM(OSRRefD14x_1)</f>
        <v>50318.539999999994</v>
      </c>
      <c r="F20" s="3">
        <f>SUM(OSRRefD14x_2)</f>
        <v>45417.08</v>
      </c>
      <c r="G20" s="3">
        <f>SUM(OSRRefD14x_3)</f>
        <v>79382</v>
      </c>
      <c r="H20" s="3">
        <f>SUM(OSRRefE14x_0)</f>
        <v>35538</v>
      </c>
      <c r="I20" s="3">
        <f>SUM(OSRRefE14x_1)</f>
        <v>29911</v>
      </c>
      <c r="J20" s="3">
        <f>SUM(OSRRefE14x_2)</f>
        <v>20411</v>
      </c>
      <c r="K20" s="3">
        <f>SUM(OSRRefE14x_3)</f>
        <v>39746</v>
      </c>
      <c r="L20" s="3">
        <f>SUM(OSRRefE14x_4)</f>
        <v>43574</v>
      </c>
      <c r="M20" s="3">
        <f>SUM(OSRRefE14x_5)</f>
        <v>44208</v>
      </c>
      <c r="N20" s="3">
        <f>SUM(OSRRefE14x_6)</f>
        <v>24806</v>
      </c>
      <c r="O20" s="3">
        <f>SUM(OSRRefE14x_7)</f>
        <v>1430</v>
      </c>
      <c r="Q20" s="3">
        <f>SUM(OSRRefG14x)</f>
        <v>426431.24</v>
      </c>
    </row>
    <row r="21" spans="1:17" s="9" customFormat="1" hidden="1" outlineLevel="1" x14ac:dyDescent="0.25">
      <c r="A21" s="22"/>
      <c r="B21" s="13" t="str">
        <f>CONCATENATE("          ","5000", " - ","PURCHASES @ COST")</f>
        <v xml:space="preserve">          5000 - PURCHASES @ COST</v>
      </c>
      <c r="C21" s="23"/>
      <c r="D21" s="2"/>
      <c r="E21" s="2"/>
      <c r="F21" s="2"/>
      <c r="G21" s="2"/>
      <c r="H21" s="2">
        <v>35538</v>
      </c>
      <c r="I21" s="2">
        <v>29911</v>
      </c>
      <c r="J21" s="2">
        <v>20411</v>
      </c>
      <c r="K21" s="2">
        <v>39746</v>
      </c>
      <c r="L21" s="2">
        <v>43574</v>
      </c>
      <c r="M21" s="2">
        <v>44208</v>
      </c>
      <c r="N21" s="2">
        <v>24806</v>
      </c>
      <c r="O21" s="2">
        <v>1430</v>
      </c>
      <c r="Q21" s="2">
        <f>SUM(OSRRefD14_0x)+IFERROR(SUM(OSRRefE14_0x),0)</f>
        <v>239624</v>
      </c>
    </row>
    <row r="22" spans="1:17" s="9" customFormat="1" hidden="1" outlineLevel="1" x14ac:dyDescent="0.25">
      <c r="A22" s="22"/>
      <c r="B22" s="13" t="str">
        <f>CONCATENATE("          ","5053", " - ","PURCHASES @ COST-FOOD")</f>
        <v xml:space="preserve">          5053 - PURCHASES @ COST-FOOD</v>
      </c>
      <c r="C22" s="23"/>
      <c r="D22" s="2">
        <v>8280.6200000000008</v>
      </c>
      <c r="E22" s="2">
        <v>80529.539999999994</v>
      </c>
      <c r="F22" s="2">
        <v>41555.599999999999</v>
      </c>
      <c r="G22" s="2">
        <v>65171.100000000006</v>
      </c>
      <c r="H22" s="2"/>
      <c r="I22" s="2"/>
      <c r="J22" s="2"/>
      <c r="K22" s="2"/>
      <c r="L22" s="2"/>
      <c r="M22" s="2"/>
      <c r="N22" s="2"/>
      <c r="O22" s="2"/>
      <c r="Q22" s="2">
        <f>SUM(OSRRefD14_1x)+IFERROR(SUM(OSRRefE14_1x),0)</f>
        <v>195536.86</v>
      </c>
    </row>
    <row r="23" spans="1:17" s="9" customFormat="1" hidden="1" outlineLevel="1" x14ac:dyDescent="0.25">
      <c r="A23" s="22"/>
      <c r="B23" s="13" t="str">
        <f>CONCATENATE("          ","5059", " - ","PURCHASES @ COST-FOOD")</f>
        <v xml:space="preserve">          5059 - PURCHASES @ COST-FOOD</v>
      </c>
      <c r="C23" s="23"/>
      <c r="D23" s="2">
        <v>3409</v>
      </c>
      <c r="E23" s="2">
        <v>-30211</v>
      </c>
      <c r="F23" s="2">
        <v>3861.48</v>
      </c>
      <c r="G23" s="2">
        <v>14210.9</v>
      </c>
      <c r="H23" s="2"/>
      <c r="I23" s="2"/>
      <c r="J23" s="2"/>
      <c r="K23" s="2"/>
      <c r="L23" s="2"/>
      <c r="M23" s="2"/>
      <c r="N23" s="2"/>
      <c r="O23" s="2"/>
      <c r="Q23" s="2">
        <f>SUM(OSRRefD14_2x)+IFERROR(SUM(OSRRefE14_2x),0)</f>
        <v>-8729.6200000000008</v>
      </c>
    </row>
    <row r="24" spans="1:17" x14ac:dyDescent="0.25">
      <c r="A24" s="5"/>
      <c r="B24" s="8"/>
      <c r="C24" s="8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4" customFormat="1" x14ac:dyDescent="0.25">
      <c r="A25" s="8"/>
      <c r="B25" s="17" t="s">
        <v>6</v>
      </c>
      <c r="C25" s="17"/>
      <c r="D25" s="6">
        <f t="shared" ref="D25:O25" si="5">IFERROR(+D10-D20, 0)</f>
        <v>8613.2099999999973</v>
      </c>
      <c r="E25" s="6">
        <f t="shared" si="5"/>
        <v>4228.4800000000105</v>
      </c>
      <c r="F25" s="6">
        <f t="shared" si="5"/>
        <v>185615.55</v>
      </c>
      <c r="G25" s="6">
        <f t="shared" si="5"/>
        <v>116289.71999999997</v>
      </c>
      <c r="H25" s="6">
        <f t="shared" si="5"/>
        <v>99757</v>
      </c>
      <c r="I25" s="6">
        <f t="shared" si="5"/>
        <v>84060</v>
      </c>
      <c r="J25" s="6">
        <f t="shared" si="5"/>
        <v>54606</v>
      </c>
      <c r="K25" s="6">
        <f t="shared" si="5"/>
        <v>118217</v>
      </c>
      <c r="L25" s="6">
        <f t="shared" si="5"/>
        <v>111124</v>
      </c>
      <c r="M25" s="6">
        <f t="shared" si="5"/>
        <v>112215</v>
      </c>
      <c r="N25" s="6">
        <f t="shared" si="5"/>
        <v>62840</v>
      </c>
      <c r="O25" s="6">
        <f t="shared" si="5"/>
        <v>4070</v>
      </c>
      <c r="Q25" s="6">
        <f>IFERROR(+Q10-Q20, 0)</f>
        <v>961635.96</v>
      </c>
    </row>
    <row r="26" spans="1:17" s="8" customFormat="1" x14ac:dyDescent="0.25">
      <c r="B26" s="16"/>
      <c r="C26" s="16"/>
      <c r="D26" s="4">
        <f t="shared" ref="D26:O26" si="6">IFERROR(D25/D10, 0)</f>
        <v>0.4242369167254022</v>
      </c>
      <c r="E26" s="4">
        <f t="shared" si="6"/>
        <v>7.7519908511959223E-2</v>
      </c>
      <c r="F26" s="4">
        <f t="shared" si="6"/>
        <v>0.80341703247718732</v>
      </c>
      <c r="G26" s="4">
        <f t="shared" si="6"/>
        <v>0.59431030707963306</v>
      </c>
      <c r="H26" s="4">
        <f t="shared" si="6"/>
        <v>0.7373295391551794</v>
      </c>
      <c r="I26" s="4">
        <f t="shared" si="6"/>
        <v>0.73755604495880533</v>
      </c>
      <c r="J26" s="4">
        <f t="shared" si="6"/>
        <v>0.72791500593198877</v>
      </c>
      <c r="K26" s="4">
        <f t="shared" si="6"/>
        <v>0.74838411526749937</v>
      </c>
      <c r="L26" s="4">
        <f t="shared" si="6"/>
        <v>0.71832861446172547</v>
      </c>
      <c r="M26" s="4">
        <f t="shared" si="6"/>
        <v>0.71738171496519054</v>
      </c>
      <c r="N26" s="4">
        <f t="shared" si="6"/>
        <v>0.71697510439723433</v>
      </c>
      <c r="O26" s="4">
        <f t="shared" si="6"/>
        <v>0.74</v>
      </c>
      <c r="P26" s="18"/>
      <c r="Q26" s="4">
        <f>IFERROR(Q25/Q10, 0)</f>
        <v>0.69278775552077021</v>
      </c>
    </row>
    <row r="27" spans="1:17" x14ac:dyDescent="0.25">
      <c r="A27" s="5"/>
      <c r="B27" s="8"/>
      <c r="C27" s="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Q27" s="1"/>
    </row>
    <row r="28" spans="1:17" s="14" customFormat="1" x14ac:dyDescent="0.25">
      <c r="A28" s="8"/>
      <c r="B28" s="16" t="s">
        <v>291</v>
      </c>
      <c r="C28" s="8"/>
      <c r="D28" s="10">
        <f>SUM(OSRRefD20x_0)</f>
        <v>313095.14999999997</v>
      </c>
      <c r="E28" s="10">
        <f>SUM(OSRRefD20x_1)</f>
        <v>282928.90999999992</v>
      </c>
      <c r="F28" s="10">
        <f>SUM(OSRRefD20x_2)</f>
        <v>359684.63000000018</v>
      </c>
      <c r="G28" s="10">
        <f>SUM(OSRRefD20x_3)</f>
        <v>405482.77999999997</v>
      </c>
      <c r="H28" s="10">
        <f>SUM(OSRRefE20x_0)</f>
        <v>391325.41301698779</v>
      </c>
      <c r="I28" s="10">
        <f>SUM(OSRRefE20x_1)</f>
        <v>185078.08856153849</v>
      </c>
      <c r="J28" s="10">
        <f>SUM(OSRRefE20x_2)</f>
        <v>412426.48037034989</v>
      </c>
      <c r="K28" s="10">
        <f>SUM(OSRRefE20x_3)</f>
        <v>421700.49426698778</v>
      </c>
      <c r="L28" s="10">
        <f>SUM(OSRRefE20x_4)</f>
        <v>377100.56930360314</v>
      </c>
      <c r="M28" s="10">
        <f>SUM(OSRRefE20x_5)</f>
        <v>427861.08283373457</v>
      </c>
      <c r="N28" s="10">
        <f>SUM(OSRRefE20x_6)</f>
        <v>350768.9993036032</v>
      </c>
      <c r="O28" s="10">
        <f>SUM(OSRRefE20x_7)</f>
        <v>308840.39048037241</v>
      </c>
      <c r="Q28" s="10">
        <f>SUM(OSRRefG20x)</f>
        <v>4236292.9881371772</v>
      </c>
    </row>
    <row r="29" spans="1:17" s="34" customFormat="1" collapsed="1" x14ac:dyDescent="0.25">
      <c r="A29" s="35"/>
      <c r="B29" s="15" t="str">
        <f>CONCATENATE("     ","*Benefits                                         ")</f>
        <v xml:space="preserve">     *Benefits                                         </v>
      </c>
      <c r="C29" s="15"/>
      <c r="D29" s="1">
        <f>SUM(OSRRefD21_0x_0)</f>
        <v>97515.280000000013</v>
      </c>
      <c r="E29" s="1">
        <f>SUM(OSRRefD21_0x_1)</f>
        <v>93657.88</v>
      </c>
      <c r="F29" s="1">
        <f>SUM(OSRRefD21_0x_2)</f>
        <v>97784.810000000012</v>
      </c>
      <c r="G29" s="1">
        <f>SUM(OSRRefD21_0x_3)</f>
        <v>109909.59</v>
      </c>
      <c r="H29" s="1">
        <f>SUM(OSRRefE21_0x_0)</f>
        <v>103541.04840468006</v>
      </c>
      <c r="I29" s="1">
        <f>SUM(OSRRefE21_0x_1)</f>
        <v>19353.330869230773</v>
      </c>
      <c r="J29" s="1">
        <f>SUM(OSRRefE21_0x_2)</f>
        <v>121246.12085496531</v>
      </c>
      <c r="K29" s="1">
        <f>SUM(OSRRefE21_0x_3)</f>
        <v>103185.25465468006</v>
      </c>
      <c r="L29" s="1">
        <f>SUM(OSRRefE21_0x_4)</f>
        <v>103055.76969129544</v>
      </c>
      <c r="M29" s="1">
        <f>SUM(OSRRefE21_0x_5)</f>
        <v>122425.43331834994</v>
      </c>
      <c r="N29" s="1">
        <f>SUM(OSRRefE21_0x_6)</f>
        <v>101655.99969129544</v>
      </c>
      <c r="O29" s="1">
        <f>SUM(OSRRefE21_0x_7)</f>
        <v>100511.23586806467</v>
      </c>
      <c r="Q29" s="2">
        <f>SUM(OSRRefD20_0x)+IFERROR(SUM(OSRRefE20_0x),0)</f>
        <v>1173841.7533525617</v>
      </c>
    </row>
    <row r="30" spans="1:17" s="34" customFormat="1" hidden="1" outlineLevel="1" x14ac:dyDescent="0.25">
      <c r="A30" s="35"/>
      <c r="B30" s="13" t="str">
        <f>CONCATENATE("          ","6111", " - ","F.I.C.A.")</f>
        <v xml:space="preserve">          6111 - F.I.C.A.</v>
      </c>
      <c r="C30" s="15"/>
      <c r="D30" s="2">
        <v>9015.16</v>
      </c>
      <c r="E30" s="2">
        <v>9402.5499999999993</v>
      </c>
      <c r="F30" s="2">
        <v>10588.36</v>
      </c>
      <c r="G30" s="2">
        <v>17524.48</v>
      </c>
      <c r="H30" s="2">
        <v>10414.166065910771</v>
      </c>
      <c r="I30" s="2">
        <v>2134.3628307692311</v>
      </c>
      <c r="J30" s="2">
        <v>13004.575034388461</v>
      </c>
      <c r="K30" s="2">
        <v>10414.166065910771</v>
      </c>
      <c r="L30" s="2">
        <v>10401.033517910771</v>
      </c>
      <c r="M30" s="2">
        <v>13017.707582388461</v>
      </c>
      <c r="N30" s="2">
        <v>10401.033517910771</v>
      </c>
      <c r="O30" s="2">
        <v>10427.298613910771</v>
      </c>
      <c r="P30" s="9"/>
      <c r="Q30" s="2">
        <f>SUM(OSRRefD21_0_0x)+IFERROR(SUM(OSRRefE21_0_0x),0)</f>
        <v>126744.89322910001</v>
      </c>
    </row>
    <row r="31" spans="1:17" s="34" customFormat="1" hidden="1" outlineLevel="1" x14ac:dyDescent="0.25">
      <c r="A31" s="35"/>
      <c r="B31" s="13" t="str">
        <f>CONCATENATE("          ","6112", " - ","COMPENSATION INSURANCE")</f>
        <v xml:space="preserve">          6112 - COMPENSATION INSURANCE</v>
      </c>
      <c r="C31" s="15"/>
      <c r="D31" s="2">
        <v>4140.1099999999997</v>
      </c>
      <c r="E31" s="2">
        <v>4477.29</v>
      </c>
      <c r="F31" s="2">
        <v>6099.43</v>
      </c>
      <c r="G31" s="2">
        <v>5487.9</v>
      </c>
      <c r="H31" s="2">
        <v>7201.3773439384613</v>
      </c>
      <c r="I31" s="2">
        <v>1955.6599615384616</v>
      </c>
      <c r="J31" s="2">
        <v>7747.4447274230779</v>
      </c>
      <c r="K31" s="2">
        <v>6999.2110939384611</v>
      </c>
      <c r="L31" s="2">
        <v>6991.8494539384619</v>
      </c>
      <c r="M31" s="2">
        <v>8351.3308674230757</v>
      </c>
      <c r="N31" s="2">
        <v>6196.4834539384619</v>
      </c>
      <c r="O31" s="2">
        <v>5413.5884839384616</v>
      </c>
      <c r="P31" s="9"/>
      <c r="Q31" s="2">
        <f>SUM(OSRRefD21_0_1x)+IFERROR(SUM(OSRRefE21_0_1x),0)</f>
        <v>71061.675386076924</v>
      </c>
    </row>
    <row r="32" spans="1:17" s="34" customFormat="1" hidden="1" outlineLevel="1" x14ac:dyDescent="0.25">
      <c r="A32" s="35"/>
      <c r="B32" s="13" t="str">
        <f>CONCATENATE("          ","6113", " - ","GROUP INSURANCE")</f>
        <v xml:space="preserve">          6113 - GROUP INSURANCE</v>
      </c>
      <c r="C32" s="15"/>
      <c r="D32" s="2">
        <v>55309.61</v>
      </c>
      <c r="E32" s="2">
        <v>55053.17</v>
      </c>
      <c r="F32" s="2">
        <v>55053.17</v>
      </c>
      <c r="G32" s="2">
        <v>54369.270000000004</v>
      </c>
      <c r="H32" s="2">
        <v>61616.923076923107</v>
      </c>
      <c r="I32" s="2">
        <v>5663.8461538461543</v>
      </c>
      <c r="J32" s="2">
        <v>72079.769230769161</v>
      </c>
      <c r="K32" s="2">
        <v>61616.923076923107</v>
      </c>
      <c r="L32" s="2">
        <v>61525.53846153849</v>
      </c>
      <c r="M32" s="2">
        <v>72171.153846153786</v>
      </c>
      <c r="N32" s="2">
        <v>61525.53846153849</v>
      </c>
      <c r="O32" s="2">
        <v>61708.307692307717</v>
      </c>
      <c r="P32" s="9"/>
      <c r="Q32" s="2">
        <f>SUM(OSRRefD21_0_2x)+IFERROR(SUM(OSRRefE21_0_2x),0)</f>
        <v>677693.2200000002</v>
      </c>
    </row>
    <row r="33" spans="1:17" s="34" customFormat="1" hidden="1" outlineLevel="1" x14ac:dyDescent="0.25">
      <c r="A33" s="35"/>
      <c r="B33" s="13" t="str">
        <f>CONCATENATE("          ","6114", " - ","STATE UNEMPLOYMENT INSURANCE")</f>
        <v xml:space="preserve">          6114 - STATE UNEMPLOYMENT INSURANCE</v>
      </c>
      <c r="C33" s="15"/>
      <c r="D33" s="2">
        <v>374.57</v>
      </c>
      <c r="E33" s="2">
        <v>323.45999999999998</v>
      </c>
      <c r="F33" s="2">
        <v>410.96</v>
      </c>
      <c r="G33" s="2">
        <v>373.89</v>
      </c>
      <c r="H33" s="2">
        <v>463.01326560000001</v>
      </c>
      <c r="I33" s="2">
        <v>145.09100000000001</v>
      </c>
      <c r="J33" s="2">
        <v>502.749797</v>
      </c>
      <c r="K33" s="2">
        <v>450.76076560000001</v>
      </c>
      <c r="L33" s="2">
        <v>450.31460559999999</v>
      </c>
      <c r="M33" s="2">
        <v>539.34895700000004</v>
      </c>
      <c r="N33" s="2">
        <v>402.11060559999999</v>
      </c>
      <c r="O33" s="2">
        <v>354.66242560000001</v>
      </c>
      <c r="P33" s="9"/>
      <c r="Q33" s="2">
        <f>SUM(OSRRefD21_0_3x)+IFERROR(SUM(OSRRefE21_0_3x),0)</f>
        <v>4790.9314219999997</v>
      </c>
    </row>
    <row r="34" spans="1:17" s="34" customFormat="1" hidden="1" outlineLevel="1" x14ac:dyDescent="0.25">
      <c r="A34" s="35"/>
      <c r="B34" s="13" t="str">
        <f>CONCATENATE("          ","6115", " - ","P.E.R.S.")</f>
        <v xml:space="preserve">          6115 - P.E.R.S.</v>
      </c>
      <c r="C34" s="15"/>
      <c r="D34" s="2">
        <v>10026.56</v>
      </c>
      <c r="E34" s="2">
        <v>6333.53</v>
      </c>
      <c r="F34" s="2">
        <v>6333.53</v>
      </c>
      <c r="G34" s="2">
        <v>6014.35</v>
      </c>
      <c r="H34" s="2">
        <v>5690.9080338461581</v>
      </c>
      <c r="I34" s="2">
        <v>2250.8978461538459</v>
      </c>
      <c r="J34" s="2">
        <v>7113.6350423076974</v>
      </c>
      <c r="K34" s="2">
        <v>5690.9080338461581</v>
      </c>
      <c r="L34" s="2">
        <v>5690.9080338461581</v>
      </c>
      <c r="M34" s="2">
        <v>7113.6350423076974</v>
      </c>
      <c r="N34" s="2">
        <v>5690.9080338461581</v>
      </c>
      <c r="O34" s="2">
        <v>5690.9080338461581</v>
      </c>
      <c r="P34" s="9"/>
      <c r="Q34" s="2">
        <f>SUM(OSRRefD21_0_4x)+IFERROR(SUM(OSRRefE21_0_4x),0)</f>
        <v>73640.678100000019</v>
      </c>
    </row>
    <row r="35" spans="1:17" s="34" customFormat="1" hidden="1" outlineLevel="1" x14ac:dyDescent="0.25">
      <c r="A35" s="35"/>
      <c r="B35" s="13" t="str">
        <f>CONCATENATE("          ","6116", " - ","EDUCATIONAL BENEFITS")</f>
        <v xml:space="preserve">          6116 - EDUCATIONAL BENEFITS</v>
      </c>
      <c r="C35" s="15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SUM(OSRRefD21_0_5x)+IFERROR(SUM(OSRRefE21_0_5x),0)</f>
        <v>0</v>
      </c>
    </row>
    <row r="36" spans="1:17" s="34" customFormat="1" hidden="1" outlineLevel="1" x14ac:dyDescent="0.25">
      <c r="A36" s="35"/>
      <c r="B36" s="13" t="str">
        <f>CONCATENATE("          ","6117", " - ","RETIREMENT STAFF HOURLY")</f>
        <v xml:space="preserve">          6117 - RETIREMENT STAFF HOURLY</v>
      </c>
      <c r="C36" s="15"/>
      <c r="D36" s="2">
        <v>1969.14</v>
      </c>
      <c r="E36" s="2">
        <v>1373.88</v>
      </c>
      <c r="F36" s="2">
        <v>1526.6</v>
      </c>
      <c r="G36" s="2">
        <v>1396.69</v>
      </c>
      <c r="H36" s="2"/>
      <c r="I36" s="2"/>
      <c r="J36" s="2"/>
      <c r="K36" s="2"/>
      <c r="L36" s="2"/>
      <c r="M36" s="2"/>
      <c r="N36" s="2"/>
      <c r="O36" s="2"/>
      <c r="P36" s="9"/>
      <c r="Q36" s="2">
        <f>SUM(OSRRefD21_0_6x)+IFERROR(SUM(OSRRefE21_0_6x),0)</f>
        <v>6266.3100000000013</v>
      </c>
    </row>
    <row r="37" spans="1:17" s="34" customFormat="1" hidden="1" outlineLevel="1" x14ac:dyDescent="0.25">
      <c r="A37" s="35"/>
      <c r="B37" s="13" t="str">
        <f>CONCATENATE("          ","6118", " - ","VACATION")</f>
        <v xml:space="preserve">          6118 - VACATION</v>
      </c>
      <c r="C37" s="15"/>
      <c r="D37" s="2">
        <v>8012.45</v>
      </c>
      <c r="E37" s="2">
        <v>8430.9699999999993</v>
      </c>
      <c r="F37" s="2">
        <v>8977.9599999999991</v>
      </c>
      <c r="G37" s="2">
        <v>12908.82</v>
      </c>
      <c r="H37" s="2">
        <v>8205.8784153846209</v>
      </c>
      <c r="I37" s="2">
        <v>1768.76307692308</v>
      </c>
      <c r="J37" s="2">
        <v>10248.768019230769</v>
      </c>
      <c r="K37" s="2">
        <v>8205.8784153846209</v>
      </c>
      <c r="L37" s="2">
        <v>8197.298415384621</v>
      </c>
      <c r="M37" s="2">
        <v>10257.348019230769</v>
      </c>
      <c r="N37" s="2">
        <v>8197.298415384621</v>
      </c>
      <c r="O37" s="2">
        <v>8214.4584153846208</v>
      </c>
      <c r="P37" s="9"/>
      <c r="Q37" s="2">
        <f>SUM(OSRRefD21_0_7x)+IFERROR(SUM(OSRRefE21_0_7x),0)</f>
        <v>101625.89119230772</v>
      </c>
    </row>
    <row r="38" spans="1:17" s="34" customFormat="1" hidden="1" outlineLevel="1" x14ac:dyDescent="0.25">
      <c r="A38" s="35"/>
      <c r="B38" s="13" t="str">
        <f>CONCATENATE("          ","6119", " - ","SICK LEAVE")</f>
        <v xml:space="preserve">          6119 - SICK LEAVE</v>
      </c>
      <c r="C38" s="15"/>
      <c r="D38" s="2">
        <v>5655.13</v>
      </c>
      <c r="E38" s="2">
        <v>5575.88</v>
      </c>
      <c r="F38" s="2">
        <v>5575.88</v>
      </c>
      <c r="G38" s="2">
        <v>8065.14</v>
      </c>
      <c r="H38" s="2">
        <v>5923.7822030769203</v>
      </c>
      <c r="I38" s="2">
        <v>1409.71</v>
      </c>
      <c r="J38" s="2">
        <v>6524.1790038461495</v>
      </c>
      <c r="K38" s="2">
        <v>5782.4072030769248</v>
      </c>
      <c r="L38" s="2">
        <v>5773.8272030769249</v>
      </c>
      <c r="M38" s="2">
        <v>6949.90900384615</v>
      </c>
      <c r="N38" s="2">
        <v>5217.6272030769251</v>
      </c>
      <c r="O38" s="2">
        <v>4677.0122030769253</v>
      </c>
      <c r="P38" s="9"/>
      <c r="Q38" s="2">
        <f>SUM(OSRRefD21_0_8x)+IFERROR(SUM(OSRRefE21_0_8x),0)</f>
        <v>67130.484023076919</v>
      </c>
    </row>
    <row r="39" spans="1:17" s="34" customFormat="1" hidden="1" outlineLevel="1" x14ac:dyDescent="0.25">
      <c r="A39" s="35"/>
      <c r="B39" s="13" t="str">
        <f>CONCATENATE("          ","6156", " - ","EMPLOYEE MEALS")</f>
        <v xml:space="preserve">          6156 - EMPLOYEE MEALS</v>
      </c>
      <c r="C39" s="15"/>
      <c r="D39" s="2">
        <v>3012.55</v>
      </c>
      <c r="E39" s="2">
        <v>2687.15</v>
      </c>
      <c r="F39" s="2">
        <v>3218.92</v>
      </c>
      <c r="G39" s="2">
        <v>3769.05</v>
      </c>
      <c r="H39" s="2">
        <v>4025</v>
      </c>
      <c r="I39" s="2">
        <v>4025</v>
      </c>
      <c r="J39" s="2">
        <v>4025</v>
      </c>
      <c r="K39" s="2">
        <v>4025</v>
      </c>
      <c r="L39" s="2">
        <v>4025</v>
      </c>
      <c r="M39" s="2">
        <v>4025</v>
      </c>
      <c r="N39" s="2">
        <v>4025</v>
      </c>
      <c r="O39" s="2">
        <v>4025</v>
      </c>
      <c r="P39" s="9"/>
      <c r="Q39" s="2">
        <f>SUM(OSRRefD21_0_9x)+IFERROR(SUM(OSRRefE21_0_9x),0)</f>
        <v>44887.67</v>
      </c>
    </row>
    <row r="40" spans="1:17" s="34" customFormat="1" collapsed="1" x14ac:dyDescent="0.25">
      <c r="A40" s="35"/>
      <c r="B40" s="15" t="str">
        <f>CONCATENATE("     ","*Payroll                                          ")</f>
        <v xml:space="preserve">     *Payroll                                          </v>
      </c>
      <c r="C40" s="15"/>
      <c r="D40" s="1">
        <f>SUM(OSRRefD21_1x_0)</f>
        <v>123425.57999999999</v>
      </c>
      <c r="E40" s="1">
        <f>SUM(OSRRefD21_1x_1)</f>
        <v>118437.17</v>
      </c>
      <c r="F40" s="1">
        <f>SUM(OSRRefD21_1x_2)</f>
        <v>149938.78</v>
      </c>
      <c r="G40" s="1">
        <f>SUM(OSRRefD21_1x_3)</f>
        <v>175455.66999999995</v>
      </c>
      <c r="H40" s="1">
        <f>SUM(OSRRefE21_1x_0)</f>
        <v>163952.36461230775</v>
      </c>
      <c r="I40" s="1">
        <f>SUM(OSRRefE21_1x_1)</f>
        <v>52625.757692307699</v>
      </c>
      <c r="J40" s="1">
        <f>SUM(OSRRefE21_1x_2)</f>
        <v>176592.3595153846</v>
      </c>
      <c r="K40" s="1">
        <f>SUM(OSRRefE21_1x_3)</f>
        <v>159381.23961230772</v>
      </c>
      <c r="L40" s="1">
        <f>SUM(OSRRefE21_1x_4)</f>
        <v>159226.79961230772</v>
      </c>
      <c r="M40" s="1">
        <f>SUM(OSRRefE21_1x_5)</f>
        <v>190234.64951538463</v>
      </c>
      <c r="N40" s="1">
        <f>SUM(OSRRefE21_1x_6)</f>
        <v>141242.99961230773</v>
      </c>
      <c r="O40" s="1">
        <f>SUM(OSRRefE21_1x_7)</f>
        <v>123517.15461230773</v>
      </c>
      <c r="Q40" s="2">
        <f>SUM(OSRRefD20_1x)+IFERROR(SUM(OSRRefE20_1x),0)</f>
        <v>1734030.5247846155</v>
      </c>
    </row>
    <row r="41" spans="1:17" s="34" customFormat="1" hidden="1" outlineLevel="1" x14ac:dyDescent="0.25">
      <c r="A41" s="35"/>
      <c r="B41" s="13" t="str">
        <f>CONCATENATE("          ","6001", " - ","ADMINISTRATIVE SALARIES")</f>
        <v xml:space="preserve">          6001 - ADMINISTRATIVE SALARIES</v>
      </c>
      <c r="C41" s="15"/>
      <c r="D41" s="2">
        <v>22406.870000000003</v>
      </c>
      <c r="E41" s="2">
        <v>16445</v>
      </c>
      <c r="F41" s="2">
        <v>20028.82</v>
      </c>
      <c r="G41" s="2">
        <v>21715.449999999997</v>
      </c>
      <c r="H41" s="2">
        <v>15493.707692307691</v>
      </c>
      <c r="I41" s="2">
        <v>15493.707692307691</v>
      </c>
      <c r="J41" s="2">
        <v>19367.134615384603</v>
      </c>
      <c r="K41" s="2">
        <v>15493.707692307691</v>
      </c>
      <c r="L41" s="2">
        <v>15493.707692307691</v>
      </c>
      <c r="M41" s="2">
        <v>19367.134615384603</v>
      </c>
      <c r="N41" s="2">
        <v>15493.707692307691</v>
      </c>
      <c r="O41" s="2">
        <v>15493.707692307691</v>
      </c>
      <c r="P41" s="9"/>
      <c r="Q41" s="2">
        <f>SUM(OSRRefD21_1_0x)+IFERROR(SUM(OSRRefE21_1_0x),0)</f>
        <v>212292.65538461535</v>
      </c>
    </row>
    <row r="42" spans="1:17" s="34" customFormat="1" hidden="1" outlineLevel="1" x14ac:dyDescent="0.25">
      <c r="A42" s="35"/>
      <c r="B42" s="13" t="str">
        <f>CONCATENATE("          ","6002", " - ","STAFF SALARIES")</f>
        <v xml:space="preserve">          6002 - STAFF SALARIES</v>
      </c>
      <c r="C42" s="15"/>
      <c r="D42" s="2">
        <v>55335.5</v>
      </c>
      <c r="E42" s="2">
        <v>42270.979999999996</v>
      </c>
      <c r="F42" s="2">
        <v>43207.97</v>
      </c>
      <c r="G42" s="2">
        <v>48280</v>
      </c>
      <c r="H42" s="2">
        <v>43888.98200000004</v>
      </c>
      <c r="I42" s="2">
        <v>8510.1</v>
      </c>
      <c r="J42" s="2">
        <v>54861.227500000015</v>
      </c>
      <c r="K42" s="2">
        <v>43888.98200000004</v>
      </c>
      <c r="L42" s="2">
        <v>43888.98200000004</v>
      </c>
      <c r="M42" s="2">
        <v>54861.227500000015</v>
      </c>
      <c r="N42" s="2">
        <v>43888.98200000004</v>
      </c>
      <c r="O42" s="2">
        <v>43888.98200000004</v>
      </c>
      <c r="P42" s="9"/>
      <c r="Q42" s="2">
        <f>SUM(OSRRefD21_1_1x)+IFERROR(SUM(OSRRefE21_1_1x),0)</f>
        <v>526771.91500000027</v>
      </c>
    </row>
    <row r="43" spans="1:17" s="34" customFormat="1" hidden="1" outlineLevel="1" x14ac:dyDescent="0.25">
      <c r="A43" s="35"/>
      <c r="B43" s="13" t="str">
        <f>CONCATENATE("          ","6003", " - ","STAFF HOURLY-9 MONTH")</f>
        <v xml:space="preserve">          6003 - STAFF HOURLY-9 MONTH</v>
      </c>
      <c r="C43" s="15"/>
      <c r="D43" s="2"/>
      <c r="E43" s="2"/>
      <c r="F43" s="2"/>
      <c r="G43" s="2"/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SUM(OSRRefD21_1_2x)+IFERROR(SUM(OSRRefE21_1_2x),0)</f>
        <v>0</v>
      </c>
    </row>
    <row r="44" spans="1:17" s="34" customFormat="1" hidden="1" outlineLevel="1" x14ac:dyDescent="0.25">
      <c r="A44" s="35"/>
      <c r="B44" s="13" t="str">
        <f>CONCATENATE("          ","6004", " - ","STAFF HOURLY")</f>
        <v xml:space="preserve">          6004 - STAFF HOURLY</v>
      </c>
      <c r="C44" s="15"/>
      <c r="D44" s="2">
        <v>35932.21</v>
      </c>
      <c r="E44" s="2">
        <v>46538.990000000005</v>
      </c>
      <c r="F44" s="2">
        <v>51879.91</v>
      </c>
      <c r="G44" s="2">
        <v>72343.87999999999</v>
      </c>
      <c r="H44" s="2">
        <v>63827.249920000002</v>
      </c>
      <c r="I44" s="2">
        <v>1544.4</v>
      </c>
      <c r="J44" s="2">
        <v>79629.622399999993</v>
      </c>
      <c r="K44" s="2">
        <v>63827.249920000002</v>
      </c>
      <c r="L44" s="2">
        <v>63672.809920000007</v>
      </c>
      <c r="M44" s="2">
        <v>79784.06240000001</v>
      </c>
      <c r="N44" s="2">
        <v>63672.809920000007</v>
      </c>
      <c r="O44" s="2">
        <v>63981.689919999997</v>
      </c>
      <c r="P44" s="9"/>
      <c r="Q44" s="2">
        <f>SUM(OSRRefD21_1_3x)+IFERROR(SUM(OSRRefE21_1_3x),0)</f>
        <v>686634.88439999998</v>
      </c>
    </row>
    <row r="45" spans="1:17" s="34" customFormat="1" hidden="1" outlineLevel="1" x14ac:dyDescent="0.25">
      <c r="A45" s="35"/>
      <c r="B45" s="13" t="str">
        <f>CONCATENATE("          ","6005", " - ","TEMPORARY WAGES-HOURLY")</f>
        <v xml:space="preserve">          6005 - TEMPORARY WAGES-HOURLY</v>
      </c>
      <c r="C45" s="15"/>
      <c r="D45" s="2"/>
      <c r="E45" s="2">
        <v>1108.2</v>
      </c>
      <c r="F45" s="2">
        <v>14833.310000000001</v>
      </c>
      <c r="G45" s="2">
        <v>23908.929999999997</v>
      </c>
      <c r="H45" s="2">
        <v>34379.225000000006</v>
      </c>
      <c r="I45" s="2">
        <v>27077.550000000003</v>
      </c>
      <c r="J45" s="2">
        <v>22734.375</v>
      </c>
      <c r="K45" s="2">
        <v>36171.299999999996</v>
      </c>
      <c r="L45" s="2">
        <v>36171.299999999996</v>
      </c>
      <c r="M45" s="2">
        <v>36222.225000000006</v>
      </c>
      <c r="N45" s="2">
        <v>18187.5</v>
      </c>
      <c r="O45" s="2">
        <v>152.77500000000001</v>
      </c>
      <c r="P45" s="9"/>
      <c r="Q45" s="2">
        <f>SUM(OSRRefD21_1_4x)+IFERROR(SUM(OSRRefE21_1_4x),0)</f>
        <v>250946.69</v>
      </c>
    </row>
    <row r="46" spans="1:17" s="34" customFormat="1" hidden="1" outlineLevel="1" x14ac:dyDescent="0.25">
      <c r="A46" s="35"/>
      <c r="B46" s="13" t="str">
        <f>CONCATENATE("          ","6006", " - ","TEMPORARY PART TIME")</f>
        <v xml:space="preserve">          6006 - TEMPORARY PART TIME</v>
      </c>
      <c r="C46" s="15"/>
      <c r="D46" s="2"/>
      <c r="E46" s="2"/>
      <c r="F46" s="2"/>
      <c r="G46" s="2"/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SUM(OSRRefD21_1_5x)+IFERROR(SUM(OSRRefE21_1_5x),0)</f>
        <v>0</v>
      </c>
    </row>
    <row r="47" spans="1:17" s="34" customFormat="1" hidden="1" outlineLevel="1" x14ac:dyDescent="0.25">
      <c r="A47" s="35"/>
      <c r="B47" s="13" t="str">
        <f>CONCATENATE("          ","6007", " - ","STUDENT HOURLY")</f>
        <v xml:space="preserve">          6007 - STUDENT HOURLY</v>
      </c>
      <c r="C47" s="15"/>
      <c r="D47" s="2">
        <v>9751</v>
      </c>
      <c r="E47" s="2">
        <v>11457.67</v>
      </c>
      <c r="F47" s="2">
        <v>16902.439999999999</v>
      </c>
      <c r="G47" s="2">
        <v>5215.1099999999997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SUM(OSRRefD21_1_6x)+IFERROR(SUM(OSRRefE21_1_6x),0)</f>
        <v>43326.22</v>
      </c>
    </row>
    <row r="48" spans="1:17" s="34" customFormat="1" hidden="1" outlineLevel="1" x14ac:dyDescent="0.25">
      <c r="A48" s="35"/>
      <c r="B48" s="13" t="str">
        <f>CONCATENATE("          ","6008", " - ","STUDENT HOURLY-FICA EXEMPT")</f>
        <v xml:space="preserve">          6008 - STUDENT HOURLY-FICA EXEMPT</v>
      </c>
      <c r="C48" s="15"/>
      <c r="D48" s="2"/>
      <c r="E48" s="2">
        <v>616.33000000000004</v>
      </c>
      <c r="F48" s="2">
        <v>3086.33</v>
      </c>
      <c r="G48" s="2">
        <v>3992.3</v>
      </c>
      <c r="H48" s="2">
        <v>6363.2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SUM(OSRRefD21_1_7x)+IFERROR(SUM(OSRRefE21_1_7x),0)</f>
        <v>14058.16</v>
      </c>
    </row>
    <row r="49" spans="1:17" s="34" customFormat="1" hidden="1" outlineLevel="1" x14ac:dyDescent="0.25">
      <c r="A49" s="35"/>
      <c r="B49" s="13" t="str">
        <f>CONCATENATE("          ","6009", " - ","TEMPORARY-SEASONAL")</f>
        <v xml:space="preserve">          6009 - TEMPORARY-SEASONAL</v>
      </c>
      <c r="C49" s="15"/>
      <c r="D49" s="2"/>
      <c r="E49" s="2"/>
      <c r="F49" s="2"/>
      <c r="G49" s="2"/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SUM(OSRRefD21_1_8x)+IFERROR(SUM(OSRRefE21_1_8x),0)</f>
        <v>0</v>
      </c>
    </row>
    <row r="50" spans="1:17" s="34" customFormat="1" hidden="1" outlineLevel="1" x14ac:dyDescent="0.25">
      <c r="A50" s="35"/>
      <c r="B50" s="13" t="str">
        <f>CONCATENATE("          ","6010", " - ","GRATUITY")</f>
        <v xml:space="preserve">          6010 - GRATUITY</v>
      </c>
      <c r="C50" s="15"/>
      <c r="D50" s="2"/>
      <c r="E50" s="2"/>
      <c r="F50" s="2"/>
      <c r="G50" s="2"/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SUM(OSRRefD21_1_9x)+IFERROR(SUM(OSRRefE21_1_9x),0)</f>
        <v>0</v>
      </c>
    </row>
    <row r="51" spans="1:17" s="34" customFormat="1" collapsed="1" x14ac:dyDescent="0.25">
      <c r="A51" s="35"/>
      <c r="B51" s="15" t="str">
        <f>CONCATENATE("     ","Advertising/Promo                                 ")</f>
        <v xml:space="preserve">     Advertising/Promo                                 </v>
      </c>
      <c r="C51" s="15"/>
      <c r="D51" s="1">
        <f>SUM(OSRRefD21_2x_0)</f>
        <v>770.46</v>
      </c>
      <c r="E51" s="1">
        <f>SUM(OSRRefD21_2x_1)</f>
        <v>704.51</v>
      </c>
      <c r="F51" s="1">
        <f>SUM(OSRRefD21_2x_2)</f>
        <v>49.61</v>
      </c>
      <c r="G51" s="1">
        <f>SUM(OSRRefD21_2x_3)</f>
        <v>15.05</v>
      </c>
      <c r="H51" s="1">
        <f>SUM(OSRRefE21_2x_0)</f>
        <v>369</v>
      </c>
      <c r="I51" s="1">
        <f>SUM(OSRRefE21_2x_1)</f>
        <v>369</v>
      </c>
      <c r="J51" s="1">
        <f>SUM(OSRRefE21_2x_2)</f>
        <v>369</v>
      </c>
      <c r="K51" s="1">
        <f>SUM(OSRRefE21_2x_3)</f>
        <v>369</v>
      </c>
      <c r="L51" s="1">
        <f>SUM(OSRRefE21_2x_4)</f>
        <v>369</v>
      </c>
      <c r="M51" s="1">
        <f>SUM(OSRRefE21_2x_5)</f>
        <v>369</v>
      </c>
      <c r="N51" s="1">
        <f>SUM(OSRRefE21_2x_6)</f>
        <v>369</v>
      </c>
      <c r="O51" s="1">
        <f>SUM(OSRRefE21_2x_7)</f>
        <v>369</v>
      </c>
      <c r="Q51" s="2">
        <f>SUM(OSRRefD20_2x)+IFERROR(SUM(OSRRefE20_2x),0)</f>
        <v>4491.63</v>
      </c>
    </row>
    <row r="52" spans="1:17" s="34" customFormat="1" hidden="1" outlineLevel="1" x14ac:dyDescent="0.25">
      <c r="A52" s="35"/>
      <c r="B52" s="13" t="str">
        <f>CONCATENATE("          ","6362", " - ","ADVERTISING EXPENSE")</f>
        <v xml:space="preserve">          6362 - ADVERTISING EXPENSE</v>
      </c>
      <c r="C52" s="15"/>
      <c r="D52" s="2">
        <v>770.46</v>
      </c>
      <c r="E52" s="2">
        <v>704.51</v>
      </c>
      <c r="F52" s="2">
        <v>49.61</v>
      </c>
      <c r="G52" s="2">
        <v>15.05</v>
      </c>
      <c r="H52" s="2">
        <v>369</v>
      </c>
      <c r="I52" s="2">
        <v>369</v>
      </c>
      <c r="J52" s="2">
        <v>369</v>
      </c>
      <c r="K52" s="2">
        <v>369</v>
      </c>
      <c r="L52" s="2">
        <v>369</v>
      </c>
      <c r="M52" s="2">
        <v>369</v>
      </c>
      <c r="N52" s="2">
        <v>369</v>
      </c>
      <c r="O52" s="2">
        <v>369</v>
      </c>
      <c r="P52" s="9"/>
      <c r="Q52" s="2">
        <f>SUM(OSRRefD21_2_0x)+IFERROR(SUM(OSRRefE21_2_0x),0)</f>
        <v>4491.63</v>
      </c>
    </row>
    <row r="53" spans="1:17" s="34" customFormat="1" collapsed="1" x14ac:dyDescent="0.25">
      <c r="A53" s="35"/>
      <c r="B53" s="15" t="str">
        <f>CONCATENATE("     ","Bad Debts/Over/Short                              ")</f>
        <v xml:space="preserve">     Bad Debts/Over/Short                              </v>
      </c>
      <c r="C53" s="15"/>
      <c r="D53" s="1">
        <f>SUM(OSRRefD21_3x_0)</f>
        <v>0</v>
      </c>
      <c r="E53" s="1">
        <f>SUM(OSRRefD21_3x_1)</f>
        <v>31.86</v>
      </c>
      <c r="F53" s="1">
        <f>SUM(OSRRefD21_3x_2)</f>
        <v>-163.63999999999999</v>
      </c>
      <c r="G53" s="1">
        <f>SUM(OSRRefD21_3x_3)</f>
        <v>1539.8</v>
      </c>
      <c r="H53" s="1">
        <f>SUM(OSRRefE21_3x_0)</f>
        <v>16</v>
      </c>
      <c r="I53" s="1">
        <f>SUM(OSRRefE21_3x_1)</f>
        <v>16</v>
      </c>
      <c r="J53" s="1">
        <f>SUM(OSRRefE21_3x_2)</f>
        <v>16</v>
      </c>
      <c r="K53" s="1">
        <f>SUM(OSRRefE21_3x_3)</f>
        <v>16</v>
      </c>
      <c r="L53" s="1">
        <f>SUM(OSRRefE21_3x_4)</f>
        <v>16</v>
      </c>
      <c r="M53" s="1">
        <f>SUM(OSRRefE21_3x_5)</f>
        <v>16</v>
      </c>
      <c r="N53" s="1">
        <f>SUM(OSRRefE21_3x_6)</f>
        <v>16</v>
      </c>
      <c r="O53" s="1">
        <f>SUM(OSRRefE21_3x_7)</f>
        <v>0</v>
      </c>
      <c r="Q53" s="2">
        <f>SUM(OSRRefD20_3x)+IFERROR(SUM(OSRRefE20_3x),0)</f>
        <v>1520.02</v>
      </c>
    </row>
    <row r="54" spans="1:17" s="34" customFormat="1" hidden="1" outlineLevel="1" x14ac:dyDescent="0.25">
      <c r="A54" s="35"/>
      <c r="B54" s="13" t="str">
        <f>CONCATENATE("          ","6272", " - ","CASH (OVER/SHORT)")</f>
        <v xml:space="preserve">          6272 - CASH (OVER/SHORT)</v>
      </c>
      <c r="C54" s="15"/>
      <c r="D54" s="2"/>
      <c r="E54" s="2">
        <v>31.86</v>
      </c>
      <c r="F54" s="2">
        <v>-163.63999999999999</v>
      </c>
      <c r="G54" s="2">
        <v>1539.8</v>
      </c>
      <c r="H54" s="2">
        <v>16</v>
      </c>
      <c r="I54" s="2">
        <v>16</v>
      </c>
      <c r="J54" s="2">
        <v>16</v>
      </c>
      <c r="K54" s="2">
        <v>16</v>
      </c>
      <c r="L54" s="2">
        <v>16</v>
      </c>
      <c r="M54" s="2">
        <v>16</v>
      </c>
      <c r="N54" s="2">
        <v>16</v>
      </c>
      <c r="O54" s="2">
        <v>0</v>
      </c>
      <c r="P54" s="9"/>
      <c r="Q54" s="2">
        <f>SUM(OSRRefD21_3_0x)+IFERROR(SUM(OSRRefE21_3_0x),0)</f>
        <v>1520.02</v>
      </c>
    </row>
    <row r="55" spans="1:17" s="34" customFormat="1" collapsed="1" x14ac:dyDescent="0.25">
      <c r="A55" s="35"/>
      <c r="B55" s="15" t="str">
        <f>CONCATENATE("     ","Bank/card Fees                                    ")</f>
        <v xml:space="preserve">     Bank/card Fees                                    </v>
      </c>
      <c r="C55" s="15"/>
      <c r="D55" s="1">
        <f>SUM(OSRRefD21_4x_0)</f>
        <v>282.82</v>
      </c>
      <c r="E55" s="1">
        <f>SUM(OSRRefD21_4x_1)</f>
        <v>333.07</v>
      </c>
      <c r="F55" s="1">
        <f>SUM(OSRRefD21_4x_2)</f>
        <v>493.43</v>
      </c>
      <c r="G55" s="1">
        <f>SUM(OSRRefD21_4x_3)</f>
        <v>758.49</v>
      </c>
      <c r="H55" s="1">
        <f>SUM(OSRRefE21_4x_0)</f>
        <v>531</v>
      </c>
      <c r="I55" s="1">
        <f>SUM(OSRRefE21_4x_1)</f>
        <v>494</v>
      </c>
      <c r="J55" s="1">
        <f>SUM(OSRRefE21_4x_2)</f>
        <v>438</v>
      </c>
      <c r="K55" s="1">
        <f>SUM(OSRRefE21_4x_3)</f>
        <v>464</v>
      </c>
      <c r="L55" s="1">
        <f>SUM(OSRRefE21_4x_4)</f>
        <v>631</v>
      </c>
      <c r="M55" s="1">
        <f>SUM(OSRRefE21_4x_5)</f>
        <v>760</v>
      </c>
      <c r="N55" s="1">
        <f>SUM(OSRRefE21_4x_6)</f>
        <v>534</v>
      </c>
      <c r="O55" s="1">
        <f>SUM(OSRRefE21_4x_7)</f>
        <v>413</v>
      </c>
      <c r="Q55" s="2">
        <f>SUM(OSRRefD20_4x)+IFERROR(SUM(OSRRefE20_4x),0)</f>
        <v>6132.8099999999995</v>
      </c>
    </row>
    <row r="56" spans="1:17" s="34" customFormat="1" hidden="1" outlineLevel="1" x14ac:dyDescent="0.25">
      <c r="A56" s="35"/>
      <c r="B56" s="13" t="str">
        <f>CONCATENATE("          ","6381", " - ","BANK/CREDIT CARD FEES")</f>
        <v xml:space="preserve">          6381 - BANK/CREDIT CARD FEES</v>
      </c>
      <c r="C56" s="15"/>
      <c r="D56" s="2">
        <v>282.82</v>
      </c>
      <c r="E56" s="2">
        <v>333.07</v>
      </c>
      <c r="F56" s="2">
        <v>493.43</v>
      </c>
      <c r="G56" s="2">
        <v>758.49</v>
      </c>
      <c r="H56" s="2">
        <v>531</v>
      </c>
      <c r="I56" s="2">
        <v>494</v>
      </c>
      <c r="J56" s="2">
        <v>438</v>
      </c>
      <c r="K56" s="2">
        <v>464</v>
      </c>
      <c r="L56" s="2">
        <v>631</v>
      </c>
      <c r="M56" s="2">
        <v>760</v>
      </c>
      <c r="N56" s="2">
        <v>534</v>
      </c>
      <c r="O56" s="2">
        <v>413</v>
      </c>
      <c r="P56" s="9"/>
      <c r="Q56" s="2">
        <f>SUM(OSRRefD21_4_0x)+IFERROR(SUM(OSRRefE21_4_0x),0)</f>
        <v>6132.8099999999995</v>
      </c>
    </row>
    <row r="57" spans="1:17" s="34" customFormat="1" collapsed="1" x14ac:dyDescent="0.25">
      <c r="A57" s="35"/>
      <c r="B57" s="15" t="str">
        <f>CONCATENATE("     ","Depreciation                                      ")</f>
        <v xml:space="preserve">     Depreciation                                      </v>
      </c>
      <c r="C57" s="15"/>
      <c r="D57" s="1">
        <f>SUM(OSRRefD21_5x_0)</f>
        <v>37769.03</v>
      </c>
      <c r="E57" s="1">
        <f>SUM(OSRRefD21_5x_1)</f>
        <v>38466.019999999997</v>
      </c>
      <c r="F57" s="1">
        <f>SUM(OSRRefD21_5x_2)</f>
        <v>38440.44</v>
      </c>
      <c r="G57" s="1">
        <f>SUM(OSRRefD21_5x_3)</f>
        <v>37536.629999999997</v>
      </c>
      <c r="H57" s="1">
        <f>SUM(OSRRefE21_5x_0)</f>
        <v>37930</v>
      </c>
      <c r="I57" s="1">
        <f>SUM(OSRRefE21_5x_1)</f>
        <v>37930</v>
      </c>
      <c r="J57" s="1">
        <f>SUM(OSRRefE21_5x_2)</f>
        <v>37930</v>
      </c>
      <c r="K57" s="1">
        <f>SUM(OSRRefE21_5x_3)</f>
        <v>37930</v>
      </c>
      <c r="L57" s="1">
        <f>SUM(OSRRefE21_5x_4)</f>
        <v>37930</v>
      </c>
      <c r="M57" s="1">
        <f>SUM(OSRRefE21_5x_5)</f>
        <v>37930</v>
      </c>
      <c r="N57" s="1">
        <f>SUM(OSRRefE21_5x_6)</f>
        <v>37930</v>
      </c>
      <c r="O57" s="1">
        <f>SUM(OSRRefE21_5x_7)</f>
        <v>35790</v>
      </c>
      <c r="Q57" s="2">
        <f>SUM(OSRRefD20_5x)+IFERROR(SUM(OSRRefE20_5x),0)</f>
        <v>453512.12</v>
      </c>
    </row>
    <row r="58" spans="1:17" s="34" customFormat="1" hidden="1" outlineLevel="1" x14ac:dyDescent="0.25">
      <c r="A58" s="35"/>
      <c r="B58" s="13" t="str">
        <f>CONCATENATE("          ","6321", " - ","BUILDING DEPRECIATION")</f>
        <v xml:space="preserve">          6321 - BUILDING DEPRECIATION</v>
      </c>
      <c r="C58" s="15"/>
      <c r="D58" s="2">
        <v>23844.89</v>
      </c>
      <c r="E58" s="2">
        <v>23844.89</v>
      </c>
      <c r="F58" s="2">
        <v>23844.880000000001</v>
      </c>
      <c r="G58" s="2">
        <v>23583.489999999998</v>
      </c>
      <c r="H58" s="2"/>
      <c r="I58" s="2"/>
      <c r="J58" s="2"/>
      <c r="K58" s="2"/>
      <c r="L58" s="2"/>
      <c r="M58" s="2"/>
      <c r="N58" s="2"/>
      <c r="O58" s="2"/>
      <c r="P58" s="9"/>
      <c r="Q58" s="2">
        <f>SUM(OSRRefD21_5_0x)+IFERROR(SUM(OSRRefE21_5_0x),0)</f>
        <v>95118.15</v>
      </c>
    </row>
    <row r="59" spans="1:17" s="34" customFormat="1" hidden="1" outlineLevel="1" x14ac:dyDescent="0.25">
      <c r="A59" s="35"/>
      <c r="B59" s="13" t="str">
        <f>CONCATENATE("          ","6322", " - ","EQUIPMENT DEPRECIATION EXPENSE")</f>
        <v xml:space="preserve">          6322 - EQUIPMENT DEPRECIATION EXPENSE</v>
      </c>
      <c r="C59" s="15"/>
      <c r="D59" s="2">
        <v>13924.14</v>
      </c>
      <c r="E59" s="2">
        <v>14621.13</v>
      </c>
      <c r="F59" s="2">
        <v>14595.56</v>
      </c>
      <c r="G59" s="2">
        <v>13953.14</v>
      </c>
      <c r="H59" s="2">
        <v>37380</v>
      </c>
      <c r="I59" s="2">
        <v>37380</v>
      </c>
      <c r="J59" s="2">
        <v>37380</v>
      </c>
      <c r="K59" s="2">
        <v>37380</v>
      </c>
      <c r="L59" s="2">
        <v>37380</v>
      </c>
      <c r="M59" s="2">
        <v>37380</v>
      </c>
      <c r="N59" s="2">
        <v>37380</v>
      </c>
      <c r="O59" s="2">
        <v>35240</v>
      </c>
      <c r="P59" s="9"/>
      <c r="Q59" s="2">
        <f>SUM(OSRRefD21_5_1x)+IFERROR(SUM(OSRRefE21_5_1x),0)</f>
        <v>353993.97</v>
      </c>
    </row>
    <row r="60" spans="1:17" s="34" customFormat="1" hidden="1" outlineLevel="1" x14ac:dyDescent="0.25">
      <c r="A60" s="35"/>
      <c r="B60" s="13" t="str">
        <f>CONCATENATE("          ","6326", " - ","VEHICLES DEPRECIATION EXPENSE")</f>
        <v xml:space="preserve">          6326 - VEHICLES DEPRECIATION EXPENSE</v>
      </c>
      <c r="C60" s="15"/>
      <c r="D60" s="2"/>
      <c r="E60" s="2"/>
      <c r="F60" s="2"/>
      <c r="G60" s="2"/>
      <c r="H60" s="2">
        <v>550</v>
      </c>
      <c r="I60" s="2">
        <v>550</v>
      </c>
      <c r="J60" s="2">
        <v>550</v>
      </c>
      <c r="K60" s="2">
        <v>550</v>
      </c>
      <c r="L60" s="2">
        <v>550</v>
      </c>
      <c r="M60" s="2">
        <v>550</v>
      </c>
      <c r="N60" s="2">
        <v>550</v>
      </c>
      <c r="O60" s="2">
        <v>550</v>
      </c>
      <c r="P60" s="9"/>
      <c r="Q60" s="2">
        <f>SUM(OSRRefD21_5_2x)+IFERROR(SUM(OSRRefE21_5_2x),0)</f>
        <v>4400</v>
      </c>
    </row>
    <row r="61" spans="1:17" s="34" customFormat="1" collapsed="1" x14ac:dyDescent="0.25">
      <c r="A61" s="35"/>
      <c r="B61" s="15" t="str">
        <f>CONCATENATE("     ","Donations                                         ")</f>
        <v xml:space="preserve">     Donations                                         </v>
      </c>
      <c r="C61" s="15"/>
      <c r="D61" s="1">
        <f>SUM(OSRRefD21_6x_0)</f>
        <v>0</v>
      </c>
      <c r="E61" s="1">
        <f>SUM(OSRRefD21_6x_1)</f>
        <v>2222.02</v>
      </c>
      <c r="F61" s="1">
        <f>SUM(OSRRefD21_6x_2)</f>
        <v>8888.07</v>
      </c>
      <c r="G61" s="1">
        <f>SUM(OSRRefD21_6x_3)</f>
        <v>11110.09</v>
      </c>
      <c r="H61" s="1">
        <f>SUM(OSRRefE21_6x_0)</f>
        <v>12100</v>
      </c>
      <c r="I61" s="1">
        <f>SUM(OSRRefE21_6x_1)</f>
        <v>11100</v>
      </c>
      <c r="J61" s="1">
        <f>SUM(OSRRefE21_6x_2)</f>
        <v>8100</v>
      </c>
      <c r="K61" s="1">
        <f>SUM(OSRRefE21_6x_3)</f>
        <v>11100</v>
      </c>
      <c r="L61" s="1">
        <f>SUM(OSRRefE21_6x_4)</f>
        <v>11100</v>
      </c>
      <c r="M61" s="1">
        <f>SUM(OSRRefE21_6x_5)</f>
        <v>11100</v>
      </c>
      <c r="N61" s="1">
        <f>SUM(OSRRefE21_6x_6)</f>
        <v>8100</v>
      </c>
      <c r="O61" s="1">
        <f>SUM(OSRRefE21_6x_7)</f>
        <v>0</v>
      </c>
      <c r="Q61" s="2">
        <f>SUM(OSRRefD20_6x)+IFERROR(SUM(OSRRefE20_6x),0)</f>
        <v>94920.18</v>
      </c>
    </row>
    <row r="62" spans="1:17" s="34" customFormat="1" hidden="1" outlineLevel="1" x14ac:dyDescent="0.25">
      <c r="A62" s="35"/>
      <c r="B62" s="13" t="str">
        <f>CONCATENATE("          ","6399", " - ","DONATION-ON CAMPUS")</f>
        <v xml:space="preserve">          6399 - DONATION-ON CAMPUS</v>
      </c>
      <c r="C62" s="15"/>
      <c r="D62" s="2"/>
      <c r="E62" s="2">
        <v>2222.02</v>
      </c>
      <c r="F62" s="2">
        <v>8888.07</v>
      </c>
      <c r="G62" s="2">
        <v>11110.09</v>
      </c>
      <c r="H62" s="2">
        <v>12100</v>
      </c>
      <c r="I62" s="2">
        <v>11100</v>
      </c>
      <c r="J62" s="2">
        <v>8100</v>
      </c>
      <c r="K62" s="2">
        <v>11100</v>
      </c>
      <c r="L62" s="2">
        <v>11100</v>
      </c>
      <c r="M62" s="2">
        <v>11100</v>
      </c>
      <c r="N62" s="2">
        <v>8100</v>
      </c>
      <c r="O62" s="2"/>
      <c r="P62" s="9"/>
      <c r="Q62" s="2">
        <f>SUM(OSRRefD21_6_0x)+IFERROR(SUM(OSRRefE21_6_0x),0)</f>
        <v>94920.18</v>
      </c>
    </row>
    <row r="63" spans="1:17" s="34" customFormat="1" collapsed="1" x14ac:dyDescent="0.25">
      <c r="A63" s="35"/>
      <c r="B63" s="15" t="str">
        <f>CONCATENATE("     ","Employees' Appreciation                           ")</f>
        <v xml:space="preserve">     Employees' Appreciation                           </v>
      </c>
      <c r="C63" s="15"/>
      <c r="D63" s="1">
        <f>SUM(OSRRefD21_7x_0)</f>
        <v>0</v>
      </c>
      <c r="E63" s="1">
        <f>SUM(OSRRefD21_7x_1)</f>
        <v>0</v>
      </c>
      <c r="F63" s="1">
        <f>SUM(OSRRefD21_7x_2)</f>
        <v>0</v>
      </c>
      <c r="G63" s="1">
        <f>SUM(OSRRefD21_7x_3)</f>
        <v>0</v>
      </c>
      <c r="H63" s="1">
        <f>SUM(OSRRefE21_7x_0)</f>
        <v>150</v>
      </c>
      <c r="I63" s="1">
        <f>SUM(OSRRefE21_7x_1)</f>
        <v>150</v>
      </c>
      <c r="J63" s="1">
        <f>SUM(OSRRefE21_7x_2)</f>
        <v>150</v>
      </c>
      <c r="K63" s="1">
        <f>SUM(OSRRefE21_7x_3)</f>
        <v>150</v>
      </c>
      <c r="L63" s="1">
        <f>SUM(OSRRefE21_7x_4)</f>
        <v>150</v>
      </c>
      <c r="M63" s="1">
        <f>SUM(OSRRefE21_7x_5)</f>
        <v>150</v>
      </c>
      <c r="N63" s="1">
        <f>SUM(OSRRefE21_7x_6)</f>
        <v>150</v>
      </c>
      <c r="O63" s="1">
        <f>SUM(OSRRefE21_7x_7)</f>
        <v>0</v>
      </c>
      <c r="Q63" s="2">
        <f>SUM(OSRRefD20_7x)+IFERROR(SUM(OSRRefE20_7x),0)</f>
        <v>1050</v>
      </c>
    </row>
    <row r="64" spans="1:17" s="34" customFormat="1" hidden="1" outlineLevel="1" x14ac:dyDescent="0.25">
      <c r="A64" s="35"/>
      <c r="B64" s="13" t="str">
        <f>CONCATENATE("          ","6277", " - ","EMPLOYEE APPRECIATION")</f>
        <v xml:space="preserve">          6277 - EMPLOYEE APPRECIATION</v>
      </c>
      <c r="C64" s="15"/>
      <c r="D64" s="2"/>
      <c r="E64" s="2"/>
      <c r="F64" s="2"/>
      <c r="G64" s="2"/>
      <c r="H64" s="2">
        <v>150</v>
      </c>
      <c r="I64" s="2">
        <v>150</v>
      </c>
      <c r="J64" s="2">
        <v>150</v>
      </c>
      <c r="K64" s="2">
        <v>150</v>
      </c>
      <c r="L64" s="2">
        <v>150</v>
      </c>
      <c r="M64" s="2">
        <v>150</v>
      </c>
      <c r="N64" s="2">
        <v>150</v>
      </c>
      <c r="O64" s="2">
        <v>0</v>
      </c>
      <c r="P64" s="9"/>
      <c r="Q64" s="2">
        <f>SUM(OSRRefD21_7_0x)+IFERROR(SUM(OSRRefE21_7_0x),0)</f>
        <v>1050</v>
      </c>
    </row>
    <row r="65" spans="1:17" s="34" customFormat="1" collapsed="1" x14ac:dyDescent="0.25">
      <c r="A65" s="35"/>
      <c r="B65" s="15" t="str">
        <f>CONCATENATE("     ","Equipment Rental                                  ")</f>
        <v xml:space="preserve">     Equipment Rental                                  </v>
      </c>
      <c r="C65" s="15"/>
      <c r="D65" s="1">
        <f>SUM(OSRRefD21_8x_0)</f>
        <v>1250.5</v>
      </c>
      <c r="E65" s="1">
        <f>SUM(OSRRefD21_8x_1)</f>
        <v>839.01</v>
      </c>
      <c r="F65" s="1">
        <f>SUM(OSRRefD21_8x_2)</f>
        <v>885.78</v>
      </c>
      <c r="G65" s="1">
        <f>SUM(OSRRefD21_8x_3)</f>
        <v>2597.85</v>
      </c>
      <c r="H65" s="1">
        <f>SUM(OSRRefE21_8x_0)</f>
        <v>791</v>
      </c>
      <c r="I65" s="1">
        <f>SUM(OSRRefE21_8x_1)</f>
        <v>785</v>
      </c>
      <c r="J65" s="1">
        <f>SUM(OSRRefE21_8x_2)</f>
        <v>856</v>
      </c>
      <c r="K65" s="1">
        <f>SUM(OSRRefE21_8x_3)</f>
        <v>793</v>
      </c>
      <c r="L65" s="1">
        <f>SUM(OSRRefE21_8x_4)</f>
        <v>810</v>
      </c>
      <c r="M65" s="1">
        <f>SUM(OSRRefE21_8x_5)</f>
        <v>836</v>
      </c>
      <c r="N65" s="1">
        <f>SUM(OSRRefE21_8x_6)</f>
        <v>836</v>
      </c>
      <c r="O65" s="1">
        <f>SUM(OSRRefE21_8x_7)</f>
        <v>785</v>
      </c>
      <c r="Q65" s="2">
        <f>SUM(OSRRefD20_8x)+IFERROR(SUM(OSRRefE20_8x),0)</f>
        <v>12065.14</v>
      </c>
    </row>
    <row r="66" spans="1:17" s="34" customFormat="1" hidden="1" outlineLevel="1" x14ac:dyDescent="0.25">
      <c r="A66" s="35"/>
      <c r="B66" s="13" t="str">
        <f>CONCATENATE("          ","6351", " - ","EQUIPMENT RENTAL")</f>
        <v xml:space="preserve">          6351 - EQUIPMENT RENTAL</v>
      </c>
      <c r="C66" s="15"/>
      <c r="D66" s="2">
        <v>1250.5</v>
      </c>
      <c r="E66" s="2">
        <v>839.01</v>
      </c>
      <c r="F66" s="2">
        <v>885.78</v>
      </c>
      <c r="G66" s="2">
        <v>2597.85</v>
      </c>
      <c r="H66" s="2">
        <v>791</v>
      </c>
      <c r="I66" s="2">
        <v>785</v>
      </c>
      <c r="J66" s="2">
        <v>856</v>
      </c>
      <c r="K66" s="2">
        <v>793</v>
      </c>
      <c r="L66" s="2">
        <v>810</v>
      </c>
      <c r="M66" s="2">
        <v>836</v>
      </c>
      <c r="N66" s="2">
        <v>836</v>
      </c>
      <c r="O66" s="2">
        <v>785</v>
      </c>
      <c r="P66" s="9"/>
      <c r="Q66" s="2">
        <f>SUM(OSRRefD21_8_0x)+IFERROR(SUM(OSRRefE21_8_0x),0)</f>
        <v>12065.14</v>
      </c>
    </row>
    <row r="67" spans="1:17" s="34" customFormat="1" collapsed="1" x14ac:dyDescent="0.25">
      <c r="A67" s="35"/>
      <c r="B67" s="15" t="str">
        <f>CONCATENATE("     ","Freight out/Postage                               ")</f>
        <v xml:space="preserve">     Freight out/Postage                               </v>
      </c>
      <c r="C67" s="15"/>
      <c r="D67" s="1">
        <f>SUM(OSRRefD21_9x_0)</f>
        <v>0</v>
      </c>
      <c r="E67" s="1">
        <f>SUM(OSRRefD21_9x_1)</f>
        <v>0</v>
      </c>
      <c r="F67" s="1">
        <f>SUM(OSRRefD21_9x_2)</f>
        <v>-5.41</v>
      </c>
      <c r="G67" s="1">
        <f>SUM(OSRRefD21_9x_3)</f>
        <v>0</v>
      </c>
      <c r="H67" s="1">
        <f>SUM(OSRRefE21_9x_0)</f>
        <v>0</v>
      </c>
      <c r="I67" s="1">
        <f>SUM(OSRRefE21_9x_1)</f>
        <v>0</v>
      </c>
      <c r="J67" s="1">
        <f>SUM(OSRRefE21_9x_2)</f>
        <v>0</v>
      </c>
      <c r="K67" s="1">
        <f>SUM(OSRRefE21_9x_3)</f>
        <v>0</v>
      </c>
      <c r="L67" s="1">
        <f>SUM(OSRRefE21_9x_4)</f>
        <v>0</v>
      </c>
      <c r="M67" s="1">
        <f>SUM(OSRRefE21_9x_5)</f>
        <v>0</v>
      </c>
      <c r="N67" s="1">
        <f>SUM(OSRRefE21_9x_6)</f>
        <v>0</v>
      </c>
      <c r="O67" s="1">
        <f>SUM(OSRRefE21_9x_7)</f>
        <v>0</v>
      </c>
      <c r="Q67" s="2">
        <f>SUM(OSRRefD20_9x)+IFERROR(SUM(OSRRefE20_9x),0)</f>
        <v>-5.41</v>
      </c>
    </row>
    <row r="68" spans="1:17" s="34" customFormat="1" hidden="1" outlineLevel="1" x14ac:dyDescent="0.25">
      <c r="A68" s="35"/>
      <c r="B68" s="13" t="str">
        <f>CONCATENATE("          ","6307", " - ","POSTAGE")</f>
        <v xml:space="preserve">          6307 - POSTAGE</v>
      </c>
      <c r="C68" s="15"/>
      <c r="D68" s="2"/>
      <c r="E68" s="2"/>
      <c r="F68" s="2">
        <v>-5.41</v>
      </c>
      <c r="G68" s="2"/>
      <c r="H68" s="2"/>
      <c r="I68" s="2"/>
      <c r="J68" s="2"/>
      <c r="K68" s="2"/>
      <c r="L68" s="2"/>
      <c r="M68" s="2"/>
      <c r="N68" s="2"/>
      <c r="O68" s="2"/>
      <c r="P68" s="9"/>
      <c r="Q68" s="2">
        <f>SUM(OSRRefD21_9_0x)+IFERROR(SUM(OSRRefE21_9_0x),0)</f>
        <v>-5.41</v>
      </c>
    </row>
    <row r="69" spans="1:17" s="34" customFormat="1" collapsed="1" x14ac:dyDescent="0.25">
      <c r="A69" s="35"/>
      <c r="B69" s="15" t="str">
        <f>CONCATENATE("     ","General                                           ")</f>
        <v xml:space="preserve">     General                                           </v>
      </c>
      <c r="C69" s="15"/>
      <c r="D69" s="1">
        <f>SUM(OSRRefD21_10x_0)</f>
        <v>10621.85</v>
      </c>
      <c r="E69" s="1">
        <f>SUM(OSRRefD21_10x_1)</f>
        <v>-1026.6199999999999</v>
      </c>
      <c r="F69" s="1">
        <f>SUM(OSRRefD21_10x_2)</f>
        <v>552.16999999999996</v>
      </c>
      <c r="G69" s="1">
        <f>SUM(OSRRefD21_10x_3)</f>
        <v>0</v>
      </c>
      <c r="H69" s="1">
        <f>SUM(OSRRefE21_10x_0)</f>
        <v>420</v>
      </c>
      <c r="I69" s="1">
        <f>SUM(OSRRefE21_10x_1)</f>
        <v>875</v>
      </c>
      <c r="J69" s="1">
        <f>SUM(OSRRefE21_10x_2)</f>
        <v>420</v>
      </c>
      <c r="K69" s="1">
        <f>SUM(OSRRefE21_10x_3)</f>
        <v>2220</v>
      </c>
      <c r="L69" s="1">
        <f>SUM(OSRRefE21_10x_4)</f>
        <v>420</v>
      </c>
      <c r="M69" s="1">
        <f>SUM(OSRRefE21_10x_5)</f>
        <v>420</v>
      </c>
      <c r="N69" s="1">
        <f>SUM(OSRRefE21_10x_6)</f>
        <v>420</v>
      </c>
      <c r="O69" s="1">
        <f>SUM(OSRRefE21_10x_7)</f>
        <v>420</v>
      </c>
      <c r="Q69" s="2">
        <f>SUM(OSRRefD20_10x)+IFERROR(SUM(OSRRefE20_10x),0)</f>
        <v>15762.4</v>
      </c>
    </row>
    <row r="70" spans="1:17" s="34" customFormat="1" hidden="1" outlineLevel="1" x14ac:dyDescent="0.25">
      <c r="A70" s="35"/>
      <c r="B70" s="13" t="str">
        <f>CONCATENATE("          ","6279", " - ","GENERAL EXPENSE")</f>
        <v xml:space="preserve">          6279 - GENERAL EXPENSE</v>
      </c>
      <c r="C70" s="15"/>
      <c r="D70" s="2">
        <v>10621.85</v>
      </c>
      <c r="E70" s="2">
        <v>-1026.6199999999999</v>
      </c>
      <c r="F70" s="2">
        <v>552.16999999999996</v>
      </c>
      <c r="G70" s="2"/>
      <c r="H70" s="2">
        <v>420</v>
      </c>
      <c r="I70" s="2">
        <v>875</v>
      </c>
      <c r="J70" s="2">
        <v>420</v>
      </c>
      <c r="K70" s="2">
        <v>2220</v>
      </c>
      <c r="L70" s="2">
        <v>420</v>
      </c>
      <c r="M70" s="2">
        <v>420</v>
      </c>
      <c r="N70" s="2">
        <v>420</v>
      </c>
      <c r="O70" s="2">
        <v>420</v>
      </c>
      <c r="P70" s="9"/>
      <c r="Q70" s="2">
        <f>SUM(OSRRefD21_10_0x)+IFERROR(SUM(OSRRefE21_10_0x),0)</f>
        <v>15762.4</v>
      </c>
    </row>
    <row r="71" spans="1:17" s="34" customFormat="1" collapsed="1" x14ac:dyDescent="0.25">
      <c r="A71" s="35"/>
      <c r="B71" s="15" t="str">
        <f>CONCATENATE("     ","Insurance                                         ")</f>
        <v xml:space="preserve">     Insurance                                         </v>
      </c>
      <c r="C71" s="15"/>
      <c r="D71" s="1">
        <f>SUM(OSRRefD21_11x_0)</f>
        <v>4246.03</v>
      </c>
      <c r="E71" s="1">
        <f>SUM(OSRRefD21_11x_1)</f>
        <v>4246.03</v>
      </c>
      <c r="F71" s="1">
        <f>SUM(OSRRefD21_11x_2)</f>
        <v>4246.03</v>
      </c>
      <c r="G71" s="1">
        <f>SUM(OSRRefD21_11x_3)</f>
        <v>10358.030000000001</v>
      </c>
      <c r="H71" s="1">
        <f>SUM(OSRRefE21_11x_0)</f>
        <v>4572</v>
      </c>
      <c r="I71" s="1">
        <f>SUM(OSRRefE21_11x_1)</f>
        <v>4572</v>
      </c>
      <c r="J71" s="1">
        <f>SUM(OSRRefE21_11x_2)</f>
        <v>4572</v>
      </c>
      <c r="K71" s="1">
        <f>SUM(OSRRefE21_11x_3)</f>
        <v>4572</v>
      </c>
      <c r="L71" s="1">
        <f>SUM(OSRRefE21_11x_4)</f>
        <v>4572</v>
      </c>
      <c r="M71" s="1">
        <f>SUM(OSRRefE21_11x_5)</f>
        <v>4572</v>
      </c>
      <c r="N71" s="1">
        <f>SUM(OSRRefE21_11x_6)</f>
        <v>4572</v>
      </c>
      <c r="O71" s="1">
        <f>SUM(OSRRefE21_11x_7)</f>
        <v>4572</v>
      </c>
      <c r="Q71" s="2">
        <f>SUM(OSRRefD20_11x)+IFERROR(SUM(OSRRefE20_11x),0)</f>
        <v>59672.12</v>
      </c>
    </row>
    <row r="72" spans="1:17" s="34" customFormat="1" hidden="1" outlineLevel="1" x14ac:dyDescent="0.25">
      <c r="A72" s="35"/>
      <c r="B72" s="13" t="str">
        <f>CONCATENATE("          ","6314", " - ","LIABILITY INSURANCE")</f>
        <v xml:space="preserve">          6314 - LIABILITY INSURANCE</v>
      </c>
      <c r="C72" s="15"/>
      <c r="D72" s="2">
        <v>4246.03</v>
      </c>
      <c r="E72" s="2">
        <v>4246.03</v>
      </c>
      <c r="F72" s="2">
        <v>4246.03</v>
      </c>
      <c r="G72" s="2">
        <v>10358.030000000001</v>
      </c>
      <c r="H72" s="2">
        <v>4572</v>
      </c>
      <c r="I72" s="2">
        <v>4572</v>
      </c>
      <c r="J72" s="2">
        <v>4572</v>
      </c>
      <c r="K72" s="2">
        <v>4572</v>
      </c>
      <c r="L72" s="2">
        <v>4572</v>
      </c>
      <c r="M72" s="2">
        <v>4572</v>
      </c>
      <c r="N72" s="2">
        <v>4572</v>
      </c>
      <c r="O72" s="2">
        <v>4572</v>
      </c>
      <c r="P72" s="9"/>
      <c r="Q72" s="2">
        <f>SUM(OSRRefD21_11_0x)+IFERROR(SUM(OSRRefE21_11_0x),0)</f>
        <v>59672.12</v>
      </c>
    </row>
    <row r="73" spans="1:17" s="34" customFormat="1" collapsed="1" x14ac:dyDescent="0.25">
      <c r="A73" s="35"/>
      <c r="B73" s="15" t="str">
        <f>CONCATENATE("     ","Interest                                          ")</f>
        <v xml:space="preserve">     Interest                                          </v>
      </c>
      <c r="C73" s="15"/>
      <c r="D73" s="1">
        <f>SUM(OSRRefD21_12x_0)</f>
        <v>7510</v>
      </c>
      <c r="E73" s="1">
        <f>SUM(OSRRefD21_12x_1)</f>
        <v>7510</v>
      </c>
      <c r="F73" s="1">
        <f>SUM(OSRRefD21_12x_2)</f>
        <v>7510</v>
      </c>
      <c r="G73" s="1">
        <f>SUM(OSRRefD21_12x_3)</f>
        <v>7023.15</v>
      </c>
      <c r="H73" s="1">
        <f>SUM(OSRRefE21_12x_0)</f>
        <v>7510</v>
      </c>
      <c r="I73" s="1">
        <f>SUM(OSRRefE21_12x_1)</f>
        <v>7510</v>
      </c>
      <c r="J73" s="1">
        <f>SUM(OSRRefE21_12x_2)</f>
        <v>7510</v>
      </c>
      <c r="K73" s="1">
        <f>SUM(OSRRefE21_12x_3)</f>
        <v>7510</v>
      </c>
      <c r="L73" s="1">
        <f>SUM(OSRRefE21_12x_4)</f>
        <v>7510</v>
      </c>
      <c r="M73" s="1">
        <f>SUM(OSRRefE21_12x_5)</f>
        <v>7510</v>
      </c>
      <c r="N73" s="1">
        <f>SUM(OSRRefE21_12x_6)</f>
        <v>7253</v>
      </c>
      <c r="O73" s="1">
        <f>SUM(OSRRefE21_12x_7)</f>
        <v>7253</v>
      </c>
      <c r="Q73" s="2">
        <f>SUM(OSRRefD20_12x)+IFERROR(SUM(OSRRefE20_12x),0)</f>
        <v>89119.15</v>
      </c>
    </row>
    <row r="74" spans="1:17" s="34" customFormat="1" hidden="1" outlineLevel="1" x14ac:dyDescent="0.25">
      <c r="A74" s="35"/>
      <c r="B74" s="13" t="str">
        <f>CONCATENATE("          ","6401", " - ","INTEREST EXPENSE")</f>
        <v xml:space="preserve">          6401 - INTEREST EXPENSE</v>
      </c>
      <c r="C74" s="15"/>
      <c r="D74" s="2">
        <v>7510</v>
      </c>
      <c r="E74" s="2">
        <v>7510</v>
      </c>
      <c r="F74" s="2">
        <v>7510</v>
      </c>
      <c r="G74" s="2">
        <v>7023.15</v>
      </c>
      <c r="H74" s="2">
        <v>7510</v>
      </c>
      <c r="I74" s="2">
        <v>7510</v>
      </c>
      <c r="J74" s="2">
        <v>7510</v>
      </c>
      <c r="K74" s="2">
        <v>7510</v>
      </c>
      <c r="L74" s="2">
        <v>7510</v>
      </c>
      <c r="M74" s="2">
        <v>7510</v>
      </c>
      <c r="N74" s="2">
        <v>7253</v>
      </c>
      <c r="O74" s="2">
        <v>7253</v>
      </c>
      <c r="P74" s="9"/>
      <c r="Q74" s="2">
        <f>SUM(OSRRefD21_12_0x)+IFERROR(SUM(OSRRefE21_12_0x),0)</f>
        <v>89119.15</v>
      </c>
    </row>
    <row r="75" spans="1:17" s="34" customFormat="1" collapsed="1" x14ac:dyDescent="0.25">
      <c r="A75" s="35"/>
      <c r="B75" s="15" t="str">
        <f>CONCATENATE("     ","R/H Commissions                                   ")</f>
        <v xml:space="preserve">     R/H Commissions                                   </v>
      </c>
      <c r="C75" s="15"/>
      <c r="D75" s="1">
        <f>SUM(OSRRefD21_13x_0)</f>
        <v>1151.68</v>
      </c>
      <c r="E75" s="1">
        <f>SUM(OSRRefD21_13x_1)</f>
        <v>3533.81</v>
      </c>
      <c r="F75" s="1">
        <f>SUM(OSRRefD21_13x_2)</f>
        <v>11792.03</v>
      </c>
      <c r="G75" s="1">
        <f>SUM(OSRRefD21_13x_3)</f>
        <v>12242.68</v>
      </c>
      <c r="H75" s="1">
        <f>SUM(OSRRefE21_13x_0)</f>
        <v>10412</v>
      </c>
      <c r="I75" s="1">
        <f>SUM(OSRRefE21_13x_1)</f>
        <v>8746</v>
      </c>
      <c r="J75" s="1">
        <f>SUM(OSRRefE21_13x_2)</f>
        <v>5689</v>
      </c>
      <c r="K75" s="1">
        <f>SUM(OSRRefE21_13x_3)</f>
        <v>12297</v>
      </c>
      <c r="L75" s="1">
        <f>SUM(OSRRefE21_13x_4)</f>
        <v>11857</v>
      </c>
      <c r="M75" s="1">
        <f>SUM(OSRRefE21_13x_5)</f>
        <v>11857</v>
      </c>
      <c r="N75" s="1">
        <f>SUM(OSRRefE21_13x_6)</f>
        <v>6587</v>
      </c>
      <c r="O75" s="1">
        <f>SUM(OSRRefE21_13x_7)</f>
        <v>2000</v>
      </c>
      <c r="Q75" s="2">
        <f>SUM(OSRRefD20_13x)+IFERROR(SUM(OSRRefE20_13x),0)</f>
        <v>98165.2</v>
      </c>
    </row>
    <row r="76" spans="1:17" s="34" customFormat="1" hidden="1" outlineLevel="1" x14ac:dyDescent="0.25">
      <c r="A76" s="35"/>
      <c r="B76" s="13" t="str">
        <f>CONCATENATE("          ","6387", " - ","COMMISSION DUE HOUSING")</f>
        <v xml:space="preserve">          6387 - COMMISSION DUE HOUSING</v>
      </c>
      <c r="C76" s="15"/>
      <c r="D76" s="2">
        <v>1151.68</v>
      </c>
      <c r="E76" s="2">
        <v>3533.81</v>
      </c>
      <c r="F76" s="2">
        <v>11792.03</v>
      </c>
      <c r="G76" s="2">
        <v>12242.68</v>
      </c>
      <c r="H76" s="2">
        <v>10412</v>
      </c>
      <c r="I76" s="2">
        <v>8746</v>
      </c>
      <c r="J76" s="2">
        <v>5689</v>
      </c>
      <c r="K76" s="2">
        <v>12297</v>
      </c>
      <c r="L76" s="2">
        <v>11857</v>
      </c>
      <c r="M76" s="2">
        <v>11857</v>
      </c>
      <c r="N76" s="2">
        <v>6587</v>
      </c>
      <c r="O76" s="2">
        <v>2000</v>
      </c>
      <c r="P76" s="9"/>
      <c r="Q76" s="2">
        <f>SUM(OSRRefD21_13_0x)+IFERROR(SUM(OSRRefE21_13_0x),0)</f>
        <v>98165.2</v>
      </c>
    </row>
    <row r="77" spans="1:17" s="34" customFormat="1" collapsed="1" x14ac:dyDescent="0.25">
      <c r="A77" s="35"/>
      <c r="B77" s="15" t="str">
        <f>CONCATENATE("     ","Rent                                              ")</f>
        <v xml:space="preserve">     Rent                                              </v>
      </c>
      <c r="C77" s="15"/>
      <c r="D77" s="1">
        <f>SUM(OSRRefD21_14x_0)</f>
        <v>0</v>
      </c>
      <c r="E77" s="1">
        <f>SUM(OSRRefD21_14x_1)</f>
        <v>0</v>
      </c>
      <c r="F77" s="1">
        <f>SUM(OSRRefD21_14x_2)</f>
        <v>5550</v>
      </c>
      <c r="G77" s="1">
        <f>SUM(OSRRefD21_14x_3)</f>
        <v>0</v>
      </c>
      <c r="H77" s="1">
        <f>SUM(OSRRefE21_14x_0)</f>
        <v>1943</v>
      </c>
      <c r="I77" s="1">
        <f>SUM(OSRRefE21_14x_1)</f>
        <v>1943</v>
      </c>
      <c r="J77" s="1">
        <f>SUM(OSRRefE21_14x_2)</f>
        <v>1943</v>
      </c>
      <c r="K77" s="1">
        <f>SUM(OSRRefE21_14x_3)</f>
        <v>1943</v>
      </c>
      <c r="L77" s="1">
        <f>SUM(OSRRefE21_14x_4)</f>
        <v>1943</v>
      </c>
      <c r="M77" s="1">
        <f>SUM(OSRRefE21_14x_5)</f>
        <v>1943</v>
      </c>
      <c r="N77" s="1">
        <f>SUM(OSRRefE21_14x_6)</f>
        <v>1943</v>
      </c>
      <c r="O77" s="1">
        <f>SUM(OSRRefE21_14x_7)</f>
        <v>1943</v>
      </c>
      <c r="Q77" s="2">
        <f>SUM(OSRRefD20_14x)+IFERROR(SUM(OSRRefE20_14x),0)</f>
        <v>21094</v>
      </c>
    </row>
    <row r="78" spans="1:17" s="34" customFormat="1" hidden="1" outlineLevel="1" x14ac:dyDescent="0.25">
      <c r="A78" s="35"/>
      <c r="B78" s="13" t="str">
        <f>CONCATENATE("          ","6273", " - ","RENT")</f>
        <v xml:space="preserve">          6273 - RENT</v>
      </c>
      <c r="C78" s="15"/>
      <c r="D78" s="2"/>
      <c r="E78" s="2"/>
      <c r="F78" s="2">
        <v>5550</v>
      </c>
      <c r="G78" s="2"/>
      <c r="H78" s="2">
        <v>1943</v>
      </c>
      <c r="I78" s="2">
        <v>1943</v>
      </c>
      <c r="J78" s="2">
        <v>1943</v>
      </c>
      <c r="K78" s="2">
        <v>1943</v>
      </c>
      <c r="L78" s="2">
        <v>1943</v>
      </c>
      <c r="M78" s="2">
        <v>1943</v>
      </c>
      <c r="N78" s="2">
        <v>1943</v>
      </c>
      <c r="O78" s="2">
        <v>1943</v>
      </c>
      <c r="P78" s="9"/>
      <c r="Q78" s="2">
        <f>SUM(OSRRefD21_14_0x)+IFERROR(SUM(OSRRefE21_14_0x),0)</f>
        <v>21094</v>
      </c>
    </row>
    <row r="79" spans="1:17" s="34" customFormat="1" collapsed="1" x14ac:dyDescent="0.25">
      <c r="A79" s="35"/>
      <c r="B79" s="15" t="str">
        <f>CONCATENATE("     ","Repair and Maintenance                            ")</f>
        <v xml:space="preserve">     Repair and Maintenance                            </v>
      </c>
      <c r="C79" s="15"/>
      <c r="D79" s="1">
        <f>SUM(OSRRefD21_15x_0)</f>
        <v>4112.0599999999995</v>
      </c>
      <c r="E79" s="1">
        <f>SUM(OSRRefD21_15x_1)</f>
        <v>6762.41</v>
      </c>
      <c r="F79" s="1">
        <f>SUM(OSRRefD21_15x_2)</f>
        <v>3046.76</v>
      </c>
      <c r="G79" s="1">
        <f>SUM(OSRRefD21_15x_3)</f>
        <v>4413.82</v>
      </c>
      <c r="H79" s="1">
        <f>SUM(OSRRefE21_15x_0)</f>
        <v>11588</v>
      </c>
      <c r="I79" s="1">
        <f>SUM(OSRRefE21_15x_1)</f>
        <v>1288</v>
      </c>
      <c r="J79" s="1">
        <f>SUM(OSRRefE21_15x_2)</f>
        <v>9288</v>
      </c>
      <c r="K79" s="1">
        <f>SUM(OSRRefE21_15x_3)</f>
        <v>43333</v>
      </c>
      <c r="L79" s="1">
        <f>SUM(OSRRefE21_15x_4)</f>
        <v>1288</v>
      </c>
      <c r="M79" s="1">
        <f>SUM(OSRRefE21_15x_5)</f>
        <v>1288</v>
      </c>
      <c r="N79" s="1">
        <f>SUM(OSRRefE21_15x_6)</f>
        <v>3088</v>
      </c>
      <c r="O79" s="1">
        <f>SUM(OSRRefE21_15x_7)</f>
        <v>288</v>
      </c>
      <c r="Q79" s="2">
        <f>SUM(OSRRefD20_15x)+IFERROR(SUM(OSRRefE20_15x),0)</f>
        <v>89784.05</v>
      </c>
    </row>
    <row r="80" spans="1:17" s="34" customFormat="1" hidden="1" outlineLevel="1" x14ac:dyDescent="0.25">
      <c r="A80" s="35"/>
      <c r="B80" s="13" t="str">
        <f>CONCATENATE("          ","6371", " - ","COMPUTER SOFTWARE MAINTENANCE")</f>
        <v xml:space="preserve">          6371 - COMPUTER SOFTWARE MAINTENANCE</v>
      </c>
      <c r="C80" s="15"/>
      <c r="D80" s="2"/>
      <c r="E80" s="2"/>
      <c r="F80" s="2"/>
      <c r="G80" s="2"/>
      <c r="H80" s="2">
        <v>8500</v>
      </c>
      <c r="I80" s="2"/>
      <c r="J80" s="2">
        <v>8000</v>
      </c>
      <c r="K80" s="2">
        <v>40245</v>
      </c>
      <c r="L80" s="2"/>
      <c r="M80" s="2"/>
      <c r="N80" s="2"/>
      <c r="O80" s="2"/>
      <c r="P80" s="9"/>
      <c r="Q80" s="2">
        <f>SUM(OSRRefD21_15_0x)+IFERROR(SUM(OSRRefE21_15_0x),0)</f>
        <v>56745</v>
      </c>
    </row>
    <row r="81" spans="1:17" s="34" customFormat="1" hidden="1" outlineLevel="1" x14ac:dyDescent="0.25">
      <c r="A81" s="35"/>
      <c r="B81" s="13" t="str">
        <f>CONCATENATE("          ","6372", " - ","COMPUTER HARDWARE MAINTENANCE")</f>
        <v xml:space="preserve">          6372 - COMPUTER HARDWARE MAINTENANCE</v>
      </c>
      <c r="C81" s="15"/>
      <c r="D81" s="2"/>
      <c r="E81" s="2"/>
      <c r="F81" s="2"/>
      <c r="G81" s="2"/>
      <c r="H81" s="2"/>
      <c r="I81" s="2"/>
      <c r="J81" s="2">
        <v>0</v>
      </c>
      <c r="K81" s="2"/>
      <c r="L81" s="2"/>
      <c r="M81" s="2"/>
      <c r="N81" s="2"/>
      <c r="O81" s="2"/>
      <c r="P81" s="9"/>
      <c r="Q81" s="2">
        <f>SUM(OSRRefD21_15_1x)+IFERROR(SUM(OSRRefE21_15_1x),0)</f>
        <v>0</v>
      </c>
    </row>
    <row r="82" spans="1:17" s="34" customFormat="1" hidden="1" outlineLevel="1" x14ac:dyDescent="0.25">
      <c r="A82" s="35"/>
      <c r="B82" s="13" t="str">
        <f>CONCATENATE("          ","6373", " - ","MAINTENANCE CONTRACTS")</f>
        <v xml:space="preserve">          6373 - MAINTENANCE CONTRACTS</v>
      </c>
      <c r="C82" s="15"/>
      <c r="D82" s="2">
        <v>2355.2399999999998</v>
      </c>
      <c r="E82" s="2">
        <v>4161.01</v>
      </c>
      <c r="F82" s="2">
        <v>1889.94</v>
      </c>
      <c r="G82" s="2">
        <v>3197.29</v>
      </c>
      <c r="H82" s="2">
        <v>1838</v>
      </c>
      <c r="I82" s="2">
        <v>38</v>
      </c>
      <c r="J82" s="2">
        <v>38</v>
      </c>
      <c r="K82" s="2">
        <v>1838</v>
      </c>
      <c r="L82" s="2">
        <v>38</v>
      </c>
      <c r="M82" s="2">
        <v>38</v>
      </c>
      <c r="N82" s="2">
        <v>1838</v>
      </c>
      <c r="O82" s="2">
        <v>38</v>
      </c>
      <c r="P82" s="9"/>
      <c r="Q82" s="2">
        <f>SUM(OSRRefD21_15_2x)+IFERROR(SUM(OSRRefE21_15_2x),0)</f>
        <v>17307.48</v>
      </c>
    </row>
    <row r="83" spans="1:17" s="34" customFormat="1" hidden="1" outlineLevel="1" x14ac:dyDescent="0.25">
      <c r="A83" s="35"/>
      <c r="B83" s="13" t="str">
        <f>CONCATENATE("          ","6375", " - ","OUTSIDE REPAIRS &amp; MAINTENANCE")</f>
        <v xml:space="preserve">          6375 - OUTSIDE REPAIRS &amp; MAINTENANCE</v>
      </c>
      <c r="C83" s="15"/>
      <c r="D83" s="2">
        <v>1756.82</v>
      </c>
      <c r="E83" s="2">
        <v>2601.4</v>
      </c>
      <c r="F83" s="2">
        <v>1156.82</v>
      </c>
      <c r="G83" s="2">
        <v>1216.53</v>
      </c>
      <c r="H83" s="2">
        <v>1250</v>
      </c>
      <c r="I83" s="2">
        <v>1250</v>
      </c>
      <c r="J83" s="2">
        <v>1250</v>
      </c>
      <c r="K83" s="2">
        <v>1250</v>
      </c>
      <c r="L83" s="2">
        <v>1250</v>
      </c>
      <c r="M83" s="2">
        <v>1250</v>
      </c>
      <c r="N83" s="2">
        <v>1250</v>
      </c>
      <c r="O83" s="2">
        <v>250</v>
      </c>
      <c r="P83" s="9"/>
      <c r="Q83" s="2">
        <f>SUM(OSRRefD21_15_3x)+IFERROR(SUM(OSRRefE21_15_3x),0)</f>
        <v>15731.57</v>
      </c>
    </row>
    <row r="84" spans="1:17" s="34" customFormat="1" collapsed="1" x14ac:dyDescent="0.25">
      <c r="A84" s="35"/>
      <c r="B84" s="15" t="str">
        <f>CONCATENATE("     ","Royalty &amp; Commissions                             ")</f>
        <v xml:space="preserve">     Royalty &amp; Commissions                             </v>
      </c>
      <c r="C84" s="15"/>
      <c r="D84" s="1">
        <f>SUM(OSRRefD21_16x_0)</f>
        <v>0</v>
      </c>
      <c r="E84" s="1">
        <f>SUM(OSRRefD21_16x_1)</f>
        <v>0</v>
      </c>
      <c r="F84" s="1">
        <f>SUM(OSRRefD21_16x_2)</f>
        <v>0</v>
      </c>
      <c r="G84" s="1">
        <f>SUM(OSRRefD21_16x_3)</f>
        <v>0</v>
      </c>
      <c r="H84" s="1">
        <f>SUM(OSRRefE21_16x_0)</f>
        <v>0</v>
      </c>
      <c r="I84" s="1">
        <f>SUM(OSRRefE21_16x_1)</f>
        <v>0</v>
      </c>
      <c r="J84" s="1">
        <f>SUM(OSRRefE21_16x_2)</f>
        <v>0</v>
      </c>
      <c r="K84" s="1">
        <f>SUM(OSRRefE21_16x_3)</f>
        <v>0</v>
      </c>
      <c r="L84" s="1">
        <f>SUM(OSRRefE21_16x_4)</f>
        <v>0</v>
      </c>
      <c r="M84" s="1">
        <f>SUM(OSRRefE21_16x_5)</f>
        <v>0</v>
      </c>
      <c r="N84" s="1">
        <f>SUM(OSRRefE21_16x_6)</f>
        <v>0</v>
      </c>
      <c r="O84" s="1">
        <f>SUM(OSRRefE21_16x_7)</f>
        <v>0</v>
      </c>
      <c r="Q84" s="2">
        <f>SUM(OSRRefD20_16x)+IFERROR(SUM(OSRRefE20_16x),0)</f>
        <v>0</v>
      </c>
    </row>
    <row r="85" spans="1:17" s="34" customFormat="1" hidden="1" outlineLevel="1" x14ac:dyDescent="0.25">
      <c r="A85" s="35"/>
      <c r="B85" s="13" t="str">
        <f>CONCATENATE("          ","6254", " - ","ROYALTY &amp; COMMISSIONS")</f>
        <v xml:space="preserve">          6254 - ROYALTY &amp; COMMISSIONS</v>
      </c>
      <c r="C85" s="15"/>
      <c r="D85" s="2"/>
      <c r="E85" s="2"/>
      <c r="F85" s="2"/>
      <c r="G85" s="2"/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9"/>
      <c r="Q85" s="2">
        <f>SUM(OSRRefD21_16_0x)+IFERROR(SUM(OSRRefE21_16_0x),0)</f>
        <v>0</v>
      </c>
    </row>
    <row r="86" spans="1:17" s="34" customFormat="1" hidden="1" outlineLevel="1" x14ac:dyDescent="0.25">
      <c r="A86" s="35"/>
      <c r="B86" s="13" t="str">
        <f>CONCATENATE("          ","6259", " - ","ROYALTY &amp; COMMISSIONS")</f>
        <v xml:space="preserve">          6259 - ROYALTY &amp; COMMISSIONS</v>
      </c>
      <c r="C86" s="15"/>
      <c r="D86" s="2"/>
      <c r="E86" s="2"/>
      <c r="F86" s="2"/>
      <c r="G86" s="2"/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9"/>
      <c r="Q86" s="2">
        <f>SUM(OSRRefD21_16_1x)+IFERROR(SUM(OSRRefE21_16_1x),0)</f>
        <v>0</v>
      </c>
    </row>
    <row r="87" spans="1:17" s="34" customFormat="1" collapsed="1" x14ac:dyDescent="0.25">
      <c r="A87" s="35"/>
      <c r="B87" s="15" t="str">
        <f>CONCATENATE("     ","Services                                          ")</f>
        <v xml:space="preserve">     Services                                          </v>
      </c>
      <c r="C87" s="15"/>
      <c r="D87" s="1">
        <f>SUM(OSRRefD21_17x_0)</f>
        <v>12759.87</v>
      </c>
      <c r="E87" s="1">
        <f>SUM(OSRRefD21_17x_1)</f>
        <v>12221.41</v>
      </c>
      <c r="F87" s="1">
        <f>SUM(OSRRefD21_17x_2)</f>
        <v>17313.03</v>
      </c>
      <c r="G87" s="1">
        <f>SUM(OSRRefD21_17x_3)</f>
        <v>18350.830000000002</v>
      </c>
      <c r="H87" s="1">
        <f>SUM(OSRRefE21_17x_0)</f>
        <v>20797</v>
      </c>
      <c r="I87" s="1">
        <f>SUM(OSRRefE21_17x_1)</f>
        <v>21572</v>
      </c>
      <c r="J87" s="1">
        <f>SUM(OSRRefE21_17x_2)</f>
        <v>22377</v>
      </c>
      <c r="K87" s="1">
        <f>SUM(OSRRefE21_17x_3)</f>
        <v>21732</v>
      </c>
      <c r="L87" s="1">
        <f>SUM(OSRRefE21_17x_4)</f>
        <v>21369</v>
      </c>
      <c r="M87" s="1">
        <f>SUM(OSRRefE21_17x_5)</f>
        <v>21517</v>
      </c>
      <c r="N87" s="1">
        <f>SUM(OSRRefE21_17x_6)</f>
        <v>21369</v>
      </c>
      <c r="O87" s="1">
        <f>SUM(OSRRefE21_17x_7)</f>
        <v>22144</v>
      </c>
      <c r="Q87" s="2">
        <f>SUM(OSRRefD20_17x)+IFERROR(SUM(OSRRefE20_17x),0)</f>
        <v>233522.14</v>
      </c>
    </row>
    <row r="88" spans="1:17" s="34" customFormat="1" hidden="1" outlineLevel="1" x14ac:dyDescent="0.25">
      <c r="A88" s="35"/>
      <c r="B88" s="13" t="str">
        <f>CONCATENATE("          ","6282", " - ","JANITORIAL/EXTERMINATOR EXPENS")</f>
        <v xml:space="preserve">          6282 - JANITORIAL/EXTERMINATOR EXPENS</v>
      </c>
      <c r="C88" s="15"/>
      <c r="D88" s="2">
        <v>1508.3</v>
      </c>
      <c r="E88" s="2">
        <v>1396.32</v>
      </c>
      <c r="F88" s="2">
        <v>8.36</v>
      </c>
      <c r="G88" s="2">
        <v>2597.6799999999998</v>
      </c>
      <c r="H88" s="2">
        <v>2705</v>
      </c>
      <c r="I88" s="2">
        <v>3332</v>
      </c>
      <c r="J88" s="2">
        <v>2705</v>
      </c>
      <c r="K88" s="2">
        <v>2705</v>
      </c>
      <c r="L88" s="2">
        <v>2705</v>
      </c>
      <c r="M88" s="2">
        <v>2705</v>
      </c>
      <c r="N88" s="2">
        <v>2705</v>
      </c>
      <c r="O88" s="2">
        <v>3332</v>
      </c>
      <c r="P88" s="9"/>
      <c r="Q88" s="2">
        <f>SUM(OSRRefD21_17_0x)+IFERROR(SUM(OSRRefE21_17_0x),0)</f>
        <v>28404.66</v>
      </c>
    </row>
    <row r="89" spans="1:17" s="34" customFormat="1" hidden="1" outlineLevel="1" x14ac:dyDescent="0.25">
      <c r="A89" s="35"/>
      <c r="B89" s="13" t="str">
        <f>CONCATENATE("          ","6283", " - ","PLANT SERVICE")</f>
        <v xml:space="preserve">          6283 - PLANT SERVICE</v>
      </c>
      <c r="C89" s="15"/>
      <c r="D89" s="2"/>
      <c r="E89" s="2"/>
      <c r="F89" s="2"/>
      <c r="G89" s="2"/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9"/>
      <c r="Q89" s="2">
        <f>SUM(OSRRefD21_17_1x)+IFERROR(SUM(OSRRefE21_17_1x),0)</f>
        <v>0</v>
      </c>
    </row>
    <row r="90" spans="1:17" s="34" customFormat="1" hidden="1" outlineLevel="1" x14ac:dyDescent="0.25">
      <c r="A90" s="35"/>
      <c r="B90" s="13" t="str">
        <f>CONCATENATE("          ","6284", " - ","TRASH REMOVAL EXPENSE")</f>
        <v xml:space="preserve">          6284 - TRASH REMOVAL EXPENSE</v>
      </c>
      <c r="C90" s="15"/>
      <c r="D90" s="2">
        <v>1000</v>
      </c>
      <c r="E90" s="2">
        <v>1000</v>
      </c>
      <c r="F90" s="2">
        <v>761</v>
      </c>
      <c r="G90" s="2">
        <v>5369</v>
      </c>
      <c r="H90" s="2">
        <v>3623</v>
      </c>
      <c r="I90" s="2">
        <v>3623</v>
      </c>
      <c r="J90" s="2">
        <v>3623</v>
      </c>
      <c r="K90" s="2">
        <v>3623</v>
      </c>
      <c r="L90" s="2">
        <v>3623</v>
      </c>
      <c r="M90" s="2">
        <v>3623</v>
      </c>
      <c r="N90" s="2">
        <v>3623</v>
      </c>
      <c r="O90" s="2">
        <v>3623</v>
      </c>
      <c r="P90" s="9"/>
      <c r="Q90" s="2">
        <f>SUM(OSRRefD21_17_2x)+IFERROR(SUM(OSRRefE21_17_2x),0)</f>
        <v>37114</v>
      </c>
    </row>
    <row r="91" spans="1:17" s="34" customFormat="1" hidden="1" outlineLevel="1" x14ac:dyDescent="0.25">
      <c r="A91" s="35"/>
      <c r="B91" s="13" t="str">
        <f>CONCATENATE("          ","6285", " - ","JANITORIAL SERVICES")</f>
        <v xml:space="preserve">          6285 - JANITORIAL SERVICES</v>
      </c>
      <c r="C91" s="15"/>
      <c r="D91" s="2">
        <v>8314.1</v>
      </c>
      <c r="E91" s="2">
        <v>7312.63</v>
      </c>
      <c r="F91" s="2">
        <v>15033.729999999998</v>
      </c>
      <c r="G91" s="2">
        <v>8351.15</v>
      </c>
      <c r="H91" s="2">
        <v>11469</v>
      </c>
      <c r="I91" s="2">
        <v>11469</v>
      </c>
      <c r="J91" s="2">
        <v>13049</v>
      </c>
      <c r="K91" s="2">
        <v>12256</v>
      </c>
      <c r="L91" s="2">
        <v>12041</v>
      </c>
      <c r="M91" s="2">
        <v>12041</v>
      </c>
      <c r="N91" s="2">
        <v>12041</v>
      </c>
      <c r="O91" s="2">
        <v>12041</v>
      </c>
      <c r="P91" s="9"/>
      <c r="Q91" s="2">
        <f>SUM(OSRRefD21_17_3x)+IFERROR(SUM(OSRRefE21_17_3x),0)</f>
        <v>135418.60999999999</v>
      </c>
    </row>
    <row r="92" spans="1:17" s="34" customFormat="1" hidden="1" outlineLevel="1" x14ac:dyDescent="0.25">
      <c r="A92" s="35"/>
      <c r="B92" s="13" t="str">
        <f>CONCATENATE("          ","6286", " - ","LAUNDRY EXPENSE")</f>
        <v xml:space="preserve">          6286 - LAUNDRY EXPENSE</v>
      </c>
      <c r="C92" s="15"/>
      <c r="D92" s="2">
        <v>1937.47</v>
      </c>
      <c r="E92" s="2">
        <v>2512.46</v>
      </c>
      <c r="F92" s="2">
        <v>1509.94</v>
      </c>
      <c r="G92" s="2">
        <v>2033</v>
      </c>
      <c r="H92" s="2">
        <v>3000</v>
      </c>
      <c r="I92" s="2">
        <v>3148</v>
      </c>
      <c r="J92" s="2">
        <v>3000</v>
      </c>
      <c r="K92" s="2">
        <v>3148</v>
      </c>
      <c r="L92" s="2">
        <v>3000</v>
      </c>
      <c r="M92" s="2">
        <v>3148</v>
      </c>
      <c r="N92" s="2">
        <v>3000</v>
      </c>
      <c r="O92" s="2">
        <v>3148</v>
      </c>
      <c r="P92" s="9"/>
      <c r="Q92" s="2">
        <f>SUM(OSRRefD21_17_4x)+IFERROR(SUM(OSRRefE21_17_4x),0)</f>
        <v>32584.870000000003</v>
      </c>
    </row>
    <row r="93" spans="1:17" s="34" customFormat="1" collapsed="1" x14ac:dyDescent="0.25">
      <c r="A93" s="35"/>
      <c r="B93" s="15" t="str">
        <f>CONCATENATE("     ","Subscriptions &amp; Dues                              ")</f>
        <v xml:space="preserve">     Subscriptions &amp; Dues                              </v>
      </c>
      <c r="C93" s="15"/>
      <c r="D93" s="1">
        <f>SUM(OSRRefD21_18x_0)</f>
        <v>9.32</v>
      </c>
      <c r="E93" s="1">
        <f>SUM(OSRRefD21_18x_1)</f>
        <v>0</v>
      </c>
      <c r="F93" s="1">
        <f>SUM(OSRRefD21_18x_2)</f>
        <v>131.34</v>
      </c>
      <c r="G93" s="1">
        <f>SUM(OSRRefD21_18x_3)</f>
        <v>130.66999999999999</v>
      </c>
      <c r="H93" s="1">
        <f>SUM(OSRRefE21_18x_0)</f>
        <v>197</v>
      </c>
      <c r="I93" s="1">
        <f>SUM(OSRRefE21_18x_1)</f>
        <v>1097</v>
      </c>
      <c r="J93" s="1">
        <f>SUM(OSRRefE21_18x_2)</f>
        <v>197</v>
      </c>
      <c r="K93" s="1">
        <f>SUM(OSRRefE21_18x_3)</f>
        <v>202</v>
      </c>
      <c r="L93" s="1">
        <f>SUM(OSRRefE21_18x_4)</f>
        <v>200</v>
      </c>
      <c r="M93" s="1">
        <f>SUM(OSRRefE21_18x_5)</f>
        <v>200</v>
      </c>
      <c r="N93" s="1">
        <f>SUM(OSRRefE21_18x_6)</f>
        <v>200</v>
      </c>
      <c r="O93" s="1">
        <f>SUM(OSRRefE21_18x_7)</f>
        <v>200</v>
      </c>
      <c r="Q93" s="2">
        <f>SUM(OSRRefD20_18x)+IFERROR(SUM(OSRRefE20_18x),0)</f>
        <v>2764.33</v>
      </c>
    </row>
    <row r="94" spans="1:17" s="34" customFormat="1" hidden="1" outlineLevel="1" x14ac:dyDescent="0.25">
      <c r="A94" s="35"/>
      <c r="B94" s="13" t="str">
        <f>CONCATENATE("          ","6258", " - ","MEMBERSHIP DUES")</f>
        <v xml:space="preserve">          6258 - MEMBERSHIP DUES</v>
      </c>
      <c r="C94" s="15"/>
      <c r="D94" s="2"/>
      <c r="E94" s="2"/>
      <c r="F94" s="2"/>
      <c r="G94" s="2"/>
      <c r="H94" s="2"/>
      <c r="I94" s="2">
        <v>900</v>
      </c>
      <c r="J94" s="2"/>
      <c r="K94" s="2"/>
      <c r="L94" s="2"/>
      <c r="M94" s="2"/>
      <c r="N94" s="2"/>
      <c r="O94" s="2"/>
      <c r="P94" s="9"/>
      <c r="Q94" s="2">
        <f>SUM(OSRRefD21_18_0x)+IFERROR(SUM(OSRRefE21_18_0x),0)</f>
        <v>900</v>
      </c>
    </row>
    <row r="95" spans="1:17" s="34" customFormat="1" hidden="1" outlineLevel="1" x14ac:dyDescent="0.25">
      <c r="A95" s="35"/>
      <c r="B95" s="13" t="str">
        <f>CONCATENATE("          ","6275", " - ","SUBSCRIPTIONS")</f>
        <v xml:space="preserve">          6275 - SUBSCRIPTIONS</v>
      </c>
      <c r="C95" s="15"/>
      <c r="D95" s="2">
        <v>9.32</v>
      </c>
      <c r="E95" s="2"/>
      <c r="F95" s="2">
        <v>131.34</v>
      </c>
      <c r="G95" s="2">
        <v>130.66999999999999</v>
      </c>
      <c r="H95" s="2">
        <v>197</v>
      </c>
      <c r="I95" s="2">
        <v>197</v>
      </c>
      <c r="J95" s="2">
        <v>197</v>
      </c>
      <c r="K95" s="2">
        <v>202</v>
      </c>
      <c r="L95" s="2">
        <v>200</v>
      </c>
      <c r="M95" s="2">
        <v>200</v>
      </c>
      <c r="N95" s="2">
        <v>200</v>
      </c>
      <c r="O95" s="2">
        <v>200</v>
      </c>
      <c r="P95" s="9"/>
      <c r="Q95" s="2">
        <f>SUM(OSRRefD21_18_1x)+IFERROR(SUM(OSRRefE21_18_1x),0)</f>
        <v>1864.33</v>
      </c>
    </row>
    <row r="96" spans="1:17" s="34" customFormat="1" collapsed="1" x14ac:dyDescent="0.25">
      <c r="A96" s="35"/>
      <c r="B96" s="15" t="str">
        <f>CONCATENATE("     ","Supplies                                          ")</f>
        <v xml:space="preserve">     Supplies                                          </v>
      </c>
      <c r="C96" s="15"/>
      <c r="D96" s="1">
        <f>SUM(OSRRefD21_19x_0)</f>
        <v>7354.66</v>
      </c>
      <c r="E96" s="1">
        <f>SUM(OSRRefD21_19x_1)</f>
        <v>-9521.130000000001</v>
      </c>
      <c r="F96" s="1">
        <f>SUM(OSRRefD21_19x_2)</f>
        <v>9165.2500000000018</v>
      </c>
      <c r="G96" s="1">
        <f>SUM(OSRRefD21_19x_3)</f>
        <v>25971.45</v>
      </c>
      <c r="H96" s="1">
        <f>SUM(OSRRefE21_19x_0)</f>
        <v>9393</v>
      </c>
      <c r="I96" s="1">
        <f>SUM(OSRRefE21_19x_1)</f>
        <v>9393</v>
      </c>
      <c r="J96" s="1">
        <f>SUM(OSRRefE21_19x_2)</f>
        <v>9473</v>
      </c>
      <c r="K96" s="1">
        <f>SUM(OSRRefE21_19x_3)</f>
        <v>9393</v>
      </c>
      <c r="L96" s="1">
        <f>SUM(OSRRefE21_19x_4)</f>
        <v>9393</v>
      </c>
      <c r="M96" s="1">
        <f>SUM(OSRRefE21_19x_5)</f>
        <v>9473</v>
      </c>
      <c r="N96" s="1">
        <f>SUM(OSRRefE21_19x_6)</f>
        <v>9393</v>
      </c>
      <c r="O96" s="1">
        <f>SUM(OSRRefE21_19x_7)</f>
        <v>3375</v>
      </c>
      <c r="Q96" s="2">
        <f>SUM(OSRRefD20_19x)+IFERROR(SUM(OSRRefE20_19x),0)</f>
        <v>102256.23000000001</v>
      </c>
    </row>
    <row r="97" spans="1:17" s="34" customFormat="1" hidden="1" outlineLevel="1" x14ac:dyDescent="0.25">
      <c r="A97" s="35"/>
      <c r="B97" s="13" t="str">
        <f>CONCATENATE("          ","6234", " - ","EXPENDABLE SUPPLIES &amp; EQUIPMEN")</f>
        <v xml:space="preserve">          6234 - EXPENDABLE SUPPLIES &amp; EQUIPMEN</v>
      </c>
      <c r="C97" s="15"/>
      <c r="D97" s="2"/>
      <c r="E97" s="2">
        <v>255.78</v>
      </c>
      <c r="F97" s="2"/>
      <c r="G97" s="2">
        <v>55.13</v>
      </c>
      <c r="H97" s="2">
        <v>600</v>
      </c>
      <c r="I97" s="2">
        <v>600</v>
      </c>
      <c r="J97" s="2">
        <v>600</v>
      </c>
      <c r="K97" s="2">
        <v>600</v>
      </c>
      <c r="L97" s="2">
        <v>600</v>
      </c>
      <c r="M97" s="2">
        <v>600</v>
      </c>
      <c r="N97" s="2">
        <v>600</v>
      </c>
      <c r="O97" s="2">
        <v>600</v>
      </c>
      <c r="P97" s="9"/>
      <c r="Q97" s="2">
        <f>SUM(OSRRefD21_19_0x)+IFERROR(SUM(OSRRefE21_19_0x),0)</f>
        <v>5110.91</v>
      </c>
    </row>
    <row r="98" spans="1:17" s="34" customFormat="1" hidden="1" outlineLevel="1" x14ac:dyDescent="0.25">
      <c r="A98" s="35"/>
      <c r="B98" s="13" t="str">
        <f>CONCATENATE("          ","6235", " - ","COVID-19 EXPENSES")</f>
        <v xml:space="preserve">          6235 - COVID-19 EXPENSES</v>
      </c>
      <c r="C98" s="15"/>
      <c r="D98" s="2">
        <v>5501.94</v>
      </c>
      <c r="E98" s="2">
        <v>8993.76</v>
      </c>
      <c r="F98" s="2">
        <v>4045.26</v>
      </c>
      <c r="G98" s="2">
        <v>19427.550000000003</v>
      </c>
      <c r="H98" s="2">
        <v>4200</v>
      </c>
      <c r="I98" s="2">
        <v>4200</v>
      </c>
      <c r="J98" s="2">
        <v>4200</v>
      </c>
      <c r="K98" s="2">
        <v>4200</v>
      </c>
      <c r="L98" s="2">
        <v>4200</v>
      </c>
      <c r="M98" s="2">
        <v>4200</v>
      </c>
      <c r="N98" s="2">
        <v>4200</v>
      </c>
      <c r="O98" s="2">
        <v>2200</v>
      </c>
      <c r="P98" s="9"/>
      <c r="Q98" s="2">
        <f>SUM(OSRRefD21_19_1x)+IFERROR(SUM(OSRRefE21_19_1x),0)</f>
        <v>69568.510000000009</v>
      </c>
    </row>
    <row r="99" spans="1:17" s="34" customFormat="1" hidden="1" outlineLevel="1" x14ac:dyDescent="0.25">
      <c r="A99" s="35"/>
      <c r="B99" s="13" t="str">
        <f>CONCATENATE("          ","6237", " - ","JANITORIAL SUPPLIES")</f>
        <v xml:space="preserve">          6237 - JANITORIAL SUPPLIES</v>
      </c>
      <c r="C99" s="15"/>
      <c r="D99" s="2">
        <v>1188.04</v>
      </c>
      <c r="E99" s="2">
        <v>1416.91</v>
      </c>
      <c r="F99" s="2">
        <v>3488.76</v>
      </c>
      <c r="G99" s="2">
        <v>2066.5</v>
      </c>
      <c r="H99" s="2">
        <v>3200</v>
      </c>
      <c r="I99" s="2">
        <v>3200</v>
      </c>
      <c r="J99" s="2">
        <v>3200</v>
      </c>
      <c r="K99" s="2">
        <v>3200</v>
      </c>
      <c r="L99" s="2">
        <v>3200</v>
      </c>
      <c r="M99" s="2">
        <v>3200</v>
      </c>
      <c r="N99" s="2">
        <v>3200</v>
      </c>
      <c r="O99" s="2">
        <v>200</v>
      </c>
      <c r="P99" s="9"/>
      <c r="Q99" s="2">
        <f>SUM(OSRRefD21_19_2x)+IFERROR(SUM(OSRRefE21_19_2x),0)</f>
        <v>30760.21</v>
      </c>
    </row>
    <row r="100" spans="1:17" s="34" customFormat="1" hidden="1" outlineLevel="1" x14ac:dyDescent="0.25">
      <c r="A100" s="35"/>
      <c r="B100" s="13" t="str">
        <f>CONCATENATE("          ","6239", " - ","KITCHEN SUPPLIES")</f>
        <v xml:space="preserve">          6239 - KITCHEN SUPPLIES</v>
      </c>
      <c r="C100" s="15"/>
      <c r="D100" s="2">
        <v>50</v>
      </c>
      <c r="E100" s="2">
        <v>2324.31</v>
      </c>
      <c r="F100" s="2">
        <v>553.01</v>
      </c>
      <c r="G100" s="2">
        <v>1264.19</v>
      </c>
      <c r="H100" s="2">
        <v>500</v>
      </c>
      <c r="I100" s="2">
        <v>500</v>
      </c>
      <c r="J100" s="2">
        <v>500</v>
      </c>
      <c r="K100" s="2">
        <v>500</v>
      </c>
      <c r="L100" s="2">
        <v>500</v>
      </c>
      <c r="M100" s="2">
        <v>500</v>
      </c>
      <c r="N100" s="2">
        <v>500</v>
      </c>
      <c r="O100" s="2">
        <v>0</v>
      </c>
      <c r="P100" s="9"/>
      <c r="Q100" s="2">
        <f>SUM(OSRRefD21_19_3x)+IFERROR(SUM(OSRRefE21_19_3x),0)</f>
        <v>7691.51</v>
      </c>
    </row>
    <row r="101" spans="1:17" s="34" customFormat="1" hidden="1" outlineLevel="1" x14ac:dyDescent="0.25">
      <c r="A101" s="35"/>
      <c r="B101" s="13" t="str">
        <f>CONCATENATE("          ","6241", " - ","OFFICE EXPENSE")</f>
        <v xml:space="preserve">          6241 - OFFICE EXPENSE</v>
      </c>
      <c r="C101" s="15"/>
      <c r="D101" s="2">
        <v>-33.200000000000003</v>
      </c>
      <c r="E101" s="2">
        <v>-29035.16</v>
      </c>
      <c r="F101" s="2">
        <v>774.52</v>
      </c>
      <c r="G101" s="2">
        <v>525.44000000000005</v>
      </c>
      <c r="H101" s="2">
        <v>275</v>
      </c>
      <c r="I101" s="2">
        <v>275</v>
      </c>
      <c r="J101" s="2">
        <v>275</v>
      </c>
      <c r="K101" s="2">
        <v>275</v>
      </c>
      <c r="L101" s="2">
        <v>275</v>
      </c>
      <c r="M101" s="2">
        <v>275</v>
      </c>
      <c r="N101" s="2">
        <v>275</v>
      </c>
      <c r="O101" s="2">
        <v>125</v>
      </c>
      <c r="P101" s="9"/>
      <c r="Q101" s="2">
        <f>SUM(OSRRefD21_19_4x)+IFERROR(SUM(OSRRefE21_19_4x),0)</f>
        <v>-25718.400000000001</v>
      </c>
    </row>
    <row r="102" spans="1:17" s="34" customFormat="1" hidden="1" outlineLevel="1" x14ac:dyDescent="0.25">
      <c r="A102" s="35"/>
      <c r="B102" s="13" t="str">
        <f>CONCATENATE("          ","6243", " - ","PAPER SUPPLIES")</f>
        <v xml:space="preserve">          6243 - PAPER SUPPLIES</v>
      </c>
      <c r="C102" s="15"/>
      <c r="D102" s="2">
        <v>647.88</v>
      </c>
      <c r="E102" s="2">
        <v>3012.29</v>
      </c>
      <c r="F102" s="2"/>
      <c r="G102" s="2">
        <v>2632.64</v>
      </c>
      <c r="H102" s="2">
        <v>250</v>
      </c>
      <c r="I102" s="2">
        <v>250</v>
      </c>
      <c r="J102" s="2">
        <v>250</v>
      </c>
      <c r="K102" s="2">
        <v>250</v>
      </c>
      <c r="L102" s="2">
        <v>250</v>
      </c>
      <c r="M102" s="2">
        <v>250</v>
      </c>
      <c r="N102" s="2">
        <v>250</v>
      </c>
      <c r="O102" s="2">
        <v>250</v>
      </c>
      <c r="P102" s="9"/>
      <c r="Q102" s="2">
        <f>SUM(OSRRefD21_19_5x)+IFERROR(SUM(OSRRefE21_19_5x),0)</f>
        <v>8292.81</v>
      </c>
    </row>
    <row r="103" spans="1:17" s="34" customFormat="1" hidden="1" outlineLevel="1" x14ac:dyDescent="0.25">
      <c r="A103" s="35"/>
      <c r="B103" s="13" t="str">
        <f>CONCATENATE("          ","6244", " - ","SAFETY SUPPLY EXPENSE")</f>
        <v xml:space="preserve">          6244 - SAFETY SUPPLY EXPENSE</v>
      </c>
      <c r="C103" s="15"/>
      <c r="D103" s="2"/>
      <c r="E103" s="2"/>
      <c r="F103" s="2"/>
      <c r="G103" s="2"/>
      <c r="H103" s="2">
        <v>0</v>
      </c>
      <c r="I103" s="2">
        <v>0</v>
      </c>
      <c r="J103" s="2">
        <v>80</v>
      </c>
      <c r="K103" s="2">
        <v>0</v>
      </c>
      <c r="L103" s="2">
        <v>0</v>
      </c>
      <c r="M103" s="2">
        <v>80</v>
      </c>
      <c r="N103" s="2">
        <v>0</v>
      </c>
      <c r="O103" s="2">
        <v>0</v>
      </c>
      <c r="P103" s="9"/>
      <c r="Q103" s="2">
        <f>SUM(OSRRefD21_19_6x)+IFERROR(SUM(OSRRefE21_19_6x),0)</f>
        <v>160</v>
      </c>
    </row>
    <row r="104" spans="1:17" s="34" customFormat="1" hidden="1" outlineLevel="1" x14ac:dyDescent="0.25">
      <c r="A104" s="35"/>
      <c r="B104" s="13" t="str">
        <f>CONCATENATE("          ","6245", " - ","PRINTING")</f>
        <v xml:space="preserve">          6245 - PRINTING</v>
      </c>
      <c r="C104" s="15"/>
      <c r="D104" s="2"/>
      <c r="E104" s="2"/>
      <c r="F104" s="2"/>
      <c r="G104" s="2"/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9"/>
      <c r="Q104" s="2">
        <f>SUM(OSRRefD21_19_7x)+IFERROR(SUM(OSRRefE21_19_7x),0)</f>
        <v>0</v>
      </c>
    </row>
    <row r="105" spans="1:17" s="34" customFormat="1" hidden="1" outlineLevel="1" x14ac:dyDescent="0.25">
      <c r="A105" s="35"/>
      <c r="B105" s="13" t="str">
        <f>CONCATENATE("          ","6246", " - ","REPLACEMENTS")</f>
        <v xml:space="preserve">          6246 - REPLACEMENTS</v>
      </c>
      <c r="C105" s="15"/>
      <c r="D105" s="2"/>
      <c r="E105" s="2"/>
      <c r="F105" s="2"/>
      <c r="G105" s="2"/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9"/>
      <c r="Q105" s="2">
        <f>SUM(OSRRefD21_19_8x)+IFERROR(SUM(OSRRefE21_19_8x),0)</f>
        <v>0</v>
      </c>
    </row>
    <row r="106" spans="1:17" s="34" customFormat="1" hidden="1" outlineLevel="1" x14ac:dyDescent="0.25">
      <c r="A106" s="35"/>
      <c r="B106" s="13" t="str">
        <f>CONCATENATE("          ","6247", " - ","STORE SUPPLIES")</f>
        <v xml:space="preserve">          6247 - STORE SUPPLIES</v>
      </c>
      <c r="C106" s="15"/>
      <c r="D106" s="2"/>
      <c r="E106" s="2"/>
      <c r="F106" s="2"/>
      <c r="G106" s="2"/>
      <c r="H106" s="2">
        <v>18</v>
      </c>
      <c r="I106" s="2">
        <v>18</v>
      </c>
      <c r="J106" s="2">
        <v>18</v>
      </c>
      <c r="K106" s="2">
        <v>18</v>
      </c>
      <c r="L106" s="2">
        <v>18</v>
      </c>
      <c r="M106" s="2">
        <v>18</v>
      </c>
      <c r="N106" s="2">
        <v>18</v>
      </c>
      <c r="O106" s="2">
        <v>0</v>
      </c>
      <c r="P106" s="9"/>
      <c r="Q106" s="2">
        <f>SUM(OSRRefD21_19_9x)+IFERROR(SUM(OSRRefE21_19_9x),0)</f>
        <v>126</v>
      </c>
    </row>
    <row r="107" spans="1:17" s="34" customFormat="1" hidden="1" outlineLevel="1" x14ac:dyDescent="0.25">
      <c r="A107" s="35"/>
      <c r="B107" s="13" t="str">
        <f>CONCATENATE("          ","6248", " - ","UNIFORMS")</f>
        <v xml:space="preserve">          6248 - UNIFORMS</v>
      </c>
      <c r="C107" s="15"/>
      <c r="D107" s="2"/>
      <c r="E107" s="2">
        <v>3510.98</v>
      </c>
      <c r="F107" s="2">
        <v>303.7</v>
      </c>
      <c r="G107" s="2"/>
      <c r="H107" s="2">
        <v>350</v>
      </c>
      <c r="I107" s="2">
        <v>350</v>
      </c>
      <c r="J107" s="2">
        <v>350</v>
      </c>
      <c r="K107" s="2">
        <v>350</v>
      </c>
      <c r="L107" s="2">
        <v>350</v>
      </c>
      <c r="M107" s="2">
        <v>350</v>
      </c>
      <c r="N107" s="2">
        <v>350</v>
      </c>
      <c r="O107" s="2">
        <v>0</v>
      </c>
      <c r="P107" s="9"/>
      <c r="Q107" s="2">
        <f>SUM(OSRRefD21_19_10x)+IFERROR(SUM(OSRRefE21_19_10x),0)</f>
        <v>6264.68</v>
      </c>
    </row>
    <row r="108" spans="1:17" s="34" customFormat="1" collapsed="1" x14ac:dyDescent="0.25">
      <c r="A108" s="35"/>
      <c r="B108" s="15" t="str">
        <f>CONCATENATE("     ","Telephone/Data Lines                              ")</f>
        <v xml:space="preserve">     Telephone/Data Lines                              </v>
      </c>
      <c r="C108" s="15"/>
      <c r="D108" s="1">
        <f>SUM(OSRRefD21_20x_0)</f>
        <v>1836.32</v>
      </c>
      <c r="E108" s="1">
        <f>SUM(OSRRefD21_20x_1)</f>
        <v>1861.46</v>
      </c>
      <c r="F108" s="1">
        <f>SUM(OSRRefD21_20x_2)</f>
        <v>1613.63</v>
      </c>
      <c r="G108" s="1">
        <f>SUM(OSRRefD21_20x_3)</f>
        <v>911.98</v>
      </c>
      <c r="H108" s="1">
        <f>SUM(OSRRefE21_20x_0)</f>
        <v>963</v>
      </c>
      <c r="I108" s="1">
        <f>SUM(OSRRefE21_20x_1)</f>
        <v>1109</v>
      </c>
      <c r="J108" s="1">
        <f>SUM(OSRRefE21_20x_2)</f>
        <v>1110</v>
      </c>
      <c r="K108" s="1">
        <f>SUM(OSRRefE21_20x_3)</f>
        <v>960</v>
      </c>
      <c r="L108" s="1">
        <f>SUM(OSRRefE21_20x_4)</f>
        <v>1110</v>
      </c>
      <c r="M108" s="1">
        <f>SUM(OSRRefE21_20x_5)</f>
        <v>1110</v>
      </c>
      <c r="N108" s="1">
        <f>SUM(OSRRefE21_20x_6)</f>
        <v>960</v>
      </c>
      <c r="O108" s="1">
        <f>SUM(OSRRefE21_20x_7)</f>
        <v>1110</v>
      </c>
      <c r="Q108" s="2">
        <f>SUM(OSRRefD20_20x)+IFERROR(SUM(OSRRefE20_20x),0)</f>
        <v>14655.39</v>
      </c>
    </row>
    <row r="109" spans="1:17" s="34" customFormat="1" hidden="1" outlineLevel="1" x14ac:dyDescent="0.25">
      <c r="A109" s="35"/>
      <c r="B109" s="13" t="str">
        <f>CONCATENATE("          ","6303", " - ","DATA PHONE LINES")</f>
        <v xml:space="preserve">          6303 - DATA PHONE LINES</v>
      </c>
      <c r="C109" s="15"/>
      <c r="D109" s="2"/>
      <c r="E109" s="2"/>
      <c r="F109" s="2"/>
      <c r="G109" s="2"/>
      <c r="H109" s="2">
        <v>638</v>
      </c>
      <c r="I109" s="2">
        <v>634</v>
      </c>
      <c r="J109" s="2">
        <v>635</v>
      </c>
      <c r="K109" s="2">
        <v>635</v>
      </c>
      <c r="L109" s="2">
        <v>635</v>
      </c>
      <c r="M109" s="2">
        <v>635</v>
      </c>
      <c r="N109" s="2">
        <v>635</v>
      </c>
      <c r="O109" s="2">
        <v>635</v>
      </c>
      <c r="P109" s="9"/>
      <c r="Q109" s="2">
        <f>SUM(OSRRefD21_20_0x)+IFERROR(SUM(OSRRefE21_20_0x),0)</f>
        <v>5082</v>
      </c>
    </row>
    <row r="110" spans="1:17" s="34" customFormat="1" hidden="1" outlineLevel="1" x14ac:dyDescent="0.25">
      <c r="A110" s="35"/>
      <c r="B110" s="13" t="str">
        <f>CONCATENATE("          ","6309", " - ","TELEPHONE")</f>
        <v xml:space="preserve">          6309 - TELEPHONE</v>
      </c>
      <c r="C110" s="15"/>
      <c r="D110" s="2">
        <v>1836.32</v>
      </c>
      <c r="E110" s="2">
        <v>1861.46</v>
      </c>
      <c r="F110" s="2">
        <v>1613.63</v>
      </c>
      <c r="G110" s="2">
        <v>911.98</v>
      </c>
      <c r="H110" s="2">
        <v>325</v>
      </c>
      <c r="I110" s="2">
        <v>475</v>
      </c>
      <c r="J110" s="2">
        <v>475</v>
      </c>
      <c r="K110" s="2">
        <v>325</v>
      </c>
      <c r="L110" s="2">
        <v>475</v>
      </c>
      <c r="M110" s="2">
        <v>475</v>
      </c>
      <c r="N110" s="2">
        <v>325</v>
      </c>
      <c r="O110" s="2">
        <v>475</v>
      </c>
      <c r="P110" s="9"/>
      <c r="Q110" s="2">
        <f>SUM(OSRRefD21_20_1x)+IFERROR(SUM(OSRRefE21_20_1x),0)</f>
        <v>9573.39</v>
      </c>
    </row>
    <row r="111" spans="1:17" s="34" customFormat="1" collapsed="1" x14ac:dyDescent="0.25">
      <c r="A111" s="35"/>
      <c r="B111" s="15" t="str">
        <f>CONCATENATE("     ","Training                                          ")</f>
        <v xml:space="preserve">     Training                                          </v>
      </c>
      <c r="C111" s="15"/>
      <c r="D111" s="1">
        <f>SUM(OSRRefD21_21x_0)</f>
        <v>0</v>
      </c>
      <c r="E111" s="1">
        <f>SUM(OSRRefD21_21x_1)</f>
        <v>350</v>
      </c>
      <c r="F111" s="1">
        <f>SUM(OSRRefD21_21x_2)</f>
        <v>0</v>
      </c>
      <c r="G111" s="1">
        <f>SUM(OSRRefD21_21x_3)</f>
        <v>385</v>
      </c>
      <c r="H111" s="1">
        <f>SUM(OSRRefE21_21x_0)</f>
        <v>550</v>
      </c>
      <c r="I111" s="1">
        <f>SUM(OSRRefE21_21x_1)</f>
        <v>550</v>
      </c>
      <c r="J111" s="1">
        <f>SUM(OSRRefE21_21x_2)</f>
        <v>550</v>
      </c>
      <c r="K111" s="1">
        <f>SUM(OSRRefE21_21x_3)</f>
        <v>550</v>
      </c>
      <c r="L111" s="1">
        <f>SUM(OSRRefE21_21x_4)</f>
        <v>550</v>
      </c>
      <c r="M111" s="1">
        <f>SUM(OSRRefE21_21x_5)</f>
        <v>550</v>
      </c>
      <c r="N111" s="1">
        <f>SUM(OSRRefE21_21x_6)</f>
        <v>550</v>
      </c>
      <c r="O111" s="1">
        <f>SUM(OSRRefE21_21x_7)</f>
        <v>550</v>
      </c>
      <c r="Q111" s="2">
        <f>SUM(OSRRefD20_21x)+IFERROR(SUM(OSRRefE20_21x),0)</f>
        <v>5135</v>
      </c>
    </row>
    <row r="112" spans="1:17" s="34" customFormat="1" hidden="1" outlineLevel="1" x14ac:dyDescent="0.25">
      <c r="A112" s="35"/>
      <c r="B112" s="13" t="str">
        <f>CONCATENATE("          ","6376", " - ","TRAINING")</f>
        <v xml:space="preserve">          6376 - TRAINING</v>
      </c>
      <c r="C112" s="15"/>
      <c r="D112" s="2"/>
      <c r="E112" s="2">
        <v>350</v>
      </c>
      <c r="F112" s="2"/>
      <c r="G112" s="2">
        <v>385</v>
      </c>
      <c r="H112" s="2">
        <v>550</v>
      </c>
      <c r="I112" s="2">
        <v>550</v>
      </c>
      <c r="J112" s="2">
        <v>550</v>
      </c>
      <c r="K112" s="2">
        <v>550</v>
      </c>
      <c r="L112" s="2">
        <v>550</v>
      </c>
      <c r="M112" s="2">
        <v>550</v>
      </c>
      <c r="N112" s="2">
        <v>550</v>
      </c>
      <c r="O112" s="2">
        <v>550</v>
      </c>
      <c r="P112" s="9"/>
      <c r="Q112" s="2">
        <f>SUM(OSRRefD21_21_0x)+IFERROR(SUM(OSRRefE21_21_0x),0)</f>
        <v>5135</v>
      </c>
    </row>
    <row r="113" spans="1:17" s="34" customFormat="1" collapsed="1" x14ac:dyDescent="0.25">
      <c r="A113" s="35"/>
      <c r="B113" s="15" t="str">
        <f>CONCATENATE("     ","Travel                                            ")</f>
        <v xml:space="preserve">     Travel                                            </v>
      </c>
      <c r="C113" s="15"/>
      <c r="D113" s="1">
        <f>SUM(OSRRefD21_22x_0)</f>
        <v>179.69</v>
      </c>
      <c r="E113" s="1">
        <f>SUM(OSRRefD21_22x_1)</f>
        <v>0</v>
      </c>
      <c r="F113" s="1">
        <f>SUM(OSRRefD21_22x_2)</f>
        <v>152.52000000000001</v>
      </c>
      <c r="G113" s="1">
        <f>SUM(OSRRefD21_22x_3)</f>
        <v>0</v>
      </c>
      <c r="H113" s="1">
        <f>SUM(OSRRefE21_22x_0)</f>
        <v>300</v>
      </c>
      <c r="I113" s="1">
        <f>SUM(OSRRefE21_22x_1)</f>
        <v>300</v>
      </c>
      <c r="J113" s="1">
        <f>SUM(OSRRefE21_22x_2)</f>
        <v>300</v>
      </c>
      <c r="K113" s="1">
        <f>SUM(OSRRefE21_22x_3)</f>
        <v>300</v>
      </c>
      <c r="L113" s="1">
        <f>SUM(OSRRefE21_22x_4)</f>
        <v>300</v>
      </c>
      <c r="M113" s="1">
        <f>SUM(OSRRefE21_22x_5)</f>
        <v>300</v>
      </c>
      <c r="N113" s="1">
        <f>SUM(OSRRefE21_22x_6)</f>
        <v>300</v>
      </c>
      <c r="O113" s="1">
        <f>SUM(OSRRefE21_22x_7)</f>
        <v>300</v>
      </c>
      <c r="Q113" s="2">
        <f>SUM(OSRRefD20_22x)+IFERROR(SUM(OSRRefE20_22x),0)</f>
        <v>2732.21</v>
      </c>
    </row>
    <row r="114" spans="1:17" s="34" customFormat="1" hidden="1" outlineLevel="1" x14ac:dyDescent="0.25">
      <c r="A114" s="35"/>
      <c r="B114" s="13" t="str">
        <f>CONCATENATE("          ","6292", " - ","TRAVEL/CONFERENCE")</f>
        <v xml:space="preserve">          6292 - TRAVEL/CONFERENCE</v>
      </c>
      <c r="C114" s="15"/>
      <c r="D114" s="2"/>
      <c r="E114" s="2"/>
      <c r="F114" s="2"/>
      <c r="G114" s="2"/>
      <c r="H114" s="2">
        <v>300</v>
      </c>
      <c r="I114" s="2">
        <v>300</v>
      </c>
      <c r="J114" s="2">
        <v>300</v>
      </c>
      <c r="K114" s="2">
        <v>300</v>
      </c>
      <c r="L114" s="2">
        <v>300</v>
      </c>
      <c r="M114" s="2">
        <v>300</v>
      </c>
      <c r="N114" s="2">
        <v>300</v>
      </c>
      <c r="O114" s="2">
        <v>300</v>
      </c>
      <c r="P114" s="9"/>
      <c r="Q114" s="2">
        <f>SUM(OSRRefD21_22_0x)+IFERROR(SUM(OSRRefE21_22_0x),0)</f>
        <v>2400</v>
      </c>
    </row>
    <row r="115" spans="1:17" s="34" customFormat="1" hidden="1" outlineLevel="1" x14ac:dyDescent="0.25">
      <c r="A115" s="35"/>
      <c r="B115" s="13" t="str">
        <f>CONCATENATE("          ","6298", " - ","VEHICLE MILEAGE")</f>
        <v xml:space="preserve">          6298 - VEHICLE MILEAGE</v>
      </c>
      <c r="C115" s="15"/>
      <c r="D115" s="2">
        <v>179.69</v>
      </c>
      <c r="E115" s="2"/>
      <c r="F115" s="2">
        <v>152.52000000000001</v>
      </c>
      <c r="G115" s="2"/>
      <c r="H115" s="2"/>
      <c r="I115" s="2"/>
      <c r="J115" s="2"/>
      <c r="K115" s="2"/>
      <c r="L115" s="2"/>
      <c r="M115" s="2"/>
      <c r="N115" s="2"/>
      <c r="O115" s="2"/>
      <c r="P115" s="9"/>
      <c r="Q115" s="2">
        <f>SUM(OSRRefD21_22_1x)+IFERROR(SUM(OSRRefE21_22_1x),0)</f>
        <v>332.21000000000004</v>
      </c>
    </row>
    <row r="116" spans="1:17" s="34" customFormat="1" collapsed="1" x14ac:dyDescent="0.25">
      <c r="A116" s="35"/>
      <c r="B116" s="15" t="str">
        <f>CONCATENATE("     ","Utilities                                         ")</f>
        <v xml:space="preserve">     Utilities                                         </v>
      </c>
      <c r="C116" s="15"/>
      <c r="D116" s="1">
        <f>SUM(OSRRefD21_23x_0)</f>
        <v>2300</v>
      </c>
      <c r="E116" s="1">
        <f>SUM(OSRRefD21_23x_1)</f>
        <v>2300</v>
      </c>
      <c r="F116" s="1">
        <f>SUM(OSRRefD21_23x_2)</f>
        <v>2300</v>
      </c>
      <c r="G116" s="1">
        <f>SUM(OSRRefD21_23x_3)</f>
        <v>-13228</v>
      </c>
      <c r="H116" s="1">
        <f>SUM(OSRRefE21_23x_0)</f>
        <v>3300</v>
      </c>
      <c r="I116" s="1">
        <f>SUM(OSRRefE21_23x_1)</f>
        <v>3300</v>
      </c>
      <c r="J116" s="1">
        <f>SUM(OSRRefE21_23x_2)</f>
        <v>3300</v>
      </c>
      <c r="K116" s="1">
        <f>SUM(OSRRefE21_23x_3)</f>
        <v>3300</v>
      </c>
      <c r="L116" s="1">
        <f>SUM(OSRRefE21_23x_4)</f>
        <v>3300</v>
      </c>
      <c r="M116" s="1">
        <f>SUM(OSRRefE21_23x_5)</f>
        <v>3300</v>
      </c>
      <c r="N116" s="1">
        <f>SUM(OSRRefE21_23x_6)</f>
        <v>3300</v>
      </c>
      <c r="O116" s="1">
        <f>SUM(OSRRefE21_23x_7)</f>
        <v>3300</v>
      </c>
      <c r="Q116" s="2">
        <f>SUM(OSRRefD20_23x)+IFERROR(SUM(OSRRefE20_23x),0)</f>
        <v>20072</v>
      </c>
    </row>
    <row r="117" spans="1:17" s="34" customFormat="1" hidden="1" outlineLevel="1" x14ac:dyDescent="0.25">
      <c r="A117" s="35"/>
      <c r="B117" s="13" t="str">
        <f>CONCATENATE("          ","6274", " - ","UTILITIES")</f>
        <v xml:space="preserve">          6274 - UTILITIES</v>
      </c>
      <c r="C117" s="15"/>
      <c r="D117" s="2">
        <v>2300</v>
      </c>
      <c r="E117" s="2">
        <v>2300</v>
      </c>
      <c r="F117" s="2">
        <v>2300</v>
      </c>
      <c r="G117" s="2">
        <v>-13228</v>
      </c>
      <c r="H117" s="2">
        <v>3300</v>
      </c>
      <c r="I117" s="2">
        <v>3300</v>
      </c>
      <c r="J117" s="2">
        <v>3300</v>
      </c>
      <c r="K117" s="2">
        <v>3300</v>
      </c>
      <c r="L117" s="2">
        <v>3300</v>
      </c>
      <c r="M117" s="2">
        <v>3300</v>
      </c>
      <c r="N117" s="2">
        <v>3300</v>
      </c>
      <c r="O117" s="2">
        <v>3300</v>
      </c>
      <c r="P117" s="9"/>
      <c r="Q117" s="2">
        <f>SUM(OSRRefD21_23_0x)+IFERROR(SUM(OSRRefE21_23_0x),0)</f>
        <v>20072</v>
      </c>
    </row>
    <row r="118" spans="1:17" s="28" customFormat="1" x14ac:dyDescent="0.25">
      <c r="A118" s="20"/>
      <c r="B118" s="20"/>
      <c r="C118" s="20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Q118" s="1"/>
    </row>
    <row r="119" spans="1:17" s="9" customFormat="1" x14ac:dyDescent="0.25">
      <c r="A119" s="22"/>
      <c r="B119" s="16" t="s">
        <v>0</v>
      </c>
      <c r="C119" s="23"/>
      <c r="D119" s="3">
        <f>--2076.54</f>
        <v>2076.54</v>
      </c>
      <c r="E119" s="3">
        <f>--737.85</f>
        <v>737.85</v>
      </c>
      <c r="F119" s="3">
        <f>--805.53</f>
        <v>805.53</v>
      </c>
      <c r="G119" s="3">
        <f>--457.28</f>
        <v>457.28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12000</v>
      </c>
      <c r="Q119" s="2">
        <f>SUM(OSRRefD23_0x)+IFERROR(SUM(OSRRefE23_0x),0)</f>
        <v>16077.2</v>
      </c>
    </row>
    <row r="120" spans="1:17" x14ac:dyDescent="0.25">
      <c r="A120" s="5"/>
      <c r="B120" s="8"/>
      <c r="C120" s="8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</row>
    <row r="121" spans="1:17" s="14" customFormat="1" x14ac:dyDescent="0.25">
      <c r="A121" s="8"/>
      <c r="B121" s="17" t="s">
        <v>3</v>
      </c>
      <c r="C121" s="17"/>
      <c r="D121" s="6">
        <f t="shared" ref="D121:O121" si="7">IFERROR(+D25-D28+D119, 0)</f>
        <v>-302405.39999999997</v>
      </c>
      <c r="E121" s="6">
        <f t="shared" si="7"/>
        <v>-277962.57999999996</v>
      </c>
      <c r="F121" s="6">
        <f t="shared" si="7"/>
        <v>-173263.55000000019</v>
      </c>
      <c r="G121" s="6">
        <f t="shared" si="7"/>
        <v>-288735.77999999997</v>
      </c>
      <c r="H121" s="6">
        <f t="shared" si="7"/>
        <v>-291568.41301698779</v>
      </c>
      <c r="I121" s="6">
        <f t="shared" si="7"/>
        <v>-101018.08856153849</v>
      </c>
      <c r="J121" s="6">
        <f t="shared" si="7"/>
        <v>-357820.48037034989</v>
      </c>
      <c r="K121" s="6">
        <f t="shared" si="7"/>
        <v>-303483.49426698778</v>
      </c>
      <c r="L121" s="6">
        <f t="shared" si="7"/>
        <v>-265976.56930360314</v>
      </c>
      <c r="M121" s="6">
        <f t="shared" si="7"/>
        <v>-315646.08283373457</v>
      </c>
      <c r="N121" s="6">
        <f t="shared" si="7"/>
        <v>-287928.9993036032</v>
      </c>
      <c r="O121" s="6">
        <f t="shared" si="7"/>
        <v>-292770.39048037241</v>
      </c>
      <c r="Q121" s="6">
        <f>IFERROR(+Q25-Q28+Q119, 0)</f>
        <v>-3258579.828137177</v>
      </c>
    </row>
    <row r="122" spans="1:17" s="8" customFormat="1" x14ac:dyDescent="0.25">
      <c r="B122" s="16"/>
      <c r="C122" s="16"/>
      <c r="D122" s="4">
        <f t="shared" ref="D122:O122" si="8">IFERROR(D121/D10, 0)</f>
        <v>-14.894741274984817</v>
      </c>
      <c r="E122" s="4">
        <f t="shared" si="8"/>
        <v>-5.0958343828865438</v>
      </c>
      <c r="F122" s="4">
        <f t="shared" si="8"/>
        <v>-0.74995272312833128</v>
      </c>
      <c r="G122" s="4">
        <f t="shared" si="8"/>
        <v>-1.4756132362918872</v>
      </c>
      <c r="H122" s="4">
        <f t="shared" si="8"/>
        <v>-2.1550568241027959</v>
      </c>
      <c r="I122" s="4">
        <f t="shared" si="8"/>
        <v>-0.8863490586336743</v>
      </c>
      <c r="J122" s="4">
        <f t="shared" si="8"/>
        <v>-4.769858570328724</v>
      </c>
      <c r="K122" s="4">
        <f t="shared" si="8"/>
        <v>-1.9212315179313368</v>
      </c>
      <c r="L122" s="4">
        <f t="shared" si="8"/>
        <v>-1.7193277825414883</v>
      </c>
      <c r="M122" s="4">
        <f t="shared" si="8"/>
        <v>-2.0179007104692697</v>
      </c>
      <c r="N122" s="4">
        <f t="shared" si="8"/>
        <v>-3.2851356514113959</v>
      </c>
      <c r="O122" s="4">
        <f t="shared" si="8"/>
        <v>-53.230980087340441</v>
      </c>
      <c r="P122" s="18"/>
      <c r="Q122" s="4">
        <f>IFERROR(Q121/Q10, 0)</f>
        <v>-2.3475663340630608</v>
      </c>
    </row>
    <row r="123" spans="1:17" x14ac:dyDescent="0.25">
      <c r="A123" s="5"/>
      <c r="B123" s="8"/>
      <c r="C123" s="5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Q123" s="3"/>
    </row>
    <row r="124" spans="1:17" s="14" customFormat="1" x14ac:dyDescent="0.25">
      <c r="A124" s="25"/>
      <c r="B124" s="8" t="s">
        <v>8</v>
      </c>
      <c r="C124" s="8"/>
      <c r="D124" s="3">
        <v>9764.58</v>
      </c>
      <c r="E124" s="3">
        <v>2872.81</v>
      </c>
      <c r="F124" s="3">
        <v>44028.87</v>
      </c>
      <c r="G124" s="3">
        <v>51981.18</v>
      </c>
      <c r="H124" s="3">
        <v>89204</v>
      </c>
      <c r="I124" s="3">
        <v>76161</v>
      </c>
      <c r="J124" s="3">
        <v>18093</v>
      </c>
      <c r="K124" s="3">
        <v>101146</v>
      </c>
      <c r="L124" s="3">
        <v>107753</v>
      </c>
      <c r="M124" s="3">
        <v>107981</v>
      </c>
      <c r="N124" s="3">
        <v>69066</v>
      </c>
      <c r="O124" s="3">
        <v>-63196.999999999993</v>
      </c>
      <c r="Q124" s="2">
        <f>SUM(OSRRefD28_0x)+IFERROR(SUM(OSRRefE28_0x),0)</f>
        <v>614854.43999999994</v>
      </c>
    </row>
    <row r="125" spans="1:17" x14ac:dyDescent="0.25">
      <c r="A125" s="5"/>
      <c r="B125" s="8"/>
      <c r="C125" s="8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Q125" s="3"/>
    </row>
    <row r="126" spans="1:17" s="14" customFormat="1" ht="15.75" thickBot="1" x14ac:dyDescent="0.3">
      <c r="A126" s="8"/>
      <c r="B126" s="17" t="s">
        <v>4</v>
      </c>
      <c r="C126" s="17"/>
      <c r="D126" s="7">
        <f t="shared" ref="D126:O126" si="9">IFERROR(+D121-D124, 0)</f>
        <v>-312169.98</v>
      </c>
      <c r="E126" s="7">
        <f t="shared" si="9"/>
        <v>-280835.38999999996</v>
      </c>
      <c r="F126" s="7">
        <f t="shared" si="9"/>
        <v>-217292.42000000019</v>
      </c>
      <c r="G126" s="7">
        <f t="shared" si="9"/>
        <v>-340716.95999999996</v>
      </c>
      <c r="H126" s="7">
        <f t="shared" si="9"/>
        <v>-380772.41301698779</v>
      </c>
      <c r="I126" s="7">
        <f t="shared" si="9"/>
        <v>-177179.08856153849</v>
      </c>
      <c r="J126" s="7">
        <f t="shared" si="9"/>
        <v>-375913.48037034989</v>
      </c>
      <c r="K126" s="7">
        <f t="shared" si="9"/>
        <v>-404629.49426698778</v>
      </c>
      <c r="L126" s="7">
        <f t="shared" si="9"/>
        <v>-373729.56930360314</v>
      </c>
      <c r="M126" s="7">
        <f t="shared" si="9"/>
        <v>-423627.08283373457</v>
      </c>
      <c r="N126" s="7">
        <f t="shared" si="9"/>
        <v>-356994.9993036032</v>
      </c>
      <c r="O126" s="7">
        <f t="shared" si="9"/>
        <v>-229573.39048037241</v>
      </c>
      <c r="Q126" s="7">
        <f>IFERROR(+Q121-Q124, 0)</f>
        <v>-3873434.268137177</v>
      </c>
    </row>
    <row r="127" spans="1:17" ht="15.75" thickTop="1" x14ac:dyDescent="0.25">
      <c r="A127" s="5"/>
      <c r="B127" s="5"/>
      <c r="C127" s="5"/>
      <c r="D127" s="4">
        <f t="shared" ref="D127:O127" si="10">IFERROR(D126/D10, 0)</f>
        <v>-15.37568801984748</v>
      </c>
      <c r="E127" s="4">
        <f t="shared" si="10"/>
        <v>-5.1485010546863963</v>
      </c>
      <c r="F127" s="4">
        <f t="shared" si="10"/>
        <v>-0.94052697231555649</v>
      </c>
      <c r="G127" s="4">
        <f t="shared" si="10"/>
        <v>-1.7412682834290005</v>
      </c>
      <c r="H127" s="4">
        <f t="shared" si="10"/>
        <v>-2.8143864371705369</v>
      </c>
      <c r="I127" s="4">
        <f t="shared" si="10"/>
        <v>-1.5545979991536312</v>
      </c>
      <c r="J127" s="4">
        <f t="shared" si="10"/>
        <v>-5.0110439016536237</v>
      </c>
      <c r="K127" s="4">
        <f t="shared" si="10"/>
        <v>-2.5615460219607615</v>
      </c>
      <c r="L127" s="4">
        <f t="shared" si="10"/>
        <v>-2.4158655529069746</v>
      </c>
      <c r="M127" s="4">
        <f t="shared" si="10"/>
        <v>-2.7082147947151927</v>
      </c>
      <c r="N127" s="4">
        <f t="shared" si="10"/>
        <v>-4.0731465132875799</v>
      </c>
      <c r="O127" s="4">
        <f t="shared" si="10"/>
        <v>-41.740616450976802</v>
      </c>
      <c r="P127" s="18"/>
      <c r="Q127" s="4">
        <f>IFERROR(Q126/Q10, 0)</f>
        <v>-2.7905235914638551</v>
      </c>
    </row>
    <row r="128" spans="1:17" x14ac:dyDescent="0.25">
      <c r="A128" s="5"/>
      <c r="B128" s="5"/>
      <c r="C128" s="5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Q128" s="3"/>
    </row>
    <row r="129" spans="1:17" x14ac:dyDescent="0.25">
      <c r="A129" s="5"/>
      <c r="B129" s="5"/>
      <c r="C129" s="5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Q129" s="3"/>
    </row>
    <row r="130" spans="1:17" s="14" customFormat="1" ht="15.75" thickBot="1" x14ac:dyDescent="0.3">
      <c r="A130" s="8"/>
      <c r="B130" s="17" t="s">
        <v>5</v>
      </c>
      <c r="C130" s="17"/>
      <c r="D130" s="7">
        <f t="shared" ref="D130:O130" si="11">IFERROR(SUM(D126:D129), 0)</f>
        <v>-312185.35568801983</v>
      </c>
      <c r="E130" s="7">
        <f t="shared" si="11"/>
        <v>-280840.53850105463</v>
      </c>
      <c r="F130" s="7">
        <f t="shared" si="11"/>
        <v>-217293.36052697251</v>
      </c>
      <c r="G130" s="7">
        <f t="shared" si="11"/>
        <v>-340718.70126828342</v>
      </c>
      <c r="H130" s="7">
        <f t="shared" si="11"/>
        <v>-380775.22740342497</v>
      </c>
      <c r="I130" s="7">
        <f t="shared" si="11"/>
        <v>-177180.64315953763</v>
      </c>
      <c r="J130" s="7">
        <f t="shared" si="11"/>
        <v>-375918.49141425156</v>
      </c>
      <c r="K130" s="7">
        <f t="shared" si="11"/>
        <v>-404632.05581300973</v>
      </c>
      <c r="L130" s="7">
        <f t="shared" si="11"/>
        <v>-373731.98516915605</v>
      </c>
      <c r="M130" s="7">
        <f t="shared" si="11"/>
        <v>-423629.79104852927</v>
      </c>
      <c r="N130" s="7">
        <f t="shared" si="11"/>
        <v>-356999.07245011651</v>
      </c>
      <c r="O130" s="7">
        <f t="shared" si="11"/>
        <v>-229615.1310968234</v>
      </c>
      <c r="Q130" s="7">
        <f>IFERROR(SUM(Q126:Q129), 0)</f>
        <v>-3873437.0586607684</v>
      </c>
    </row>
    <row r="131" spans="1:17" ht="15.75" thickTop="1" x14ac:dyDescent="0.25">
      <c r="A131" s="5"/>
      <c r="C131" s="5"/>
      <c r="D131" s="4">
        <f t="shared" ref="D131:O131" si="12">IFERROR(D130/D10, 0)</f>
        <v>-15.376445337325872</v>
      </c>
      <c r="E131" s="4">
        <f t="shared" si="12"/>
        <v>-5.1485954411635069</v>
      </c>
      <c r="F131" s="4">
        <f t="shared" si="12"/>
        <v>-0.94053104328584469</v>
      </c>
      <c r="G131" s="4">
        <f t="shared" si="12"/>
        <v>-1.7412771823556488</v>
      </c>
      <c r="H131" s="4">
        <f t="shared" si="12"/>
        <v>-2.8144072390215822</v>
      </c>
      <c r="I131" s="4">
        <f t="shared" si="12"/>
        <v>-1.5546116394480844</v>
      </c>
      <c r="J131" s="4">
        <f t="shared" si="12"/>
        <v>-5.0111107004312565</v>
      </c>
      <c r="K131" s="4">
        <f t="shared" si="12"/>
        <v>-2.5615622380748007</v>
      </c>
      <c r="L131" s="4">
        <f t="shared" si="12"/>
        <v>-2.4158811695636406</v>
      </c>
      <c r="M131" s="4">
        <f t="shared" si="12"/>
        <v>-2.7082321081204763</v>
      </c>
      <c r="N131" s="4">
        <f t="shared" si="12"/>
        <v>-4.0731929859904215</v>
      </c>
      <c r="O131" s="4">
        <f t="shared" si="12"/>
        <v>-41.748205653967894</v>
      </c>
      <c r="P131" s="18"/>
      <c r="Q131" s="4">
        <f>IFERROR(Q130/Q10, 0)</f>
        <v>-2.7905256018302058</v>
      </c>
    </row>
    <row r="132" spans="1:17" x14ac:dyDescent="0.25">
      <c r="A132" s="5"/>
      <c r="B132" s="26">
        <v>44151.564638923614</v>
      </c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Q132" s="12"/>
    </row>
    <row r="133" spans="1:17" x14ac:dyDescent="0.25">
      <c r="A133" s="5"/>
      <c r="B133" s="30" t="s">
        <v>311</v>
      </c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Q133" s="12"/>
    </row>
    <row r="134" spans="1:17" x14ac:dyDescent="0.25">
      <c r="A134" s="5"/>
      <c r="B134" s="31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Q134" s="12"/>
    </row>
    <row r="135" spans="1:17" x14ac:dyDescent="0.25"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Q135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R132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">
        <v>304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974.91</v>
      </c>
      <c r="E10" s="3">
        <f>SUM(OSRRefD11x_1)</f>
        <v>5542.9399999999987</v>
      </c>
      <c r="F10" s="3">
        <f>SUM(OSRRefD11x_2)</f>
        <v>10440.119999999999</v>
      </c>
      <c r="G10" s="3">
        <f>SUM(OSRRefD11x_3)</f>
        <v>43520.9</v>
      </c>
      <c r="H10" s="3">
        <f>SUM(OSRRefE11x_0)</f>
        <v>5459</v>
      </c>
      <c r="I10" s="3">
        <f>SUM(OSRRefE11x_1)</f>
        <v>5196</v>
      </c>
      <c r="J10" s="3">
        <f>SUM(OSRRefE11x_2)</f>
        <v>4258</v>
      </c>
      <c r="K10" s="3">
        <f>SUM(OSRRefE11x_3)</f>
        <v>4678</v>
      </c>
      <c r="L10" s="3">
        <f>SUM(OSRRefE11x_4)</f>
        <v>7318</v>
      </c>
      <c r="M10" s="3">
        <f>SUM(OSRRefE11x_5)</f>
        <v>8738</v>
      </c>
      <c r="N10" s="3">
        <f>SUM(OSRRefE11x_6)</f>
        <v>6031</v>
      </c>
      <c r="O10" s="3">
        <f>SUM(OSRRefE11x_7)</f>
        <v>5651</v>
      </c>
      <c r="P10" s="24"/>
      <c r="Q10" s="3">
        <f>SUM(OSRRefG11x)</f>
        <v>107807.87000000001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D14" si="0">0</f>
        <v>0</v>
      </c>
      <c r="E11" s="2">
        <f t="shared" ref="E11:G11" si="1">0</f>
        <v>0</v>
      </c>
      <c r="F11" s="2">
        <f t="shared" si="1"/>
        <v>0</v>
      </c>
      <c r="G11" s="2">
        <f t="shared" si="1"/>
        <v>0</v>
      </c>
      <c r="H11" s="2">
        <v>1602</v>
      </c>
      <c r="I11" s="2">
        <v>1446</v>
      </c>
      <c r="J11" s="2">
        <v>1213</v>
      </c>
      <c r="K11" s="2">
        <v>1322</v>
      </c>
      <c r="L11" s="2">
        <v>2014</v>
      </c>
      <c r="M11" s="2">
        <v>2550</v>
      </c>
      <c r="N11" s="2">
        <v>1648</v>
      </c>
      <c r="O11" s="2">
        <v>1711</v>
      </c>
      <c r="Q11" s="2">
        <f>SUM(OSRRefD11_0x)+IFERROR(SUM(OSRRefE11_0x),0)</f>
        <v>13506</v>
      </c>
    </row>
    <row r="12" spans="1:18" s="9" customFormat="1" hidden="1" outlineLevel="1" x14ac:dyDescent="0.25">
      <c r="A12" s="22"/>
      <c r="B12" s="13" t="str">
        <f>CONCATENATE("          ","4032", " - ","TAXABLE SALES-JUICE")</f>
        <v xml:space="preserve">          4032 - TAXABLE SALES-JUICE</v>
      </c>
      <c r="C12" s="23"/>
      <c r="D12" s="2">
        <f t="shared" si="0"/>
        <v>0</v>
      </c>
      <c r="E12" s="2">
        <f>--88.2</f>
        <v>88.2</v>
      </c>
      <c r="F12" s="2">
        <f>--356.39</f>
        <v>356.39</v>
      </c>
      <c r="G12" s="2">
        <f>0</f>
        <v>0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444.59</v>
      </c>
    </row>
    <row r="13" spans="1:18" s="9" customFormat="1" hidden="1" outlineLevel="1" x14ac:dyDescent="0.25">
      <c r="A13" s="22"/>
      <c r="B13" s="13" t="str">
        <f>CONCATENATE("          ","4051", " - ","TAXABLE SALES-FOOD")</f>
        <v xml:space="preserve">          4051 - TAXABLE SALES-FOOD</v>
      </c>
      <c r="C13" s="23"/>
      <c r="D13" s="2">
        <f t="shared" si="0"/>
        <v>0</v>
      </c>
      <c r="E13" s="2">
        <f>--2510.72</f>
        <v>2510.7199999999998</v>
      </c>
      <c r="F13" s="2">
        <f>--4141.96</f>
        <v>4141.96</v>
      </c>
      <c r="G13" s="2">
        <f>--6097.26</f>
        <v>6097.26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12749.94</v>
      </c>
    </row>
    <row r="14" spans="1:18" s="9" customFormat="1" hidden="1" outlineLevel="1" x14ac:dyDescent="0.25">
      <c r="A14" s="22"/>
      <c r="B14" s="13" t="str">
        <f>CONCATENATE("          ","4052", " - ","TAXABLE SALES-FOOD")</f>
        <v xml:space="preserve">          4052 - TAXABLE SALES-FOOD</v>
      </c>
      <c r="C14" s="23"/>
      <c r="D14" s="2">
        <f t="shared" si="0"/>
        <v>0</v>
      </c>
      <c r="E14" s="2">
        <f t="shared" ref="E14:F16" si="2">0</f>
        <v>0</v>
      </c>
      <c r="F14" s="2">
        <f t="shared" si="2"/>
        <v>0</v>
      </c>
      <c r="G14" s="2">
        <f>--30231.29</f>
        <v>30231.29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30231.29</v>
      </c>
    </row>
    <row r="15" spans="1:18" s="9" customFormat="1" hidden="1" outlineLevel="1" x14ac:dyDescent="0.25">
      <c r="A15" s="22"/>
      <c r="B15" s="13" t="str">
        <f>CONCATENATE("          ","4058", " - ","TAXABLE SALES-FOOD")</f>
        <v xml:space="preserve">          4058 - TAXABLE SALES-FOOD</v>
      </c>
      <c r="C15" s="23"/>
      <c r="D15" s="2">
        <f>--974.91</f>
        <v>974.91</v>
      </c>
      <c r="E15" s="2">
        <f t="shared" si="2"/>
        <v>0</v>
      </c>
      <c r="F15" s="2">
        <f t="shared" si="2"/>
        <v>0</v>
      </c>
      <c r="G15" s="2">
        <f t="shared" ref="G15:G17" si="3">0</f>
        <v>0</v>
      </c>
      <c r="H15" s="2"/>
      <c r="I15" s="2"/>
      <c r="J15" s="2"/>
      <c r="K15" s="2"/>
      <c r="L15" s="2"/>
      <c r="M15" s="2"/>
      <c r="N15" s="2"/>
      <c r="O15" s="2"/>
      <c r="Q15" s="2">
        <f>SUM(OSRRefD11_4x)+IFERROR(SUM(OSRRefE11_4x),0)</f>
        <v>974.91</v>
      </c>
    </row>
    <row r="16" spans="1:18" s="9" customFormat="1" hidden="1" outlineLevel="1" x14ac:dyDescent="0.25">
      <c r="A16" s="22"/>
      <c r="B16" s="13" t="str">
        <f>CONCATENATE("          ","4100", " - ","NON-TAXABLE SALES")</f>
        <v xml:space="preserve">          4100 - NON-TAXABLE SALES</v>
      </c>
      <c r="C16" s="23"/>
      <c r="D16" s="2">
        <f t="shared" ref="D16:D19" si="4">0</f>
        <v>0</v>
      </c>
      <c r="E16" s="2">
        <f t="shared" si="2"/>
        <v>0</v>
      </c>
      <c r="F16" s="2">
        <f t="shared" si="2"/>
        <v>0</v>
      </c>
      <c r="G16" s="2">
        <f t="shared" si="3"/>
        <v>0</v>
      </c>
      <c r="H16" s="2">
        <v>3857</v>
      </c>
      <c r="I16" s="2">
        <v>3750</v>
      </c>
      <c r="J16" s="2">
        <v>3045</v>
      </c>
      <c r="K16" s="2">
        <v>3356</v>
      </c>
      <c r="L16" s="2">
        <v>5304</v>
      </c>
      <c r="M16" s="2">
        <v>6188</v>
      </c>
      <c r="N16" s="2">
        <v>4383</v>
      </c>
      <c r="O16" s="2">
        <v>3940</v>
      </c>
      <c r="Q16" s="2">
        <f>SUM(OSRRefD11_5x)+IFERROR(SUM(OSRRefE11_5x),0)</f>
        <v>33823</v>
      </c>
    </row>
    <row r="17" spans="1:17" s="9" customFormat="1" hidden="1" outlineLevel="1" x14ac:dyDescent="0.25">
      <c r="A17" s="22"/>
      <c r="B17" s="13" t="str">
        <f>CONCATENATE("          ","4132", " - ","NON-TAXABLE SALES-JUICE")</f>
        <v xml:space="preserve">          4132 - NON-TAXABLE SALES-JUICE</v>
      </c>
      <c r="C17" s="23"/>
      <c r="D17" s="2">
        <f t="shared" si="4"/>
        <v>0</v>
      </c>
      <c r="E17" s="2">
        <f>--625.8</f>
        <v>625.79999999999995</v>
      </c>
      <c r="F17" s="2">
        <f>--1406.08</f>
        <v>1406.08</v>
      </c>
      <c r="G17" s="2">
        <f t="shared" si="3"/>
        <v>0</v>
      </c>
      <c r="H17" s="2"/>
      <c r="I17" s="2"/>
      <c r="J17" s="2"/>
      <c r="K17" s="2"/>
      <c r="L17" s="2"/>
      <c r="M17" s="2"/>
      <c r="N17" s="2"/>
      <c r="O17" s="2"/>
      <c r="Q17" s="2">
        <f>SUM(OSRRefD11_6x)+IFERROR(SUM(OSRRefE11_6x),0)</f>
        <v>2031.8799999999999</v>
      </c>
    </row>
    <row r="18" spans="1:17" s="9" customFormat="1" hidden="1" outlineLevel="1" x14ac:dyDescent="0.25">
      <c r="A18" s="22"/>
      <c r="B18" s="13" t="str">
        <f>CONCATENATE("          ","4151", " - ","NON-TAXABLE SALES-FOOD")</f>
        <v xml:space="preserve">          4151 - NON-TAXABLE SALES-FOOD</v>
      </c>
      <c r="C18" s="23"/>
      <c r="D18" s="2">
        <f t="shared" si="4"/>
        <v>0</v>
      </c>
      <c r="E18" s="2">
        <f>--2208.22</f>
        <v>2208.2199999999998</v>
      </c>
      <c r="F18" s="2">
        <f>--4535.69</f>
        <v>4535.6899999999996</v>
      </c>
      <c r="G18" s="2">
        <f>--7192.35</f>
        <v>7192.35</v>
      </c>
      <c r="H18" s="2"/>
      <c r="I18" s="2"/>
      <c r="J18" s="2"/>
      <c r="K18" s="2"/>
      <c r="L18" s="2"/>
      <c r="M18" s="2"/>
      <c r="N18" s="2"/>
      <c r="O18" s="2"/>
      <c r="Q18" s="2">
        <f>SUM(OSRRefD11_7x)+IFERROR(SUM(OSRRefE11_7x),0)</f>
        <v>13936.26</v>
      </c>
    </row>
    <row r="19" spans="1:17" s="9" customFormat="1" hidden="1" outlineLevel="1" x14ac:dyDescent="0.25">
      <c r="A19" s="22"/>
      <c r="B19" s="13" t="str">
        <f>CONCATENATE("          ","4153", " - ","NON-TAXABLE SALES-FOOD")</f>
        <v xml:space="preserve">          4153 - NON-TAXABLE SALES-FOOD</v>
      </c>
      <c r="C19" s="23"/>
      <c r="D19" s="2">
        <f t="shared" si="4"/>
        <v>0</v>
      </c>
      <c r="E19" s="2">
        <f>--110</f>
        <v>110</v>
      </c>
      <c r="F19" s="2">
        <f t="shared" ref="F19:G19" si="5">0</f>
        <v>0</v>
      </c>
      <c r="G19" s="2">
        <f t="shared" si="5"/>
        <v>0</v>
      </c>
      <c r="H19" s="2"/>
      <c r="I19" s="2"/>
      <c r="J19" s="2"/>
      <c r="K19" s="2"/>
      <c r="L19" s="2"/>
      <c r="M19" s="2"/>
      <c r="N19" s="2"/>
      <c r="O19" s="2"/>
      <c r="Q19" s="2">
        <f>SUM(OSRRefD11_8x)+IFERROR(SUM(OSRRefE11_8x),0)</f>
        <v>110</v>
      </c>
    </row>
    <row r="20" spans="1:17" x14ac:dyDescent="0.25">
      <c r="A20" s="5"/>
      <c r="B20" s="8"/>
      <c r="C20" s="5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9" customFormat="1" collapsed="1" x14ac:dyDescent="0.25">
      <c r="A21" s="22"/>
      <c r="B21" s="16" t="s">
        <v>290</v>
      </c>
      <c r="C21" s="23"/>
      <c r="D21" s="3">
        <f>SUM(OSRRefD14x_0)</f>
        <v>-226.87</v>
      </c>
      <c r="E21" s="3">
        <f>SUM(OSRRefD14x_1)</f>
        <v>2203.17</v>
      </c>
      <c r="F21" s="3">
        <f>SUM(OSRRefD14x_2)</f>
        <v>1823.61</v>
      </c>
      <c r="G21" s="3">
        <f>SUM(OSRRefD14x_3)</f>
        <v>16854.900000000001</v>
      </c>
      <c r="H21" s="3">
        <f>SUM(OSRRefE14x_0)</f>
        <v>1855</v>
      </c>
      <c r="I21" s="3">
        <f>SUM(OSRRefE14x_1)</f>
        <v>1761</v>
      </c>
      <c r="J21" s="3">
        <f>SUM(OSRRefE14x_2)</f>
        <v>1388</v>
      </c>
      <c r="K21" s="3">
        <f>SUM(OSRRefE14x_3)</f>
        <v>1532</v>
      </c>
      <c r="L21" s="3">
        <f>SUM(OSRRefE14x_4)</f>
        <v>2494</v>
      </c>
      <c r="M21" s="3">
        <f>SUM(OSRRefE14x_5)</f>
        <v>2975</v>
      </c>
      <c r="N21" s="3">
        <f>SUM(OSRRefE14x_6)</f>
        <v>2115</v>
      </c>
      <c r="O21" s="3">
        <f>SUM(OSRRefE14x_7)</f>
        <v>1505</v>
      </c>
      <c r="Q21" s="3">
        <f>SUM(OSRRefG14x)</f>
        <v>36279.81</v>
      </c>
    </row>
    <row r="22" spans="1:17" s="9" customFormat="1" hidden="1" outlineLevel="1" x14ac:dyDescent="0.25">
      <c r="A22" s="22"/>
      <c r="B22" s="13" t="str">
        <f>CONCATENATE("          ","5000", " - ","PURCHASES @ COST")</f>
        <v xml:space="preserve">          5000 - PURCHASES @ COST</v>
      </c>
      <c r="C22" s="23"/>
      <c r="D22" s="2"/>
      <c r="E22" s="2"/>
      <c r="F22" s="2"/>
      <c r="G22" s="2"/>
      <c r="H22" s="2">
        <v>1855</v>
      </c>
      <c r="I22" s="2">
        <v>1761</v>
      </c>
      <c r="J22" s="2">
        <v>1388</v>
      </c>
      <c r="K22" s="2">
        <v>1532</v>
      </c>
      <c r="L22" s="2">
        <v>2494</v>
      </c>
      <c r="M22" s="2">
        <v>2975</v>
      </c>
      <c r="N22" s="2">
        <v>2115</v>
      </c>
      <c r="O22" s="2">
        <v>1505</v>
      </c>
      <c r="Q22" s="2">
        <f>SUM(OSRRefD14_0x)+IFERROR(SUM(OSRRefE14_0x),0)</f>
        <v>15625</v>
      </c>
    </row>
    <row r="23" spans="1:17" s="9" customFormat="1" hidden="1" outlineLevel="1" x14ac:dyDescent="0.25">
      <c r="A23" s="22"/>
      <c r="B23" s="13" t="str">
        <f>CONCATENATE("          ","5053", " - ","PURCHASES @ COST-FOOD")</f>
        <v xml:space="preserve">          5053 - PURCHASES @ COST-FOOD</v>
      </c>
      <c r="C23" s="23"/>
      <c r="D23" s="2">
        <v>-226.87</v>
      </c>
      <c r="E23" s="2">
        <v>2089.2600000000002</v>
      </c>
      <c r="F23" s="2">
        <v>1282.55</v>
      </c>
      <c r="G23" s="2">
        <v>3628.9</v>
      </c>
      <c r="H23" s="2"/>
      <c r="I23" s="2"/>
      <c r="J23" s="2"/>
      <c r="K23" s="2"/>
      <c r="L23" s="2"/>
      <c r="M23" s="2"/>
      <c r="N23" s="2"/>
      <c r="O23" s="2"/>
      <c r="Q23" s="2">
        <f>SUM(OSRRefD14_1x)+IFERROR(SUM(OSRRefE14_1x),0)</f>
        <v>6773.84</v>
      </c>
    </row>
    <row r="24" spans="1:17" s="9" customFormat="1" hidden="1" outlineLevel="1" x14ac:dyDescent="0.25">
      <c r="A24" s="22"/>
      <c r="B24" s="13" t="str">
        <f>CONCATENATE("          ","5059", " - ","PURCHASES @ COST-FOOD")</f>
        <v xml:space="preserve">          5059 - PURCHASES @ COST-FOOD</v>
      </c>
      <c r="C24" s="23"/>
      <c r="D24" s="2"/>
      <c r="E24" s="2">
        <v>113.91</v>
      </c>
      <c r="F24" s="2">
        <v>541.05999999999995</v>
      </c>
      <c r="G24" s="2">
        <v>13226</v>
      </c>
      <c r="H24" s="2"/>
      <c r="I24" s="2"/>
      <c r="J24" s="2"/>
      <c r="K24" s="2"/>
      <c r="L24" s="2"/>
      <c r="M24" s="2"/>
      <c r="N24" s="2"/>
      <c r="O24" s="2"/>
      <c r="Q24" s="2">
        <f>SUM(OSRRefD14_2x)+IFERROR(SUM(OSRRefE14_2x),0)</f>
        <v>13880.97</v>
      </c>
    </row>
    <row r="25" spans="1:17" x14ac:dyDescent="0.25">
      <c r="A25" s="5"/>
      <c r="B25" s="8"/>
      <c r="C25" s="8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4" customFormat="1" x14ac:dyDescent="0.25">
      <c r="A26" s="8"/>
      <c r="B26" s="17" t="s">
        <v>6</v>
      </c>
      <c r="C26" s="17"/>
      <c r="D26" s="6">
        <f t="shared" ref="D26:O26" si="6">IFERROR(+D10-D21, 0)</f>
        <v>1201.78</v>
      </c>
      <c r="E26" s="6">
        <f t="shared" si="6"/>
        <v>3339.7699999999986</v>
      </c>
      <c r="F26" s="6">
        <f t="shared" si="6"/>
        <v>8616.5099999999984</v>
      </c>
      <c r="G26" s="6">
        <f t="shared" si="6"/>
        <v>26666</v>
      </c>
      <c r="H26" s="6">
        <f t="shared" si="6"/>
        <v>3604</v>
      </c>
      <c r="I26" s="6">
        <f t="shared" si="6"/>
        <v>3435</v>
      </c>
      <c r="J26" s="6">
        <f t="shared" si="6"/>
        <v>2870</v>
      </c>
      <c r="K26" s="6">
        <f t="shared" si="6"/>
        <v>3146</v>
      </c>
      <c r="L26" s="6">
        <f t="shared" si="6"/>
        <v>4824</v>
      </c>
      <c r="M26" s="6">
        <f t="shared" si="6"/>
        <v>5763</v>
      </c>
      <c r="N26" s="6">
        <f t="shared" si="6"/>
        <v>3916</v>
      </c>
      <c r="O26" s="6">
        <f t="shared" si="6"/>
        <v>4146</v>
      </c>
      <c r="Q26" s="6">
        <f>IFERROR(+Q10-Q21, 0)</f>
        <v>71528.060000000012</v>
      </c>
    </row>
    <row r="27" spans="1:17" s="8" customFormat="1" x14ac:dyDescent="0.25">
      <c r="B27" s="16"/>
      <c r="C27" s="16"/>
      <c r="D27" s="4">
        <f t="shared" ref="D27:O27" si="7">IFERROR(D26/D10, 0)</f>
        <v>1.2327086602865907</v>
      </c>
      <c r="E27" s="4">
        <f t="shared" si="7"/>
        <v>0.60252681789808282</v>
      </c>
      <c r="F27" s="4">
        <f t="shared" si="7"/>
        <v>0.8253267203825243</v>
      </c>
      <c r="G27" s="4">
        <f t="shared" si="7"/>
        <v>0.61271710833185888</v>
      </c>
      <c r="H27" s="4">
        <f t="shared" si="7"/>
        <v>0.66019417475728159</v>
      </c>
      <c r="I27" s="4">
        <f t="shared" si="7"/>
        <v>0.6610854503464203</v>
      </c>
      <c r="J27" s="4">
        <f t="shared" si="7"/>
        <v>0.67402536402066693</v>
      </c>
      <c r="K27" s="4">
        <f t="shared" si="7"/>
        <v>0.67250961949551091</v>
      </c>
      <c r="L27" s="4">
        <f t="shared" si="7"/>
        <v>0.65919650177644162</v>
      </c>
      <c r="M27" s="4">
        <f t="shared" si="7"/>
        <v>0.65953307392996108</v>
      </c>
      <c r="N27" s="4">
        <f t="shared" si="7"/>
        <v>0.64931188857569222</v>
      </c>
      <c r="O27" s="4">
        <f t="shared" si="7"/>
        <v>0.73367545567156256</v>
      </c>
      <c r="P27" s="18"/>
      <c r="Q27" s="4">
        <f>IFERROR(Q26/Q10, 0)</f>
        <v>0.66347716544256008</v>
      </c>
    </row>
    <row r="28" spans="1:17" x14ac:dyDescent="0.25">
      <c r="A28" s="5"/>
      <c r="B28" s="8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Q28" s="1"/>
    </row>
    <row r="29" spans="1:17" s="14" customFormat="1" x14ac:dyDescent="0.25">
      <c r="A29" s="8"/>
      <c r="B29" s="16" t="s">
        <v>291</v>
      </c>
      <c r="C29" s="8"/>
      <c r="D29" s="10">
        <f>SUM(OSRRefD20x_0)</f>
        <v>162400.23000000004</v>
      </c>
      <c r="E29" s="10">
        <f>SUM(OSRRefD20x_1)</f>
        <v>114815.22000000002</v>
      </c>
      <c r="F29" s="10">
        <f>SUM(OSRRefD20x_2)</f>
        <v>150007.04999999999</v>
      </c>
      <c r="G29" s="10">
        <f>SUM(OSRRefD20x_3)</f>
        <v>145968.51000000004</v>
      </c>
      <c r="H29" s="10">
        <f>SUM(OSRRefE20x_0)</f>
        <v>122983.96485278461</v>
      </c>
      <c r="I29" s="10">
        <f>SUM(OSRRefE20x_1)</f>
        <v>109111.20082153846</v>
      </c>
      <c r="J29" s="10">
        <f>SUM(OSRRefE20x_2)</f>
        <v>134017.17118259612</v>
      </c>
      <c r="K29" s="10">
        <f>SUM(OSRRefE20x_3)</f>
        <v>125513.87691678462</v>
      </c>
      <c r="L29" s="10">
        <f>SUM(OSRRefE20x_4)</f>
        <v>123437.9519534</v>
      </c>
      <c r="M29" s="10">
        <f>SUM(OSRRefE20x_5)</f>
        <v>133666.09614598076</v>
      </c>
      <c r="N29" s="10">
        <f>SUM(OSRRefE20x_6)</f>
        <v>122816.9519534</v>
      </c>
      <c r="O29" s="10">
        <f>SUM(OSRRefE20x_7)</f>
        <v>123028.91313016924</v>
      </c>
      <c r="Q29" s="10">
        <f>SUM(OSRRefG20x)</f>
        <v>1567767.1369566538</v>
      </c>
    </row>
    <row r="30" spans="1:17" s="34" customFormat="1" collapsed="1" x14ac:dyDescent="0.25">
      <c r="A30" s="35"/>
      <c r="B30" s="15" t="str">
        <f>CONCATENATE("     ","*Benefits                                         ")</f>
        <v xml:space="preserve">     *Benefits                                         </v>
      </c>
      <c r="C30" s="15"/>
      <c r="D30" s="1">
        <f>SUM(OSRRefD21_0x_0)</f>
        <v>34968.670000000006</v>
      </c>
      <c r="E30" s="1">
        <f>SUM(OSRRefD21_0x_1)</f>
        <v>27260.259999999995</v>
      </c>
      <c r="F30" s="1">
        <f>SUM(OSRRefD21_0x_2)</f>
        <v>27566.019999999997</v>
      </c>
      <c r="G30" s="1">
        <f>SUM(OSRRefD21_0x_3)</f>
        <v>29664.920000000002</v>
      </c>
      <c r="H30" s="1">
        <f>SUM(OSRRefE21_0x_0)</f>
        <v>16865.035160476928</v>
      </c>
      <c r="I30" s="1">
        <f>SUM(OSRRefE21_0x_1)</f>
        <v>9462.243129230772</v>
      </c>
      <c r="J30" s="1">
        <f>SUM(OSRRefE21_0x_2)</f>
        <v>19404.799067211545</v>
      </c>
      <c r="K30" s="1">
        <f>SUM(OSRRefE21_0x_3)</f>
        <v>16959.427224476927</v>
      </c>
      <c r="L30" s="1">
        <f>SUM(OSRRefE21_0x_4)</f>
        <v>16829.942261092307</v>
      </c>
      <c r="M30" s="1">
        <f>SUM(OSRRefE21_0x_5)</f>
        <v>19534.284030596158</v>
      </c>
      <c r="N30" s="1">
        <f>SUM(OSRRefE21_0x_6)</f>
        <v>16829.942261092307</v>
      </c>
      <c r="O30" s="1">
        <f>SUM(OSRRefE21_0x_7)</f>
        <v>17084.948437861538</v>
      </c>
      <c r="Q30" s="2">
        <f>SUM(OSRRefD20_0x)+IFERROR(SUM(OSRRefE20_0x),0)</f>
        <v>252430.49157203847</v>
      </c>
    </row>
    <row r="31" spans="1:17" s="34" customFormat="1" hidden="1" outlineLevel="1" x14ac:dyDescent="0.25">
      <c r="A31" s="35"/>
      <c r="B31" s="13" t="str">
        <f>CONCATENATE("          ","6111", " - ","F.I.C.A.")</f>
        <v xml:space="preserve">          6111 - F.I.C.A.</v>
      </c>
      <c r="C31" s="15"/>
      <c r="D31" s="2">
        <v>3475.83</v>
      </c>
      <c r="E31" s="2">
        <v>3115.33</v>
      </c>
      <c r="F31" s="2">
        <v>3178.71</v>
      </c>
      <c r="G31" s="2">
        <v>6149.64</v>
      </c>
      <c r="H31" s="2">
        <v>2284.865198169231</v>
      </c>
      <c r="I31" s="2">
        <v>1448.8070907692311</v>
      </c>
      <c r="J31" s="2">
        <v>2874.78542971154</v>
      </c>
      <c r="K31" s="2">
        <v>2310.334382169231</v>
      </c>
      <c r="L31" s="2">
        <v>2297.201834169231</v>
      </c>
      <c r="M31" s="2">
        <v>2887.9179777115396</v>
      </c>
      <c r="N31" s="2">
        <v>2297.201834169231</v>
      </c>
      <c r="O31" s="2">
        <v>2323.4669301692311</v>
      </c>
      <c r="P31" s="9"/>
      <c r="Q31" s="2">
        <f>SUM(OSRRefD21_0_0x)+IFERROR(SUM(OSRRefE21_0_0x),0)</f>
        <v>34644.090677038461</v>
      </c>
    </row>
    <row r="32" spans="1:17" s="34" customFormat="1" hidden="1" outlineLevel="1" x14ac:dyDescent="0.25">
      <c r="A32" s="35"/>
      <c r="B32" s="13" t="str">
        <f>CONCATENATE("          ","6112", " - ","COMPENSATION INSURANCE")</f>
        <v xml:space="preserve">          6112 - COMPENSATION INSURANCE</v>
      </c>
      <c r="C32" s="15"/>
      <c r="D32" s="2">
        <v>738.68</v>
      </c>
      <c r="E32" s="2">
        <v>777.33</v>
      </c>
      <c r="F32" s="2">
        <v>988.18</v>
      </c>
      <c r="G32" s="2">
        <v>820.07</v>
      </c>
      <c r="H32" s="2">
        <v>749.97774353846148</v>
      </c>
      <c r="I32" s="2">
        <v>378.31276153846147</v>
      </c>
      <c r="J32" s="2">
        <v>937.80653942307674</v>
      </c>
      <c r="K32" s="2">
        <v>756.13454353846146</v>
      </c>
      <c r="L32" s="2">
        <v>748.77290353846149</v>
      </c>
      <c r="M32" s="2">
        <v>945.16817942307671</v>
      </c>
      <c r="N32" s="2">
        <v>748.77290353846149</v>
      </c>
      <c r="O32" s="2">
        <v>761.24393353846153</v>
      </c>
      <c r="P32" s="9"/>
      <c r="Q32" s="2">
        <f>SUM(OSRRefD21_0_1x)+IFERROR(SUM(OSRRefE21_0_1x),0)</f>
        <v>9350.4495080769229</v>
      </c>
    </row>
    <row r="33" spans="1:17" s="34" customFormat="1" hidden="1" outlineLevel="1" x14ac:dyDescent="0.25">
      <c r="A33" s="35"/>
      <c r="B33" s="13" t="str">
        <f>CONCATENATE("          ","6113", " - ","GROUP INSURANCE")</f>
        <v xml:space="preserve">          6113 - GROUP INSURANCE</v>
      </c>
      <c r="C33" s="15"/>
      <c r="D33" s="2">
        <v>18239.09</v>
      </c>
      <c r="E33" s="2">
        <v>13367.12</v>
      </c>
      <c r="F33" s="2">
        <v>13367.12</v>
      </c>
      <c r="G33" s="2">
        <v>11367.93</v>
      </c>
      <c r="H33" s="2">
        <v>7962.6923076923094</v>
      </c>
      <c r="I33" s="2">
        <v>3683.8461538461538</v>
      </c>
      <c r="J33" s="2">
        <v>8328.2307692307695</v>
      </c>
      <c r="K33" s="2">
        <v>7962.6923076923094</v>
      </c>
      <c r="L33" s="2">
        <v>7871.3076923076906</v>
      </c>
      <c r="M33" s="2">
        <v>8419.6153846153811</v>
      </c>
      <c r="N33" s="2">
        <v>7871.3076923076906</v>
      </c>
      <c r="O33" s="2">
        <v>8054.0769230769192</v>
      </c>
      <c r="P33" s="9"/>
      <c r="Q33" s="2">
        <f>SUM(OSRRefD21_0_2x)+IFERROR(SUM(OSRRefE21_0_2x),0)</f>
        <v>116495.02923076923</v>
      </c>
    </row>
    <row r="34" spans="1:17" s="34" customFormat="1" hidden="1" outlineLevel="1" x14ac:dyDescent="0.25">
      <c r="A34" s="35"/>
      <c r="B34" s="13" t="str">
        <f>CONCATENATE("          ","6114", " - ","STATE UNEMPLOYMENT INSURANCE")</f>
        <v xml:space="preserve">          6114 - STATE UNEMPLOYMENT INSURANCE</v>
      </c>
      <c r="C34" s="15"/>
      <c r="D34" s="2">
        <v>105.81</v>
      </c>
      <c r="E34" s="2">
        <v>107.66</v>
      </c>
      <c r="F34" s="2">
        <v>114.28</v>
      </c>
      <c r="G34" s="2">
        <v>104.09</v>
      </c>
      <c r="H34" s="2">
        <v>78.171108000000004</v>
      </c>
      <c r="I34" s="2">
        <v>49.494199999999999</v>
      </c>
      <c r="J34" s="2">
        <v>98.349324999999993</v>
      </c>
      <c r="K34" s="2">
        <v>79.036388000000002</v>
      </c>
      <c r="L34" s="2">
        <v>78.590227999999996</v>
      </c>
      <c r="M34" s="2">
        <v>98.795484999999999</v>
      </c>
      <c r="N34" s="2">
        <v>78.590227999999996</v>
      </c>
      <c r="O34" s="2">
        <v>79.346047999999996</v>
      </c>
      <c r="P34" s="9"/>
      <c r="Q34" s="2">
        <f>SUM(OSRRefD21_0_3x)+IFERROR(SUM(OSRRefE21_0_3x),0)</f>
        <v>1072.2130099999999</v>
      </c>
    </row>
    <row r="35" spans="1:17" s="34" customFormat="1" hidden="1" outlineLevel="1" x14ac:dyDescent="0.25">
      <c r="A35" s="35"/>
      <c r="B35" s="13" t="str">
        <f>CONCATENATE("          ","6115", " - ","P.E.R.S.")</f>
        <v xml:space="preserve">          6115 - P.E.R.S.</v>
      </c>
      <c r="C35" s="15"/>
      <c r="D35" s="2">
        <v>6511.13</v>
      </c>
      <c r="E35" s="2">
        <v>3683.98</v>
      </c>
      <c r="F35" s="2">
        <v>3683.98</v>
      </c>
      <c r="G35" s="2">
        <v>3223.68</v>
      </c>
      <c r="H35" s="2">
        <v>2272.4477261538459</v>
      </c>
      <c r="I35" s="2">
        <v>1480.509846153846</v>
      </c>
      <c r="J35" s="2">
        <v>2876.3356576923097</v>
      </c>
      <c r="K35" s="2">
        <v>2301.0685261538461</v>
      </c>
      <c r="L35" s="2">
        <v>2301.0685261538461</v>
      </c>
      <c r="M35" s="2">
        <v>2876.3356576923097</v>
      </c>
      <c r="N35" s="2">
        <v>2301.0685261538461</v>
      </c>
      <c r="O35" s="2">
        <v>2301.0685261538461</v>
      </c>
      <c r="P35" s="9"/>
      <c r="Q35" s="2">
        <f>SUM(OSRRefD21_0_4x)+IFERROR(SUM(OSRRefE21_0_4x),0)</f>
        <v>35812.672992307693</v>
      </c>
    </row>
    <row r="36" spans="1:17" s="34" customFormat="1" hidden="1" outlineLevel="1" x14ac:dyDescent="0.25">
      <c r="A36" s="35"/>
      <c r="B36" s="13" t="str">
        <f>CONCATENATE("          ","6116", " - ","EDUCATIONAL BENEFITS")</f>
        <v xml:space="preserve">          6116 - EDUCATIONAL BENEFITS</v>
      </c>
      <c r="C36" s="15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SUM(OSRRefD21_0_5x)+IFERROR(SUM(OSRRefE21_0_5x),0)</f>
        <v>0</v>
      </c>
    </row>
    <row r="37" spans="1:17" s="34" customFormat="1" hidden="1" outlineLevel="1" x14ac:dyDescent="0.25">
      <c r="A37" s="35"/>
      <c r="B37" s="13" t="str">
        <f>CONCATENATE("          ","6118", " - ","VACATION")</f>
        <v xml:space="preserve">          6118 - VACATION</v>
      </c>
      <c r="C37" s="15"/>
      <c r="D37" s="2">
        <v>3359.21</v>
      </c>
      <c r="E37" s="2">
        <v>3208.6</v>
      </c>
      <c r="F37" s="2">
        <v>3208.6</v>
      </c>
      <c r="G37" s="2">
        <v>4570.74</v>
      </c>
      <c r="H37" s="2">
        <v>2046.2520769230798</v>
      </c>
      <c r="I37" s="2">
        <v>1500.02307692308</v>
      </c>
      <c r="J37" s="2">
        <v>2570.0350961538497</v>
      </c>
      <c r="K37" s="2">
        <v>2062.8920769230799</v>
      </c>
      <c r="L37" s="2">
        <v>2054.31207692308</v>
      </c>
      <c r="M37" s="2">
        <v>2578.6150961538497</v>
      </c>
      <c r="N37" s="2">
        <v>2054.31207692308</v>
      </c>
      <c r="O37" s="2">
        <v>2071.4720769230798</v>
      </c>
      <c r="P37" s="9"/>
      <c r="Q37" s="2">
        <f>SUM(OSRRefD21_0_6x)+IFERROR(SUM(OSRRefE21_0_6x),0)</f>
        <v>31285.063653846177</v>
      </c>
    </row>
    <row r="38" spans="1:17" s="34" customFormat="1" hidden="1" outlineLevel="1" x14ac:dyDescent="0.25">
      <c r="A38" s="35"/>
      <c r="B38" s="13" t="str">
        <f>CONCATENATE("          ","6119", " - ","SICK LEAVE")</f>
        <v xml:space="preserve">          6119 - SICK LEAVE</v>
      </c>
      <c r="C38" s="15"/>
      <c r="D38" s="2">
        <v>2229.19</v>
      </c>
      <c r="E38" s="2">
        <v>1945.96</v>
      </c>
      <c r="F38" s="2">
        <v>1945.96</v>
      </c>
      <c r="G38" s="2">
        <v>2725.11</v>
      </c>
      <c r="H38" s="2">
        <v>945.62900000000002</v>
      </c>
      <c r="I38" s="2">
        <v>396.25</v>
      </c>
      <c r="J38" s="2">
        <v>1194.2562499999999</v>
      </c>
      <c r="K38" s="2">
        <v>962.26900000000001</v>
      </c>
      <c r="L38" s="2">
        <v>953.68899999999996</v>
      </c>
      <c r="M38" s="2">
        <v>1202.8362500000001</v>
      </c>
      <c r="N38" s="2">
        <v>953.68899999999996</v>
      </c>
      <c r="O38" s="2">
        <v>969.274</v>
      </c>
      <c r="P38" s="9"/>
      <c r="Q38" s="2">
        <f>SUM(OSRRefD21_0_7x)+IFERROR(SUM(OSRRefE21_0_7x),0)</f>
        <v>16424.112499999999</v>
      </c>
    </row>
    <row r="39" spans="1:17" s="34" customFormat="1" hidden="1" outlineLevel="1" x14ac:dyDescent="0.25">
      <c r="A39" s="35"/>
      <c r="B39" s="13" t="str">
        <f>CONCATENATE("          ","6156", " - ","EMPLOYEE MEALS")</f>
        <v xml:space="preserve">          6156 - EMPLOYEE MEALS</v>
      </c>
      <c r="C39" s="15"/>
      <c r="D39" s="2">
        <v>309.73</v>
      </c>
      <c r="E39" s="2">
        <v>1054.28</v>
      </c>
      <c r="F39" s="2">
        <v>1079.19</v>
      </c>
      <c r="G39" s="2">
        <v>703.66</v>
      </c>
      <c r="H39" s="2">
        <v>525</v>
      </c>
      <c r="I39" s="2">
        <v>525</v>
      </c>
      <c r="J39" s="2">
        <v>525</v>
      </c>
      <c r="K39" s="2">
        <v>525</v>
      </c>
      <c r="L39" s="2">
        <v>525</v>
      </c>
      <c r="M39" s="2">
        <v>525</v>
      </c>
      <c r="N39" s="2">
        <v>525</v>
      </c>
      <c r="O39" s="2">
        <v>525</v>
      </c>
      <c r="P39" s="9"/>
      <c r="Q39" s="2">
        <f>SUM(OSRRefD21_0_8x)+IFERROR(SUM(OSRRefE21_0_8x),0)</f>
        <v>7346.86</v>
      </c>
    </row>
    <row r="40" spans="1:17" s="34" customFormat="1" collapsed="1" x14ac:dyDescent="0.25">
      <c r="A40" s="35"/>
      <c r="B40" s="15" t="str">
        <f>CONCATENATE("     ","*Payroll                                          ")</f>
        <v xml:space="preserve">     *Payroll                                          </v>
      </c>
      <c r="C40" s="15"/>
      <c r="D40" s="1">
        <f>SUM(OSRRefD21_1x_0)</f>
        <v>47905.05</v>
      </c>
      <c r="E40" s="1">
        <f>SUM(OSRRefD21_1x_1)</f>
        <v>40914.910000000003</v>
      </c>
      <c r="F40" s="1">
        <f>SUM(OSRRefD21_1x_2)</f>
        <v>40840.409999999996</v>
      </c>
      <c r="G40" s="1">
        <f>SUM(OSRRefD21_1x_3)</f>
        <v>37076.53</v>
      </c>
      <c r="H40" s="1">
        <f>SUM(OSRRefE21_1x_0)</f>
        <v>27073.929692307691</v>
      </c>
      <c r="I40" s="1">
        <f>SUM(OSRRefE21_1x_1)</f>
        <v>17139.957692307689</v>
      </c>
      <c r="J40" s="1">
        <f>SUM(OSRRefE21_1x_2)</f>
        <v>34062.372115384598</v>
      </c>
      <c r="K40" s="1">
        <f>SUM(OSRRefE21_1x_3)</f>
        <v>27373.449692307691</v>
      </c>
      <c r="L40" s="1">
        <f>SUM(OSRRefE21_1x_4)</f>
        <v>27219.009692307693</v>
      </c>
      <c r="M40" s="1">
        <f>SUM(OSRRefE21_1x_5)</f>
        <v>34216.8121153846</v>
      </c>
      <c r="N40" s="1">
        <f>SUM(OSRRefE21_1x_6)</f>
        <v>27219.009692307693</v>
      </c>
      <c r="O40" s="1">
        <f>SUM(OSRRefE21_1x_7)</f>
        <v>27476.964692307694</v>
      </c>
      <c r="Q40" s="2">
        <f>SUM(OSRRefD20_1x)+IFERROR(SUM(OSRRefE20_1x),0)</f>
        <v>388518.4053846153</v>
      </c>
    </row>
    <row r="41" spans="1:17" s="34" customFormat="1" hidden="1" outlineLevel="1" x14ac:dyDescent="0.25">
      <c r="A41" s="35"/>
      <c r="B41" s="13" t="str">
        <f>CONCATENATE("          ","6001", " - ","ADMINISTRATIVE SALARIES")</f>
        <v xml:space="preserve">          6001 - ADMINISTRATIVE SALARIES</v>
      </c>
      <c r="C41" s="15"/>
      <c r="D41" s="2">
        <v>11207.33</v>
      </c>
      <c r="E41" s="2">
        <v>11069.28</v>
      </c>
      <c r="F41" s="2">
        <v>11069.28</v>
      </c>
      <c r="G41" s="2">
        <v>10516.14</v>
      </c>
      <c r="H41" s="2">
        <v>15493.707692307691</v>
      </c>
      <c r="I41" s="2">
        <v>15493.707692307691</v>
      </c>
      <c r="J41" s="2">
        <v>19367.134615384603</v>
      </c>
      <c r="K41" s="2">
        <v>15493.707692307691</v>
      </c>
      <c r="L41" s="2">
        <v>15493.707692307691</v>
      </c>
      <c r="M41" s="2">
        <v>19367.134615384603</v>
      </c>
      <c r="N41" s="2">
        <v>15493.707692307691</v>
      </c>
      <c r="O41" s="2">
        <v>15493.707692307691</v>
      </c>
      <c r="P41" s="9"/>
      <c r="Q41" s="2">
        <f>SUM(OSRRefD21_1_0x)+IFERROR(SUM(OSRRefE21_1_0x),0)</f>
        <v>175558.54538461537</v>
      </c>
    </row>
    <row r="42" spans="1:17" s="34" customFormat="1" hidden="1" outlineLevel="1" x14ac:dyDescent="0.25">
      <c r="A42" s="35"/>
      <c r="B42" s="13" t="str">
        <f>CONCATENATE("          ","6002", " - ","STAFF SALARIES")</f>
        <v xml:space="preserve">          6002 - STAFF SALARIES</v>
      </c>
      <c r="C42" s="15"/>
      <c r="D42" s="2">
        <v>32575.99</v>
      </c>
      <c r="E42" s="2">
        <v>24162.06</v>
      </c>
      <c r="F42" s="2">
        <v>24492.959999999999</v>
      </c>
      <c r="G42" s="2">
        <v>21968.26</v>
      </c>
      <c r="H42" s="2">
        <v>8287.7219999999998</v>
      </c>
      <c r="I42" s="2">
        <v>0</v>
      </c>
      <c r="J42" s="2">
        <v>10734.0525</v>
      </c>
      <c r="K42" s="2">
        <v>8587.2420000000002</v>
      </c>
      <c r="L42" s="2">
        <v>8587.2420000000002</v>
      </c>
      <c r="M42" s="2">
        <v>10734.0525</v>
      </c>
      <c r="N42" s="2">
        <v>8587.2420000000002</v>
      </c>
      <c r="O42" s="2">
        <v>8587.2420000000002</v>
      </c>
      <c r="P42" s="9"/>
      <c r="Q42" s="2">
        <f>SUM(OSRRefD21_1_1x)+IFERROR(SUM(OSRRefE21_1_1x),0)</f>
        <v>167304.065</v>
      </c>
    </row>
    <row r="43" spans="1:17" s="34" customFormat="1" hidden="1" outlineLevel="1" x14ac:dyDescent="0.25">
      <c r="A43" s="35"/>
      <c r="B43" s="13" t="str">
        <f>CONCATENATE("          ","6003", " - ","STAFF HOURLY-9 MONTH")</f>
        <v xml:space="preserve">          6003 - STAFF HOURLY-9 MONTH</v>
      </c>
      <c r="C43" s="15"/>
      <c r="D43" s="2"/>
      <c r="E43" s="2"/>
      <c r="F43" s="2"/>
      <c r="G43" s="2"/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SUM(OSRRefD21_1_2x)+IFERROR(SUM(OSRRefE21_1_2x),0)</f>
        <v>0</v>
      </c>
    </row>
    <row r="44" spans="1:17" s="34" customFormat="1" hidden="1" outlineLevel="1" x14ac:dyDescent="0.25">
      <c r="A44" s="35"/>
      <c r="B44" s="13" t="str">
        <f>CONCATENATE("          ","6004", " - ","STAFF HOURLY")</f>
        <v xml:space="preserve">          6004 - STAFF HOURLY</v>
      </c>
      <c r="C44" s="15"/>
      <c r="D44" s="2">
        <v>2771.73</v>
      </c>
      <c r="E44" s="2">
        <v>4818.47</v>
      </c>
      <c r="F44" s="2">
        <v>3115.4</v>
      </c>
      <c r="G44" s="2">
        <v>4641.7</v>
      </c>
      <c r="H44" s="2">
        <v>3088.8</v>
      </c>
      <c r="I44" s="2">
        <v>1544.4</v>
      </c>
      <c r="J44" s="2">
        <v>3706.56</v>
      </c>
      <c r="K44" s="2">
        <v>3088.8</v>
      </c>
      <c r="L44" s="2">
        <v>2934.36</v>
      </c>
      <c r="M44" s="2">
        <v>3861</v>
      </c>
      <c r="N44" s="2">
        <v>2934.36</v>
      </c>
      <c r="O44" s="2">
        <v>3243.24</v>
      </c>
      <c r="P44" s="9"/>
      <c r="Q44" s="2">
        <f>SUM(OSRRefD21_1_3x)+IFERROR(SUM(OSRRefE21_1_3x),0)</f>
        <v>39748.820000000007</v>
      </c>
    </row>
    <row r="45" spans="1:17" s="34" customFormat="1" hidden="1" outlineLevel="1" x14ac:dyDescent="0.25">
      <c r="A45" s="35"/>
      <c r="B45" s="13" t="str">
        <f>CONCATENATE("          ","6005", " - ","TEMPORARY WAGES-HOURLY")</f>
        <v xml:space="preserve">          6005 - TEMPORARY WAGES-HOURLY</v>
      </c>
      <c r="C45" s="15"/>
      <c r="D45" s="2"/>
      <c r="E45" s="2">
        <v>155.1</v>
      </c>
      <c r="F45" s="2">
        <v>3050.77</v>
      </c>
      <c r="G45" s="2">
        <v>1052.72</v>
      </c>
      <c r="H45" s="2">
        <v>203.7</v>
      </c>
      <c r="I45" s="2">
        <v>101.85</v>
      </c>
      <c r="J45" s="2">
        <v>254.625</v>
      </c>
      <c r="K45" s="2">
        <v>203.7</v>
      </c>
      <c r="L45" s="2">
        <v>203.7</v>
      </c>
      <c r="M45" s="2">
        <v>254.625</v>
      </c>
      <c r="N45" s="2">
        <v>203.7</v>
      </c>
      <c r="O45" s="2">
        <v>152.77500000000001</v>
      </c>
      <c r="P45" s="9"/>
      <c r="Q45" s="2">
        <f>SUM(OSRRefD21_1_4x)+IFERROR(SUM(OSRRefE21_1_4x),0)</f>
        <v>5837.2650000000003</v>
      </c>
    </row>
    <row r="46" spans="1:17" s="34" customFormat="1" hidden="1" outlineLevel="1" x14ac:dyDescent="0.25">
      <c r="A46" s="35"/>
      <c r="B46" s="13" t="str">
        <f>CONCATENATE("          ","6006", " - ","TEMPORARY PART TIME")</f>
        <v xml:space="preserve">          6006 - TEMPORARY PART TIME</v>
      </c>
      <c r="C46" s="15"/>
      <c r="D46" s="2"/>
      <c r="E46" s="2"/>
      <c r="F46" s="2"/>
      <c r="G46" s="2"/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SUM(OSRRefD21_1_5x)+IFERROR(SUM(OSRRefE21_1_5x),0)</f>
        <v>0</v>
      </c>
    </row>
    <row r="47" spans="1:17" s="34" customFormat="1" hidden="1" outlineLevel="1" x14ac:dyDescent="0.25">
      <c r="A47" s="35"/>
      <c r="B47" s="13" t="str">
        <f>CONCATENATE("          ","6007", " - ","STUDENT HOURLY")</f>
        <v xml:space="preserve">          6007 - STUDENT HOURLY</v>
      </c>
      <c r="C47" s="15"/>
      <c r="D47" s="2">
        <v>1350</v>
      </c>
      <c r="E47" s="2">
        <v>710</v>
      </c>
      <c r="F47" s="2">
        <v>-888</v>
      </c>
      <c r="G47" s="2">
        <v>-1102.29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SUM(OSRRefD21_1_6x)+IFERROR(SUM(OSRRefE21_1_6x),0)</f>
        <v>69.710000000000036</v>
      </c>
    </row>
    <row r="48" spans="1:17" s="34" customFormat="1" hidden="1" outlineLevel="1" x14ac:dyDescent="0.25">
      <c r="A48" s="35"/>
      <c r="B48" s="13" t="str">
        <f>CONCATENATE("          ","6008", " - ","STUDENT HOURLY-FICA EXEMPT")</f>
        <v xml:space="preserve">          6008 - STUDENT HOURLY-FICA EXEMPT</v>
      </c>
      <c r="C48" s="15"/>
      <c r="D48" s="2"/>
      <c r="E48" s="2"/>
      <c r="F48" s="2"/>
      <c r="G48" s="2"/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SUM(OSRRefD21_1_7x)+IFERROR(SUM(OSRRefE21_1_7x),0)</f>
        <v>0</v>
      </c>
    </row>
    <row r="49" spans="1:17" s="34" customFormat="1" hidden="1" outlineLevel="1" x14ac:dyDescent="0.25">
      <c r="A49" s="35"/>
      <c r="B49" s="13" t="str">
        <f>CONCATENATE("          ","6009", " - ","TEMPORARY-SEASONAL")</f>
        <v xml:space="preserve">          6009 - TEMPORARY-SEASONAL</v>
      </c>
      <c r="C49" s="15"/>
      <c r="D49" s="2"/>
      <c r="E49" s="2"/>
      <c r="F49" s="2"/>
      <c r="G49" s="2"/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SUM(OSRRefD21_1_8x)+IFERROR(SUM(OSRRefE21_1_8x),0)</f>
        <v>0</v>
      </c>
    </row>
    <row r="50" spans="1:17" s="34" customFormat="1" hidden="1" outlineLevel="1" x14ac:dyDescent="0.25">
      <c r="A50" s="35"/>
      <c r="B50" s="13" t="str">
        <f>CONCATENATE("          ","6010", " - ","GRATUITY")</f>
        <v xml:space="preserve">          6010 - GRATUITY</v>
      </c>
      <c r="C50" s="15"/>
      <c r="D50" s="2"/>
      <c r="E50" s="2"/>
      <c r="F50" s="2"/>
      <c r="G50" s="2"/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SUM(OSRRefD21_1_9x)+IFERROR(SUM(OSRRefE21_1_9x),0)</f>
        <v>0</v>
      </c>
    </row>
    <row r="51" spans="1:17" s="34" customFormat="1" collapsed="1" x14ac:dyDescent="0.25">
      <c r="A51" s="35"/>
      <c r="B51" s="15" t="str">
        <f>CONCATENATE("     ","Advertising/Promo                                 ")</f>
        <v xml:space="preserve">     Advertising/Promo                                 </v>
      </c>
      <c r="C51" s="15"/>
      <c r="D51" s="1">
        <f>SUM(OSRRefD21_2x_0)</f>
        <v>45.97</v>
      </c>
      <c r="E51" s="1">
        <f>SUM(OSRRefD21_2x_1)</f>
        <v>0</v>
      </c>
      <c r="F51" s="1">
        <f>SUM(OSRRefD21_2x_2)</f>
        <v>49.61</v>
      </c>
      <c r="G51" s="1">
        <f>SUM(OSRRefD21_2x_3)</f>
        <v>15.05</v>
      </c>
      <c r="H51" s="1">
        <f>SUM(OSRRefE21_2x_0)</f>
        <v>0</v>
      </c>
      <c r="I51" s="1">
        <f>SUM(OSRRefE21_2x_1)</f>
        <v>0</v>
      </c>
      <c r="J51" s="1">
        <f>SUM(OSRRefE21_2x_2)</f>
        <v>0</v>
      </c>
      <c r="K51" s="1">
        <f>SUM(OSRRefE21_2x_3)</f>
        <v>0</v>
      </c>
      <c r="L51" s="1">
        <f>SUM(OSRRefE21_2x_4)</f>
        <v>0</v>
      </c>
      <c r="M51" s="1">
        <f>SUM(OSRRefE21_2x_5)</f>
        <v>0</v>
      </c>
      <c r="N51" s="1">
        <f>SUM(OSRRefE21_2x_6)</f>
        <v>0</v>
      </c>
      <c r="O51" s="1">
        <f>SUM(OSRRefE21_2x_7)</f>
        <v>0</v>
      </c>
      <c r="Q51" s="2">
        <f>SUM(OSRRefD20_2x)+IFERROR(SUM(OSRRefE20_2x),0)</f>
        <v>110.63</v>
      </c>
    </row>
    <row r="52" spans="1:17" s="34" customFormat="1" hidden="1" outlineLevel="1" x14ac:dyDescent="0.25">
      <c r="A52" s="35"/>
      <c r="B52" s="13" t="str">
        <f>CONCATENATE("          ","6362", " - ","ADVERTISING EXPENSE")</f>
        <v xml:space="preserve">          6362 - ADVERTISING EXPENSE</v>
      </c>
      <c r="C52" s="15"/>
      <c r="D52" s="2">
        <v>45.97</v>
      </c>
      <c r="E52" s="2"/>
      <c r="F52" s="2">
        <v>49.61</v>
      </c>
      <c r="G52" s="2">
        <v>15.05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SUM(OSRRefD21_2_0x)+IFERROR(SUM(OSRRefE21_2_0x),0)</f>
        <v>110.63</v>
      </c>
    </row>
    <row r="53" spans="1:17" s="34" customFormat="1" collapsed="1" x14ac:dyDescent="0.25">
      <c r="A53" s="35"/>
      <c r="B53" s="15" t="str">
        <f>CONCATENATE("     ","Bad Debts/Over/Short                              ")</f>
        <v xml:space="preserve">     Bad Debts/Over/Short                              </v>
      </c>
      <c r="C53" s="15"/>
      <c r="D53" s="1">
        <f>SUM(OSRRefD21_3x_0)</f>
        <v>0</v>
      </c>
      <c r="E53" s="1">
        <f>SUM(OSRRefD21_3x_1)</f>
        <v>3.61</v>
      </c>
      <c r="F53" s="1">
        <f>SUM(OSRRefD21_3x_2)</f>
        <v>-193.82</v>
      </c>
      <c r="G53" s="1">
        <f>SUM(OSRRefD21_3x_3)</f>
        <v>1531.8</v>
      </c>
      <c r="H53" s="1">
        <f>SUM(OSRRefE21_3x_0)</f>
        <v>8</v>
      </c>
      <c r="I53" s="1">
        <f>SUM(OSRRefE21_3x_1)</f>
        <v>8</v>
      </c>
      <c r="J53" s="1">
        <f>SUM(OSRRefE21_3x_2)</f>
        <v>5</v>
      </c>
      <c r="K53" s="1">
        <f>SUM(OSRRefE21_3x_3)</f>
        <v>5</v>
      </c>
      <c r="L53" s="1">
        <f>SUM(OSRRefE21_3x_4)</f>
        <v>8</v>
      </c>
      <c r="M53" s="1">
        <f>SUM(OSRRefE21_3x_5)</f>
        <v>7</v>
      </c>
      <c r="N53" s="1">
        <f>SUM(OSRRefE21_3x_6)</f>
        <v>5</v>
      </c>
      <c r="O53" s="1">
        <f>SUM(OSRRefE21_3x_7)</f>
        <v>5</v>
      </c>
      <c r="Q53" s="2">
        <f>SUM(OSRRefD20_3x)+IFERROR(SUM(OSRRefE20_3x),0)</f>
        <v>1392.59</v>
      </c>
    </row>
    <row r="54" spans="1:17" s="34" customFormat="1" hidden="1" outlineLevel="1" x14ac:dyDescent="0.25">
      <c r="A54" s="35"/>
      <c r="B54" s="13" t="str">
        <f>CONCATENATE("          ","6272", " - ","CASH (OVER/SHORT)")</f>
        <v xml:space="preserve">          6272 - CASH (OVER/SHORT)</v>
      </c>
      <c r="C54" s="15"/>
      <c r="D54" s="2"/>
      <c r="E54" s="2">
        <v>3.61</v>
      </c>
      <c r="F54" s="2">
        <v>-193.82</v>
      </c>
      <c r="G54" s="2">
        <v>1531.8</v>
      </c>
      <c r="H54" s="2">
        <v>8</v>
      </c>
      <c r="I54" s="2">
        <v>8</v>
      </c>
      <c r="J54" s="2">
        <v>5</v>
      </c>
      <c r="K54" s="2">
        <v>5</v>
      </c>
      <c r="L54" s="2">
        <v>8</v>
      </c>
      <c r="M54" s="2">
        <v>7</v>
      </c>
      <c r="N54" s="2">
        <v>5</v>
      </c>
      <c r="O54" s="2">
        <v>5</v>
      </c>
      <c r="P54" s="9"/>
      <c r="Q54" s="2">
        <f>SUM(OSRRefD21_3_0x)+IFERROR(SUM(OSRRefE21_3_0x),0)</f>
        <v>1392.59</v>
      </c>
    </row>
    <row r="55" spans="1:17" s="34" customFormat="1" collapsed="1" x14ac:dyDescent="0.25">
      <c r="A55" s="35"/>
      <c r="B55" s="15" t="str">
        <f>CONCATENATE("     ","Bank/card Fees                                    ")</f>
        <v xml:space="preserve">     Bank/card Fees                                    </v>
      </c>
      <c r="C55" s="15"/>
      <c r="D55" s="1">
        <f>SUM(OSRRefD21_4x_0)</f>
        <v>342.82</v>
      </c>
      <c r="E55" s="1">
        <f>SUM(OSRRefD21_4x_1)</f>
        <v>393.07</v>
      </c>
      <c r="F55" s="1">
        <f>SUM(OSRRefD21_4x_2)</f>
        <v>603.61</v>
      </c>
      <c r="G55" s="1">
        <f>SUM(OSRRefD21_4x_3)</f>
        <v>962.55</v>
      </c>
      <c r="H55" s="1">
        <f>SUM(OSRRefE21_4x_0)</f>
        <v>413</v>
      </c>
      <c r="I55" s="1">
        <f>SUM(OSRRefE21_4x_1)</f>
        <v>396</v>
      </c>
      <c r="J55" s="1">
        <f>SUM(OSRRefE21_4x_2)</f>
        <v>324</v>
      </c>
      <c r="K55" s="1">
        <f>SUM(OSRRefE21_4x_3)</f>
        <v>356</v>
      </c>
      <c r="L55" s="1">
        <f>SUM(OSRRefE21_4x_4)</f>
        <v>559</v>
      </c>
      <c r="M55" s="1">
        <f>SUM(OSRRefE21_4x_5)</f>
        <v>662</v>
      </c>
      <c r="N55" s="1">
        <f>SUM(OSRRefE21_4x_6)</f>
        <v>461</v>
      </c>
      <c r="O55" s="1">
        <f>SUM(OSRRefE21_4x_7)</f>
        <v>426</v>
      </c>
      <c r="Q55" s="2">
        <f>SUM(OSRRefD20_4x)+IFERROR(SUM(OSRRefE20_4x),0)</f>
        <v>5899.05</v>
      </c>
    </row>
    <row r="56" spans="1:17" s="34" customFormat="1" hidden="1" outlineLevel="1" x14ac:dyDescent="0.25">
      <c r="A56" s="35"/>
      <c r="B56" s="13" t="str">
        <f>CONCATENATE("          ","6381", " - ","BANK/CREDIT CARD FEES")</f>
        <v xml:space="preserve">          6381 - BANK/CREDIT CARD FEES</v>
      </c>
      <c r="C56" s="15"/>
      <c r="D56" s="2">
        <v>342.82</v>
      </c>
      <c r="E56" s="2">
        <v>393.07</v>
      </c>
      <c r="F56" s="2">
        <v>603.61</v>
      </c>
      <c r="G56" s="2">
        <v>962.55</v>
      </c>
      <c r="H56" s="2">
        <v>413</v>
      </c>
      <c r="I56" s="2">
        <v>396</v>
      </c>
      <c r="J56" s="2">
        <v>324</v>
      </c>
      <c r="K56" s="2">
        <v>356</v>
      </c>
      <c r="L56" s="2">
        <v>559</v>
      </c>
      <c r="M56" s="2">
        <v>662</v>
      </c>
      <c r="N56" s="2">
        <v>461</v>
      </c>
      <c r="O56" s="2">
        <v>426</v>
      </c>
      <c r="P56" s="9"/>
      <c r="Q56" s="2">
        <f>SUM(OSRRefD21_4_0x)+IFERROR(SUM(OSRRefE21_4_0x),0)</f>
        <v>5899.05</v>
      </c>
    </row>
    <row r="57" spans="1:17" s="34" customFormat="1" collapsed="1" x14ac:dyDescent="0.25">
      <c r="A57" s="35"/>
      <c r="B57" s="15" t="str">
        <f>CONCATENATE("     ","Depreciation                                      ")</f>
        <v xml:space="preserve">     Depreciation                                      </v>
      </c>
      <c r="C57" s="15"/>
      <c r="D57" s="1">
        <f>SUM(OSRRefD21_5x_0)</f>
        <v>46546.740000000005</v>
      </c>
      <c r="E57" s="1">
        <f>SUM(OSRRefD21_5x_1)</f>
        <v>46962.47</v>
      </c>
      <c r="F57" s="1">
        <f>SUM(OSRRefD21_5x_2)</f>
        <v>46945.41</v>
      </c>
      <c r="G57" s="1">
        <f>SUM(OSRRefD21_5x_3)</f>
        <v>46041.58</v>
      </c>
      <c r="H57" s="1">
        <f>SUM(OSRRefE21_5x_0)</f>
        <v>46280</v>
      </c>
      <c r="I57" s="1">
        <f>SUM(OSRRefE21_5x_1)</f>
        <v>46280</v>
      </c>
      <c r="J57" s="1">
        <f>SUM(OSRRefE21_5x_2)</f>
        <v>46280</v>
      </c>
      <c r="K57" s="1">
        <f>SUM(OSRRefE21_5x_3)</f>
        <v>46280</v>
      </c>
      <c r="L57" s="1">
        <f>SUM(OSRRefE21_5x_4)</f>
        <v>46280</v>
      </c>
      <c r="M57" s="1">
        <f>SUM(OSRRefE21_5x_5)</f>
        <v>46280</v>
      </c>
      <c r="N57" s="1">
        <f>SUM(OSRRefE21_5x_6)</f>
        <v>46280</v>
      </c>
      <c r="O57" s="1">
        <f>SUM(OSRRefE21_5x_7)</f>
        <v>44140</v>
      </c>
      <c r="Q57" s="2">
        <f>SUM(OSRRefD20_5x)+IFERROR(SUM(OSRRefE20_5x),0)</f>
        <v>554596.19999999995</v>
      </c>
    </row>
    <row r="58" spans="1:17" s="34" customFormat="1" hidden="1" outlineLevel="1" x14ac:dyDescent="0.25">
      <c r="A58" s="35"/>
      <c r="B58" s="13" t="str">
        <f>CONCATENATE("          ","6321", " - ","BUILDING DEPRECIATION")</f>
        <v xml:space="preserve">          6321 - BUILDING DEPRECIATION</v>
      </c>
      <c r="C58" s="15"/>
      <c r="D58" s="2">
        <v>28925.4</v>
      </c>
      <c r="E58" s="2">
        <v>28925.4</v>
      </c>
      <c r="F58" s="2">
        <v>28925.390000000003</v>
      </c>
      <c r="G58" s="2">
        <v>28664</v>
      </c>
      <c r="H58" s="2"/>
      <c r="I58" s="2"/>
      <c r="J58" s="2"/>
      <c r="K58" s="2"/>
      <c r="L58" s="2"/>
      <c r="M58" s="2"/>
      <c r="N58" s="2"/>
      <c r="O58" s="2"/>
      <c r="P58" s="9"/>
      <c r="Q58" s="2">
        <f>SUM(OSRRefD21_5_0x)+IFERROR(SUM(OSRRefE21_5_0x),0)</f>
        <v>115440.19</v>
      </c>
    </row>
    <row r="59" spans="1:17" s="34" customFormat="1" hidden="1" outlineLevel="1" x14ac:dyDescent="0.25">
      <c r="A59" s="35"/>
      <c r="B59" s="13" t="str">
        <f>CONCATENATE("          ","6322", " - ","EQUIPMENT DEPRECIATION EXPENSE")</f>
        <v xml:space="preserve">          6322 - EQUIPMENT DEPRECIATION EXPENSE</v>
      </c>
      <c r="C59" s="15"/>
      <c r="D59" s="2">
        <v>17621.34</v>
      </c>
      <c r="E59" s="2">
        <v>18037.070000000003</v>
      </c>
      <c r="F59" s="2">
        <v>18020.02</v>
      </c>
      <c r="G59" s="2">
        <v>17377.580000000002</v>
      </c>
      <c r="H59" s="2">
        <v>45730</v>
      </c>
      <c r="I59" s="2">
        <v>45730</v>
      </c>
      <c r="J59" s="2">
        <v>45730</v>
      </c>
      <c r="K59" s="2">
        <v>45730</v>
      </c>
      <c r="L59" s="2">
        <v>45730</v>
      </c>
      <c r="M59" s="2">
        <v>45730</v>
      </c>
      <c r="N59" s="2">
        <v>45730</v>
      </c>
      <c r="O59" s="2">
        <v>43590</v>
      </c>
      <c r="P59" s="9"/>
      <c r="Q59" s="2">
        <f>SUM(OSRRefD21_5_1x)+IFERROR(SUM(OSRRefE21_5_1x),0)</f>
        <v>434756.01</v>
      </c>
    </row>
    <row r="60" spans="1:17" s="34" customFormat="1" hidden="1" outlineLevel="1" x14ac:dyDescent="0.25">
      <c r="A60" s="35"/>
      <c r="B60" s="13" t="str">
        <f>CONCATENATE("          ","6326", " - ","VEHICLES DEPRECIATION EXPENSE")</f>
        <v xml:space="preserve">          6326 - VEHICLES DEPRECIATION EXPENSE</v>
      </c>
      <c r="C60" s="15"/>
      <c r="D60" s="2"/>
      <c r="E60" s="2"/>
      <c r="F60" s="2"/>
      <c r="G60" s="2"/>
      <c r="H60" s="2">
        <v>550</v>
      </c>
      <c r="I60" s="2">
        <v>550</v>
      </c>
      <c r="J60" s="2">
        <v>550</v>
      </c>
      <c r="K60" s="2">
        <v>550</v>
      </c>
      <c r="L60" s="2">
        <v>550</v>
      </c>
      <c r="M60" s="2">
        <v>550</v>
      </c>
      <c r="N60" s="2">
        <v>550</v>
      </c>
      <c r="O60" s="2">
        <v>550</v>
      </c>
      <c r="P60" s="9"/>
      <c r="Q60" s="2">
        <f>SUM(OSRRefD21_5_2x)+IFERROR(SUM(OSRRefE21_5_2x),0)</f>
        <v>4400</v>
      </c>
    </row>
    <row r="61" spans="1:17" s="34" customFormat="1" collapsed="1" x14ac:dyDescent="0.25">
      <c r="A61" s="35"/>
      <c r="B61" s="15" t="str">
        <f>CONCATENATE("     ","Employees' Appreciation                           ")</f>
        <v xml:space="preserve">     Employees' Appreciation                           </v>
      </c>
      <c r="C61" s="15"/>
      <c r="D61" s="1">
        <f>SUM(OSRRefD21_6x_0)</f>
        <v>0</v>
      </c>
      <c r="E61" s="1">
        <f>SUM(OSRRefD21_6x_1)</f>
        <v>0</v>
      </c>
      <c r="F61" s="1">
        <f>SUM(OSRRefD21_6x_2)</f>
        <v>0</v>
      </c>
      <c r="G61" s="1">
        <f>SUM(OSRRefD21_6x_3)</f>
        <v>0</v>
      </c>
      <c r="H61" s="1">
        <f>SUM(OSRRefE21_6x_0)</f>
        <v>0</v>
      </c>
      <c r="I61" s="1">
        <f>SUM(OSRRefE21_6x_1)</f>
        <v>50</v>
      </c>
      <c r="J61" s="1">
        <f>SUM(OSRRefE21_6x_2)</f>
        <v>0</v>
      </c>
      <c r="K61" s="1">
        <f>SUM(OSRRefE21_6x_3)</f>
        <v>0</v>
      </c>
      <c r="L61" s="1">
        <f>SUM(OSRRefE21_6x_4)</f>
        <v>0</v>
      </c>
      <c r="M61" s="1">
        <f>SUM(OSRRefE21_6x_5)</f>
        <v>100</v>
      </c>
      <c r="N61" s="1">
        <f>SUM(OSRRefE21_6x_6)</f>
        <v>0</v>
      </c>
      <c r="O61" s="1">
        <f>SUM(OSRRefE21_6x_7)</f>
        <v>0</v>
      </c>
      <c r="Q61" s="2">
        <f>SUM(OSRRefD20_6x)+IFERROR(SUM(OSRRefE20_6x),0)</f>
        <v>150</v>
      </c>
    </row>
    <row r="62" spans="1:17" s="34" customFormat="1" hidden="1" outlineLevel="1" x14ac:dyDescent="0.25">
      <c r="A62" s="35"/>
      <c r="B62" s="13" t="str">
        <f>CONCATENATE("          ","6277", " - ","EMPLOYEE APPRECIATION")</f>
        <v xml:space="preserve">          6277 - EMPLOYEE APPRECIATION</v>
      </c>
      <c r="C62" s="15"/>
      <c r="D62" s="2"/>
      <c r="E62" s="2"/>
      <c r="F62" s="2"/>
      <c r="G62" s="2"/>
      <c r="H62" s="2">
        <v>0</v>
      </c>
      <c r="I62" s="2">
        <v>50</v>
      </c>
      <c r="J62" s="2">
        <v>0</v>
      </c>
      <c r="K62" s="2">
        <v>0</v>
      </c>
      <c r="L62" s="2">
        <v>0</v>
      </c>
      <c r="M62" s="2">
        <v>100</v>
      </c>
      <c r="N62" s="2">
        <v>0</v>
      </c>
      <c r="O62" s="2">
        <v>0</v>
      </c>
      <c r="P62" s="9"/>
      <c r="Q62" s="2">
        <f>SUM(OSRRefD21_6_0x)+IFERROR(SUM(OSRRefE21_6_0x),0)</f>
        <v>150</v>
      </c>
    </row>
    <row r="63" spans="1:17" s="34" customFormat="1" collapsed="1" x14ac:dyDescent="0.25">
      <c r="A63" s="35"/>
      <c r="B63" s="15" t="str">
        <f>CONCATENATE("     ","Equipment Rental                                  ")</f>
        <v xml:space="preserve">     Equipment Rental                                  </v>
      </c>
      <c r="C63" s="15"/>
      <c r="D63" s="1">
        <f>SUM(OSRRefD21_7x_0)</f>
        <v>868.95</v>
      </c>
      <c r="E63" s="1">
        <f>SUM(OSRRefD21_7x_1)</f>
        <v>163.80000000000001</v>
      </c>
      <c r="F63" s="1">
        <f>SUM(OSRRefD21_7x_2)</f>
        <v>283.86</v>
      </c>
      <c r="G63" s="1">
        <f>SUM(OSRRefD21_7x_3)</f>
        <v>1984.06</v>
      </c>
      <c r="H63" s="1">
        <f>SUM(OSRRefE21_7x_0)</f>
        <v>247</v>
      </c>
      <c r="I63" s="1">
        <f>SUM(OSRRefE21_7x_1)</f>
        <v>241</v>
      </c>
      <c r="J63" s="1">
        <f>SUM(OSRRefE21_7x_2)</f>
        <v>312</v>
      </c>
      <c r="K63" s="1">
        <f>SUM(OSRRefE21_7x_3)</f>
        <v>249</v>
      </c>
      <c r="L63" s="1">
        <f>SUM(OSRRefE21_7x_4)</f>
        <v>266</v>
      </c>
      <c r="M63" s="1">
        <f>SUM(OSRRefE21_7x_5)</f>
        <v>292</v>
      </c>
      <c r="N63" s="1">
        <f>SUM(OSRRefE21_7x_6)</f>
        <v>292</v>
      </c>
      <c r="O63" s="1">
        <f>SUM(OSRRefE21_7x_7)</f>
        <v>241</v>
      </c>
      <c r="Q63" s="2">
        <f>SUM(OSRRefD20_7x)+IFERROR(SUM(OSRRefE20_7x),0)</f>
        <v>5440.67</v>
      </c>
    </row>
    <row r="64" spans="1:17" s="34" customFormat="1" hidden="1" outlineLevel="1" x14ac:dyDescent="0.25">
      <c r="A64" s="35"/>
      <c r="B64" s="13" t="str">
        <f>CONCATENATE("          ","6351", " - ","EQUIPMENT RENTAL")</f>
        <v xml:space="preserve">          6351 - EQUIPMENT RENTAL</v>
      </c>
      <c r="C64" s="15"/>
      <c r="D64" s="2">
        <v>868.95</v>
      </c>
      <c r="E64" s="2">
        <v>163.80000000000001</v>
      </c>
      <c r="F64" s="2">
        <v>283.86</v>
      </c>
      <c r="G64" s="2">
        <v>1984.06</v>
      </c>
      <c r="H64" s="2">
        <v>247</v>
      </c>
      <c r="I64" s="2">
        <v>241</v>
      </c>
      <c r="J64" s="2">
        <v>312</v>
      </c>
      <c r="K64" s="2">
        <v>249</v>
      </c>
      <c r="L64" s="2">
        <v>266</v>
      </c>
      <c r="M64" s="2">
        <v>292</v>
      </c>
      <c r="N64" s="2">
        <v>292</v>
      </c>
      <c r="O64" s="2">
        <v>241</v>
      </c>
      <c r="P64" s="9"/>
      <c r="Q64" s="2">
        <f>SUM(OSRRefD21_7_0x)+IFERROR(SUM(OSRRefE21_7_0x),0)</f>
        <v>5440.67</v>
      </c>
    </row>
    <row r="65" spans="1:17" s="34" customFormat="1" collapsed="1" x14ac:dyDescent="0.25">
      <c r="A65" s="35"/>
      <c r="B65" s="15" t="str">
        <f>CONCATENATE("     ","Freight out/Postage                               ")</f>
        <v xml:space="preserve">     Freight out/Postage                               </v>
      </c>
      <c r="C65" s="15"/>
      <c r="D65" s="1">
        <f>SUM(OSRRefD21_8x_0)</f>
        <v>0</v>
      </c>
      <c r="E65" s="1">
        <f>SUM(OSRRefD21_8x_1)</f>
        <v>3.94</v>
      </c>
      <c r="F65" s="1">
        <f>SUM(OSRRefD21_8x_2)</f>
        <v>0.64999999999999947</v>
      </c>
      <c r="G65" s="1">
        <f>SUM(OSRRefD21_8x_3)</f>
        <v>85.43</v>
      </c>
      <c r="H65" s="1">
        <f>SUM(OSRRefE21_8x_0)</f>
        <v>0</v>
      </c>
      <c r="I65" s="1">
        <f>SUM(OSRRefE21_8x_1)</f>
        <v>0</v>
      </c>
      <c r="J65" s="1">
        <f>SUM(OSRRefE21_8x_2)</f>
        <v>0</v>
      </c>
      <c r="K65" s="1">
        <f>SUM(OSRRefE21_8x_3)</f>
        <v>0</v>
      </c>
      <c r="L65" s="1">
        <f>SUM(OSRRefE21_8x_4)</f>
        <v>0</v>
      </c>
      <c r="M65" s="1">
        <f>SUM(OSRRefE21_8x_5)</f>
        <v>0</v>
      </c>
      <c r="N65" s="1">
        <f>SUM(OSRRefE21_8x_6)</f>
        <v>0</v>
      </c>
      <c r="O65" s="1">
        <f>SUM(OSRRefE21_8x_7)</f>
        <v>0</v>
      </c>
      <c r="Q65" s="2">
        <f>SUM(OSRRefD20_8x)+IFERROR(SUM(OSRRefE20_8x),0)</f>
        <v>90.02000000000001</v>
      </c>
    </row>
    <row r="66" spans="1:17" s="34" customFormat="1" hidden="1" outlineLevel="1" x14ac:dyDescent="0.25">
      <c r="A66" s="35"/>
      <c r="B66" s="13" t="str">
        <f>CONCATENATE("          ","6305", " - ","FREIGHT OUT")</f>
        <v xml:space="preserve">          6305 - FREIGHT OUT</v>
      </c>
      <c r="C66" s="15"/>
      <c r="D66" s="2"/>
      <c r="E66" s="2">
        <v>3.94</v>
      </c>
      <c r="F66" s="2">
        <v>6.06</v>
      </c>
      <c r="G66" s="2">
        <v>85.43</v>
      </c>
      <c r="H66" s="2"/>
      <c r="I66" s="2"/>
      <c r="J66" s="2"/>
      <c r="K66" s="2"/>
      <c r="L66" s="2"/>
      <c r="M66" s="2"/>
      <c r="N66" s="2"/>
      <c r="O66" s="2"/>
      <c r="P66" s="9"/>
      <c r="Q66" s="2">
        <f>SUM(OSRRefD21_8_0x)+IFERROR(SUM(OSRRefE21_8_0x),0)</f>
        <v>95.43</v>
      </c>
    </row>
    <row r="67" spans="1:17" s="34" customFormat="1" hidden="1" outlineLevel="1" x14ac:dyDescent="0.25">
      <c r="A67" s="35"/>
      <c r="B67" s="13" t="str">
        <f>CONCATENATE("          ","6307", " - ","POSTAGE")</f>
        <v xml:space="preserve">          6307 - POSTAGE</v>
      </c>
      <c r="C67" s="15"/>
      <c r="D67" s="2"/>
      <c r="E67" s="2"/>
      <c r="F67" s="2">
        <v>-5.41</v>
      </c>
      <c r="G67" s="2"/>
      <c r="H67" s="2"/>
      <c r="I67" s="2"/>
      <c r="J67" s="2"/>
      <c r="K67" s="2"/>
      <c r="L67" s="2"/>
      <c r="M67" s="2"/>
      <c r="N67" s="2"/>
      <c r="O67" s="2"/>
      <c r="P67" s="9"/>
      <c r="Q67" s="2">
        <f>SUM(OSRRefD21_8_1x)+IFERROR(SUM(OSRRefE21_8_1x),0)</f>
        <v>-5.41</v>
      </c>
    </row>
    <row r="68" spans="1:17" s="34" customFormat="1" collapsed="1" x14ac:dyDescent="0.25">
      <c r="A68" s="35"/>
      <c r="B68" s="15" t="str">
        <f>CONCATENATE("     ","General                                           ")</f>
        <v xml:space="preserve">     General                                           </v>
      </c>
      <c r="C68" s="15"/>
      <c r="D68" s="1">
        <f>SUM(OSRRefD21_9x_0)</f>
        <v>5832.3</v>
      </c>
      <c r="E68" s="1">
        <f>SUM(OSRRefD21_9x_1)</f>
        <v>-1107.27</v>
      </c>
      <c r="F68" s="1">
        <f>SUM(OSRRefD21_9x_2)</f>
        <v>550.52</v>
      </c>
      <c r="G68" s="1">
        <f>SUM(OSRRefD21_9x_3)</f>
        <v>0</v>
      </c>
      <c r="H68" s="1">
        <f>SUM(OSRRefE21_9x_0)</f>
        <v>0</v>
      </c>
      <c r="I68" s="1">
        <f>SUM(OSRRefE21_9x_1)</f>
        <v>455</v>
      </c>
      <c r="J68" s="1">
        <f>SUM(OSRRefE21_9x_2)</f>
        <v>0</v>
      </c>
      <c r="K68" s="1">
        <f>SUM(OSRRefE21_9x_3)</f>
        <v>1800</v>
      </c>
      <c r="L68" s="1">
        <f>SUM(OSRRefE21_9x_4)</f>
        <v>0</v>
      </c>
      <c r="M68" s="1">
        <f>SUM(OSRRefE21_9x_5)</f>
        <v>0</v>
      </c>
      <c r="N68" s="1">
        <f>SUM(OSRRefE21_9x_6)</f>
        <v>0</v>
      </c>
      <c r="O68" s="1">
        <f>SUM(OSRRefE21_9x_7)</f>
        <v>0</v>
      </c>
      <c r="Q68" s="2">
        <f>SUM(OSRRefD20_9x)+IFERROR(SUM(OSRRefE20_9x),0)</f>
        <v>7530.5500000000011</v>
      </c>
    </row>
    <row r="69" spans="1:17" s="34" customFormat="1" hidden="1" outlineLevel="1" x14ac:dyDescent="0.25">
      <c r="A69" s="35"/>
      <c r="B69" s="13" t="str">
        <f>CONCATENATE("          ","6279", " - ","GENERAL EXPENSE")</f>
        <v xml:space="preserve">          6279 - GENERAL EXPENSE</v>
      </c>
      <c r="C69" s="15"/>
      <c r="D69" s="2">
        <v>5832.3</v>
      </c>
      <c r="E69" s="2">
        <v>-1107.27</v>
      </c>
      <c r="F69" s="2">
        <v>550.52</v>
      </c>
      <c r="G69" s="2"/>
      <c r="H69" s="2">
        <v>0</v>
      </c>
      <c r="I69" s="2">
        <v>455</v>
      </c>
      <c r="J69" s="2">
        <v>0</v>
      </c>
      <c r="K69" s="2">
        <v>1800</v>
      </c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SUM(OSRRefD21_9_0x)+IFERROR(SUM(OSRRefE21_9_0x),0)</f>
        <v>7530.5500000000011</v>
      </c>
    </row>
    <row r="70" spans="1:17" s="34" customFormat="1" collapsed="1" x14ac:dyDescent="0.25">
      <c r="A70" s="35"/>
      <c r="B70" s="15" t="str">
        <f>CONCATENATE("     ","Insurance                                         ")</f>
        <v xml:space="preserve">     Insurance                                         </v>
      </c>
      <c r="C70" s="15"/>
      <c r="D70" s="1">
        <f>SUM(OSRRefD21_10x_0)</f>
        <v>4483.67</v>
      </c>
      <c r="E70" s="1">
        <f>SUM(OSRRefD21_10x_1)</f>
        <v>4483.67</v>
      </c>
      <c r="F70" s="1">
        <f>SUM(OSRRefD21_10x_2)</f>
        <v>4483.67</v>
      </c>
      <c r="G70" s="1">
        <f>SUM(OSRRefD21_10x_3)</f>
        <v>10595.67</v>
      </c>
      <c r="H70" s="1">
        <f>SUM(OSRRefE21_10x_0)</f>
        <v>4835</v>
      </c>
      <c r="I70" s="1">
        <f>SUM(OSRRefE21_10x_1)</f>
        <v>4835</v>
      </c>
      <c r="J70" s="1">
        <f>SUM(OSRRefE21_10x_2)</f>
        <v>4835</v>
      </c>
      <c r="K70" s="1">
        <f>SUM(OSRRefE21_10x_3)</f>
        <v>4835</v>
      </c>
      <c r="L70" s="1">
        <f>SUM(OSRRefE21_10x_4)</f>
        <v>4835</v>
      </c>
      <c r="M70" s="1">
        <f>SUM(OSRRefE21_10x_5)</f>
        <v>4835</v>
      </c>
      <c r="N70" s="1">
        <f>SUM(OSRRefE21_10x_6)</f>
        <v>4835</v>
      </c>
      <c r="O70" s="1">
        <f>SUM(OSRRefE21_10x_7)</f>
        <v>4835</v>
      </c>
      <c r="Q70" s="2">
        <f>SUM(OSRRefD20_10x)+IFERROR(SUM(OSRRefE20_10x),0)</f>
        <v>62726.68</v>
      </c>
    </row>
    <row r="71" spans="1:17" s="34" customFormat="1" hidden="1" outlineLevel="1" x14ac:dyDescent="0.25">
      <c r="A71" s="35"/>
      <c r="B71" s="13" t="str">
        <f>CONCATENATE("          ","6314", " - ","LIABILITY INSURANCE")</f>
        <v xml:space="preserve">          6314 - LIABILITY INSURANCE</v>
      </c>
      <c r="C71" s="15"/>
      <c r="D71" s="2">
        <v>4483.67</v>
      </c>
      <c r="E71" s="2">
        <v>4483.67</v>
      </c>
      <c r="F71" s="2">
        <v>4483.67</v>
      </c>
      <c r="G71" s="2">
        <v>10595.67</v>
      </c>
      <c r="H71" s="2">
        <v>4835</v>
      </c>
      <c r="I71" s="2">
        <v>4835</v>
      </c>
      <c r="J71" s="2">
        <v>4835</v>
      </c>
      <c r="K71" s="2">
        <v>4835</v>
      </c>
      <c r="L71" s="2">
        <v>4835</v>
      </c>
      <c r="M71" s="2">
        <v>4835</v>
      </c>
      <c r="N71" s="2">
        <v>4835</v>
      </c>
      <c r="O71" s="2">
        <v>4835</v>
      </c>
      <c r="P71" s="9"/>
      <c r="Q71" s="2">
        <f>SUM(OSRRefD21_10_0x)+IFERROR(SUM(OSRRefE21_10_0x),0)</f>
        <v>62726.68</v>
      </c>
    </row>
    <row r="72" spans="1:17" s="34" customFormat="1" collapsed="1" x14ac:dyDescent="0.25">
      <c r="A72" s="35"/>
      <c r="B72" s="15" t="str">
        <f>CONCATENATE("     ","Interest                                          ")</f>
        <v xml:space="preserve">     Interest                                          </v>
      </c>
      <c r="C72" s="15"/>
      <c r="D72" s="1">
        <f>SUM(OSRRefD21_11x_0)</f>
        <v>11554</v>
      </c>
      <c r="E72" s="1">
        <f>SUM(OSRRefD21_11x_1)</f>
        <v>11554</v>
      </c>
      <c r="F72" s="1">
        <f>SUM(OSRRefD21_11x_2)</f>
        <v>11554</v>
      </c>
      <c r="G72" s="1">
        <f>SUM(OSRRefD21_11x_3)</f>
        <v>10805</v>
      </c>
      <c r="H72" s="1">
        <f>SUM(OSRRefE21_11x_0)</f>
        <v>11554</v>
      </c>
      <c r="I72" s="1">
        <f>SUM(OSRRefE21_11x_1)</f>
        <v>11554</v>
      </c>
      <c r="J72" s="1">
        <f>SUM(OSRRefE21_11x_2)</f>
        <v>11554</v>
      </c>
      <c r="K72" s="1">
        <f>SUM(OSRRefE21_11x_3)</f>
        <v>11554</v>
      </c>
      <c r="L72" s="1">
        <f>SUM(OSRRefE21_11x_4)</f>
        <v>11554</v>
      </c>
      <c r="M72" s="1">
        <f>SUM(OSRRefE21_11x_5)</f>
        <v>11554</v>
      </c>
      <c r="N72" s="1">
        <f>SUM(OSRRefE21_11x_6)</f>
        <v>11158</v>
      </c>
      <c r="O72" s="1">
        <f>SUM(OSRRefE21_11x_7)</f>
        <v>11158</v>
      </c>
      <c r="Q72" s="2">
        <f>SUM(OSRRefD20_11x)+IFERROR(SUM(OSRRefE20_11x),0)</f>
        <v>137107</v>
      </c>
    </row>
    <row r="73" spans="1:17" s="34" customFormat="1" hidden="1" outlineLevel="1" x14ac:dyDescent="0.25">
      <c r="A73" s="35"/>
      <c r="B73" s="13" t="str">
        <f>CONCATENATE("          ","6401", " - ","INTEREST EXPENSE")</f>
        <v xml:space="preserve">          6401 - INTEREST EXPENSE</v>
      </c>
      <c r="C73" s="15"/>
      <c r="D73" s="2">
        <v>11554</v>
      </c>
      <c r="E73" s="2">
        <v>11554</v>
      </c>
      <c r="F73" s="2">
        <v>11554</v>
      </c>
      <c r="G73" s="2">
        <v>10805</v>
      </c>
      <c r="H73" s="2">
        <v>11554</v>
      </c>
      <c r="I73" s="2">
        <v>11554</v>
      </c>
      <c r="J73" s="2">
        <v>11554</v>
      </c>
      <c r="K73" s="2">
        <v>11554</v>
      </c>
      <c r="L73" s="2">
        <v>11554</v>
      </c>
      <c r="M73" s="2">
        <v>11554</v>
      </c>
      <c r="N73" s="2">
        <v>11158</v>
      </c>
      <c r="O73" s="2">
        <v>11158</v>
      </c>
      <c r="P73" s="9"/>
      <c r="Q73" s="2">
        <f>SUM(OSRRefD21_11_0x)+IFERROR(SUM(OSRRefE21_11_0x),0)</f>
        <v>137107</v>
      </c>
    </row>
    <row r="74" spans="1:17" s="34" customFormat="1" collapsed="1" x14ac:dyDescent="0.25">
      <c r="A74" s="35"/>
      <c r="B74" s="15" t="str">
        <f>CONCATENATE("     ","R/H Commissions                                   ")</f>
        <v xml:space="preserve">     R/H Commissions                                   </v>
      </c>
      <c r="C74" s="15"/>
      <c r="D74" s="1">
        <f>SUM(OSRRefD21_12x_0)</f>
        <v>0</v>
      </c>
      <c r="E74" s="1">
        <f>SUM(OSRRefD21_12x_1)</f>
        <v>0</v>
      </c>
      <c r="F74" s="1">
        <f>SUM(OSRRefD21_12x_2)</f>
        <v>0</v>
      </c>
      <c r="G74" s="1">
        <f>SUM(OSRRefD21_12x_3)</f>
        <v>0</v>
      </c>
      <c r="H74" s="1">
        <f>SUM(OSRRefE21_12x_0)</f>
        <v>0</v>
      </c>
      <c r="I74" s="1">
        <f>SUM(OSRRefE21_12x_1)</f>
        <v>0</v>
      </c>
      <c r="J74" s="1">
        <f>SUM(OSRRefE21_12x_2)</f>
        <v>0</v>
      </c>
      <c r="K74" s="1">
        <f>SUM(OSRRefE21_12x_3)</f>
        <v>0</v>
      </c>
      <c r="L74" s="1">
        <f>SUM(OSRRefE21_12x_4)</f>
        <v>0</v>
      </c>
      <c r="M74" s="1">
        <f>SUM(OSRRefE21_12x_5)</f>
        <v>0</v>
      </c>
      <c r="N74" s="1">
        <f>SUM(OSRRefE21_12x_6)</f>
        <v>0</v>
      </c>
      <c r="O74" s="1">
        <f>SUM(OSRRefE21_12x_7)</f>
        <v>2000</v>
      </c>
      <c r="Q74" s="2">
        <f>SUM(OSRRefD20_12x)+IFERROR(SUM(OSRRefE20_12x),0)</f>
        <v>2000</v>
      </c>
    </row>
    <row r="75" spans="1:17" s="34" customFormat="1" hidden="1" outlineLevel="1" x14ac:dyDescent="0.25">
      <c r="A75" s="35"/>
      <c r="B75" s="13" t="str">
        <f>CONCATENATE("          ","6387", " - ","COMMISSION DUE HOUSING")</f>
        <v xml:space="preserve">          6387 - COMMISSION DUE HOUSING</v>
      </c>
      <c r="C75" s="15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>
        <v>2000</v>
      </c>
      <c r="P75" s="9"/>
      <c r="Q75" s="2">
        <f>SUM(OSRRefD21_12_0x)+IFERROR(SUM(OSRRefE21_12_0x),0)</f>
        <v>2000</v>
      </c>
    </row>
    <row r="76" spans="1:17" s="34" customFormat="1" collapsed="1" x14ac:dyDescent="0.25">
      <c r="A76" s="35"/>
      <c r="B76" s="15" t="str">
        <f>CONCATENATE("     ","Rent                                              ")</f>
        <v xml:space="preserve">     Rent                                              </v>
      </c>
      <c r="C76" s="15"/>
      <c r="D76" s="1">
        <f>SUM(OSRRefD21_13x_0)</f>
        <v>0</v>
      </c>
      <c r="E76" s="1">
        <f>SUM(OSRRefD21_13x_1)</f>
        <v>0</v>
      </c>
      <c r="F76" s="1">
        <f>SUM(OSRRefD21_13x_2)</f>
        <v>5550</v>
      </c>
      <c r="G76" s="1">
        <f>SUM(OSRRefD21_13x_3)</f>
        <v>0</v>
      </c>
      <c r="H76" s="1">
        <f>SUM(OSRRefE21_13x_0)</f>
        <v>1943</v>
      </c>
      <c r="I76" s="1">
        <f>SUM(OSRRefE21_13x_1)</f>
        <v>1943</v>
      </c>
      <c r="J76" s="1">
        <f>SUM(OSRRefE21_13x_2)</f>
        <v>1943</v>
      </c>
      <c r="K76" s="1">
        <f>SUM(OSRRefE21_13x_3)</f>
        <v>1943</v>
      </c>
      <c r="L76" s="1">
        <f>SUM(OSRRefE21_13x_4)</f>
        <v>1943</v>
      </c>
      <c r="M76" s="1">
        <f>SUM(OSRRefE21_13x_5)</f>
        <v>1943</v>
      </c>
      <c r="N76" s="1">
        <f>SUM(OSRRefE21_13x_6)</f>
        <v>1943</v>
      </c>
      <c r="O76" s="1">
        <f>SUM(OSRRefE21_13x_7)</f>
        <v>1943</v>
      </c>
      <c r="Q76" s="2">
        <f>SUM(OSRRefD20_13x)+IFERROR(SUM(OSRRefE20_13x),0)</f>
        <v>21094</v>
      </c>
    </row>
    <row r="77" spans="1:17" s="34" customFormat="1" hidden="1" outlineLevel="1" x14ac:dyDescent="0.25">
      <c r="A77" s="35"/>
      <c r="B77" s="13" t="str">
        <f>CONCATENATE("          ","6273", " - ","RENT")</f>
        <v xml:space="preserve">          6273 - RENT</v>
      </c>
      <c r="C77" s="15"/>
      <c r="D77" s="2"/>
      <c r="E77" s="2"/>
      <c r="F77" s="2">
        <v>5550</v>
      </c>
      <c r="G77" s="2"/>
      <c r="H77" s="2">
        <v>1943</v>
      </c>
      <c r="I77" s="2">
        <v>1943</v>
      </c>
      <c r="J77" s="2">
        <v>1943</v>
      </c>
      <c r="K77" s="2">
        <v>1943</v>
      </c>
      <c r="L77" s="2">
        <v>1943</v>
      </c>
      <c r="M77" s="2">
        <v>1943</v>
      </c>
      <c r="N77" s="2">
        <v>1943</v>
      </c>
      <c r="O77" s="2">
        <v>1943</v>
      </c>
      <c r="P77" s="9"/>
      <c r="Q77" s="2">
        <f>SUM(OSRRefD21_13_0x)+IFERROR(SUM(OSRRefE21_13_0x),0)</f>
        <v>21094</v>
      </c>
    </row>
    <row r="78" spans="1:17" s="34" customFormat="1" collapsed="1" x14ac:dyDescent="0.25">
      <c r="A78" s="35"/>
      <c r="B78" s="15" t="str">
        <f>CONCATENATE("     ","Repair and Maintenance                            ")</f>
        <v xml:space="preserve">     Repair and Maintenance                            </v>
      </c>
      <c r="C78" s="15"/>
      <c r="D78" s="1">
        <f>SUM(OSRRefD21_14x_0)</f>
        <v>4224.41</v>
      </c>
      <c r="E78" s="1">
        <f>SUM(OSRRefD21_14x_1)</f>
        <v>4732.46</v>
      </c>
      <c r="F78" s="1">
        <f>SUM(OSRRefD21_14x_2)</f>
        <v>3137.59</v>
      </c>
      <c r="G78" s="1">
        <f>SUM(OSRRefD21_14x_3)</f>
        <v>4021.3999999999996</v>
      </c>
      <c r="H78" s="1">
        <f>SUM(OSRRefE21_14x_0)</f>
        <v>1000</v>
      </c>
      <c r="I78" s="1">
        <f>SUM(OSRRefE21_14x_1)</f>
        <v>1000</v>
      </c>
      <c r="J78" s="1">
        <f>SUM(OSRRefE21_14x_2)</f>
        <v>1000</v>
      </c>
      <c r="K78" s="1">
        <f>SUM(OSRRefE21_14x_3)</f>
        <v>1000</v>
      </c>
      <c r="L78" s="1">
        <f>SUM(OSRRefE21_14x_4)</f>
        <v>1000</v>
      </c>
      <c r="M78" s="1">
        <f>SUM(OSRRefE21_14x_5)</f>
        <v>1000</v>
      </c>
      <c r="N78" s="1">
        <f>SUM(OSRRefE21_14x_6)</f>
        <v>1000</v>
      </c>
      <c r="O78" s="1">
        <f>SUM(OSRRefE21_14x_7)</f>
        <v>0</v>
      </c>
      <c r="Q78" s="2">
        <f>SUM(OSRRefD20_14x)+IFERROR(SUM(OSRRefE20_14x),0)</f>
        <v>23115.86</v>
      </c>
    </row>
    <row r="79" spans="1:17" s="34" customFormat="1" hidden="1" outlineLevel="1" x14ac:dyDescent="0.25">
      <c r="A79" s="35"/>
      <c r="B79" s="13" t="str">
        <f>CONCATENATE("          ","6372", " - ","COMPUTER HARDWARE MAINTENANCE")</f>
        <v xml:space="preserve">          6372 - COMPUTER HARDWARE MAINTENANCE</v>
      </c>
      <c r="C79" s="15"/>
      <c r="D79" s="2"/>
      <c r="E79" s="2"/>
      <c r="F79" s="2"/>
      <c r="G79" s="2"/>
      <c r="H79" s="2"/>
      <c r="I79" s="2"/>
      <c r="J79" s="2">
        <v>0</v>
      </c>
      <c r="K79" s="2"/>
      <c r="L79" s="2"/>
      <c r="M79" s="2"/>
      <c r="N79" s="2"/>
      <c r="O79" s="2"/>
      <c r="P79" s="9"/>
      <c r="Q79" s="2">
        <f>SUM(OSRRefD21_14_0x)+IFERROR(SUM(OSRRefE21_14_0x),0)</f>
        <v>0</v>
      </c>
    </row>
    <row r="80" spans="1:17" s="34" customFormat="1" hidden="1" outlineLevel="1" x14ac:dyDescent="0.25">
      <c r="A80" s="35"/>
      <c r="B80" s="13" t="str">
        <f>CONCATENATE("          ","6373", " - ","MAINTENANCE CONTRACTS")</f>
        <v xml:space="preserve">          6373 - MAINTENANCE CONTRACTS</v>
      </c>
      <c r="C80" s="15"/>
      <c r="D80" s="2">
        <v>2353.59</v>
      </c>
      <c r="E80" s="2">
        <v>2041.06</v>
      </c>
      <c r="F80" s="2">
        <v>1958.21</v>
      </c>
      <c r="G80" s="2">
        <v>3179.47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SUM(OSRRefD21_14_1x)+IFERROR(SUM(OSRRefE21_14_1x),0)</f>
        <v>9532.33</v>
      </c>
    </row>
    <row r="81" spans="1:17" s="34" customFormat="1" hidden="1" outlineLevel="1" x14ac:dyDescent="0.25">
      <c r="A81" s="35"/>
      <c r="B81" s="13" t="str">
        <f>CONCATENATE("          ","6375", " - ","OUTSIDE REPAIRS &amp; MAINTENANCE")</f>
        <v xml:space="preserve">          6375 - OUTSIDE REPAIRS &amp; MAINTENANCE</v>
      </c>
      <c r="C81" s="15"/>
      <c r="D81" s="2">
        <v>1870.82</v>
      </c>
      <c r="E81" s="2">
        <v>2691.4</v>
      </c>
      <c r="F81" s="2">
        <v>1179.3800000000001</v>
      </c>
      <c r="G81" s="2">
        <v>841.93</v>
      </c>
      <c r="H81" s="2">
        <v>1000</v>
      </c>
      <c r="I81" s="2">
        <v>1000</v>
      </c>
      <c r="J81" s="2">
        <v>1000</v>
      </c>
      <c r="K81" s="2">
        <v>1000</v>
      </c>
      <c r="L81" s="2">
        <v>1000</v>
      </c>
      <c r="M81" s="2">
        <v>1000</v>
      </c>
      <c r="N81" s="2">
        <v>1000</v>
      </c>
      <c r="O81" s="2">
        <v>0</v>
      </c>
      <c r="P81" s="9"/>
      <c r="Q81" s="2">
        <f>SUM(OSRRefD21_14_2x)+IFERROR(SUM(OSRRefE21_14_2x),0)</f>
        <v>13583.53</v>
      </c>
    </row>
    <row r="82" spans="1:17" s="34" customFormat="1" collapsed="1" x14ac:dyDescent="0.25">
      <c r="A82" s="35"/>
      <c r="B82" s="15" t="str">
        <f>CONCATENATE("     ","Royalty &amp; Commissions                             ")</f>
        <v xml:space="preserve">     Royalty &amp; Commissions                             </v>
      </c>
      <c r="C82" s="15"/>
      <c r="D82" s="1">
        <f>SUM(OSRRefD21_15x_0)</f>
        <v>0</v>
      </c>
      <c r="E82" s="1">
        <f>SUM(OSRRefD21_15x_1)</f>
        <v>0</v>
      </c>
      <c r="F82" s="1">
        <f>SUM(OSRRefD21_15x_2)</f>
        <v>0</v>
      </c>
      <c r="G82" s="1">
        <f>SUM(OSRRefD21_15x_3)</f>
        <v>185.7</v>
      </c>
      <c r="H82" s="1">
        <f>SUM(OSRRefE21_15x_0)</f>
        <v>0</v>
      </c>
      <c r="I82" s="1">
        <f>SUM(OSRRefE21_15x_1)</f>
        <v>0</v>
      </c>
      <c r="J82" s="1">
        <f>SUM(OSRRefE21_15x_2)</f>
        <v>0</v>
      </c>
      <c r="K82" s="1">
        <f>SUM(OSRRefE21_15x_3)</f>
        <v>0</v>
      </c>
      <c r="L82" s="1">
        <f>SUM(OSRRefE21_15x_4)</f>
        <v>0</v>
      </c>
      <c r="M82" s="1">
        <f>SUM(OSRRefE21_15x_5)</f>
        <v>0</v>
      </c>
      <c r="N82" s="1">
        <f>SUM(OSRRefE21_15x_6)</f>
        <v>0</v>
      </c>
      <c r="O82" s="1">
        <f>SUM(OSRRefE21_15x_7)</f>
        <v>0</v>
      </c>
      <c r="Q82" s="2">
        <f>SUM(OSRRefD20_15x)+IFERROR(SUM(OSRRefE20_15x),0)</f>
        <v>185.7</v>
      </c>
    </row>
    <row r="83" spans="1:17" s="34" customFormat="1" hidden="1" outlineLevel="1" x14ac:dyDescent="0.25">
      <c r="A83" s="35"/>
      <c r="B83" s="13" t="str">
        <f>CONCATENATE("          ","6254", " - ","ROYALTY &amp; COMMISSIONS")</f>
        <v xml:space="preserve">          6254 - ROYALTY &amp; COMMISSIONS</v>
      </c>
      <c r="C83" s="15"/>
      <c r="D83" s="2"/>
      <c r="E83" s="2"/>
      <c r="F83" s="2"/>
      <c r="G83" s="2">
        <v>185.7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9"/>
      <c r="Q83" s="2">
        <f>SUM(OSRRefD21_15_0x)+IFERROR(SUM(OSRRefE21_15_0x),0)</f>
        <v>185.7</v>
      </c>
    </row>
    <row r="84" spans="1:17" s="34" customFormat="1" hidden="1" outlineLevel="1" x14ac:dyDescent="0.25">
      <c r="A84" s="35"/>
      <c r="B84" s="13" t="str">
        <f>CONCATENATE("          ","6259", " - ","ROYALTY &amp; COMMISSIONS")</f>
        <v xml:space="preserve">          6259 - ROYALTY &amp; COMMISSIONS</v>
      </c>
      <c r="C84" s="15"/>
      <c r="D84" s="2"/>
      <c r="E84" s="2"/>
      <c r="F84" s="2"/>
      <c r="G84" s="2"/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9"/>
      <c r="Q84" s="2">
        <f>SUM(OSRRefD21_15_1x)+IFERROR(SUM(OSRRefE21_15_1x),0)</f>
        <v>0</v>
      </c>
    </row>
    <row r="85" spans="1:17" s="34" customFormat="1" collapsed="1" x14ac:dyDescent="0.25">
      <c r="A85" s="35"/>
      <c r="B85" s="15" t="str">
        <f>CONCATENATE("     ","Services                                          ")</f>
        <v xml:space="preserve">     Services                                          </v>
      </c>
      <c r="C85" s="15"/>
      <c r="D85" s="1">
        <f>SUM(OSRRefD21_16x_0)</f>
        <v>802.59999999999991</v>
      </c>
      <c r="E85" s="1">
        <f>SUM(OSRRefD21_16x_1)</f>
        <v>4020.02</v>
      </c>
      <c r="F85" s="1">
        <f>SUM(OSRRefD21_16x_2)</f>
        <v>4172.68</v>
      </c>
      <c r="G85" s="1">
        <f>SUM(OSRRefD21_16x_3)</f>
        <v>7010.73</v>
      </c>
      <c r="H85" s="1">
        <f>SUM(OSRRefE21_16x_0)</f>
        <v>7119</v>
      </c>
      <c r="I85" s="1">
        <f>SUM(OSRRefE21_16x_1)</f>
        <v>7894</v>
      </c>
      <c r="J85" s="1">
        <f>SUM(OSRRefE21_16x_2)</f>
        <v>8127</v>
      </c>
      <c r="K85" s="1">
        <f>SUM(OSRRefE21_16x_3)</f>
        <v>7482</v>
      </c>
      <c r="L85" s="1">
        <f>SUM(OSRRefE21_16x_4)</f>
        <v>7119</v>
      </c>
      <c r="M85" s="1">
        <f>SUM(OSRRefE21_16x_5)</f>
        <v>7267</v>
      </c>
      <c r="N85" s="1">
        <f>SUM(OSRRefE21_16x_6)</f>
        <v>7119</v>
      </c>
      <c r="O85" s="1">
        <f>SUM(OSRRefE21_16x_7)</f>
        <v>7894</v>
      </c>
      <c r="Q85" s="2">
        <f>SUM(OSRRefD20_16x)+IFERROR(SUM(OSRRefE20_16x),0)</f>
        <v>76027.03</v>
      </c>
    </row>
    <row r="86" spans="1:17" s="34" customFormat="1" hidden="1" outlineLevel="1" x14ac:dyDescent="0.25">
      <c r="A86" s="35"/>
      <c r="B86" s="13" t="str">
        <f>CONCATENATE("          ","6282", " - ","JANITORIAL/EXTERMINATOR EXPENS")</f>
        <v xml:space="preserve">          6282 - JANITORIAL/EXTERMINATOR EXPENS</v>
      </c>
      <c r="C86" s="15"/>
      <c r="D86" s="2">
        <v>286.62</v>
      </c>
      <c r="E86" s="2">
        <v>-283.27</v>
      </c>
      <c r="F86" s="2">
        <v>49.36</v>
      </c>
      <c r="G86" s="2">
        <v>1529.78</v>
      </c>
      <c r="H86" s="2">
        <v>955</v>
      </c>
      <c r="I86" s="2">
        <v>1582</v>
      </c>
      <c r="J86" s="2">
        <v>955</v>
      </c>
      <c r="K86" s="2">
        <v>955</v>
      </c>
      <c r="L86" s="2">
        <v>955</v>
      </c>
      <c r="M86" s="2">
        <v>955</v>
      </c>
      <c r="N86" s="2">
        <v>955</v>
      </c>
      <c r="O86" s="2">
        <v>1582</v>
      </c>
      <c r="P86" s="9"/>
      <c r="Q86" s="2">
        <f>SUM(OSRRefD21_16_0x)+IFERROR(SUM(OSRRefE21_16_0x),0)</f>
        <v>10476.49</v>
      </c>
    </row>
    <row r="87" spans="1:17" s="34" customFormat="1" hidden="1" outlineLevel="1" x14ac:dyDescent="0.25">
      <c r="A87" s="35"/>
      <c r="B87" s="13" t="str">
        <f>CONCATENATE("          ","6283", " - ","PLANT SERVICE")</f>
        <v xml:space="preserve">          6283 - PLANT SERVICE</v>
      </c>
      <c r="C87" s="15"/>
      <c r="D87" s="2"/>
      <c r="E87" s="2"/>
      <c r="F87" s="2"/>
      <c r="G87" s="2"/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9"/>
      <c r="Q87" s="2">
        <f>SUM(OSRRefD21_16_1x)+IFERROR(SUM(OSRRefE21_16_1x),0)</f>
        <v>0</v>
      </c>
    </row>
    <row r="88" spans="1:17" s="34" customFormat="1" hidden="1" outlineLevel="1" x14ac:dyDescent="0.25">
      <c r="A88" s="35"/>
      <c r="B88" s="13" t="str">
        <f>CONCATENATE("          ","6284", " - ","TRASH REMOVAL EXPENSE")</f>
        <v xml:space="preserve">          6284 - TRASH REMOVAL EXPENSE</v>
      </c>
      <c r="C88" s="15"/>
      <c r="D88" s="2">
        <v>1000</v>
      </c>
      <c r="E88" s="2">
        <v>1000</v>
      </c>
      <c r="F88" s="2">
        <v>761</v>
      </c>
      <c r="G88" s="2">
        <v>5369</v>
      </c>
      <c r="H88" s="2">
        <v>3123</v>
      </c>
      <c r="I88" s="2">
        <v>3123</v>
      </c>
      <c r="J88" s="2">
        <v>3123</v>
      </c>
      <c r="K88" s="2">
        <v>3123</v>
      </c>
      <c r="L88" s="2">
        <v>3123</v>
      </c>
      <c r="M88" s="2">
        <v>3123</v>
      </c>
      <c r="N88" s="2">
        <v>3123</v>
      </c>
      <c r="O88" s="2">
        <v>3123</v>
      </c>
      <c r="P88" s="9"/>
      <c r="Q88" s="2">
        <f>SUM(OSRRefD21_16_2x)+IFERROR(SUM(OSRRefE21_16_2x),0)</f>
        <v>33114</v>
      </c>
    </row>
    <row r="89" spans="1:17" s="34" customFormat="1" hidden="1" outlineLevel="1" x14ac:dyDescent="0.25">
      <c r="A89" s="35"/>
      <c r="B89" s="13" t="str">
        <f>CONCATENATE("          ","6285", " - ","JANITORIAL SERVICES")</f>
        <v xml:space="preserve">          6285 - JANITORIAL SERVICES</v>
      </c>
      <c r="C89" s="15"/>
      <c r="D89" s="2">
        <v>-804.6</v>
      </c>
      <c r="E89" s="2">
        <v>3155.58</v>
      </c>
      <c r="F89" s="2">
        <v>3256.35</v>
      </c>
      <c r="G89" s="2"/>
      <c r="H89" s="2">
        <v>3041</v>
      </c>
      <c r="I89" s="2">
        <v>3041</v>
      </c>
      <c r="J89" s="2">
        <v>4049</v>
      </c>
      <c r="K89" s="2">
        <v>3256</v>
      </c>
      <c r="L89" s="2">
        <v>3041</v>
      </c>
      <c r="M89" s="2">
        <v>3041</v>
      </c>
      <c r="N89" s="2">
        <v>3041</v>
      </c>
      <c r="O89" s="2">
        <v>3041</v>
      </c>
      <c r="P89" s="9"/>
      <c r="Q89" s="2">
        <f>SUM(OSRRefD21_16_3x)+IFERROR(SUM(OSRRefE21_16_3x),0)</f>
        <v>31158.33</v>
      </c>
    </row>
    <row r="90" spans="1:17" s="34" customFormat="1" hidden="1" outlineLevel="1" x14ac:dyDescent="0.25">
      <c r="A90" s="35"/>
      <c r="B90" s="13" t="str">
        <f>CONCATENATE("          ","6286", " - ","LAUNDRY EXPENSE")</f>
        <v xml:space="preserve">          6286 - LAUNDRY EXPENSE</v>
      </c>
      <c r="C90" s="15"/>
      <c r="D90" s="2">
        <v>320.58</v>
      </c>
      <c r="E90" s="2">
        <v>147.71</v>
      </c>
      <c r="F90" s="2">
        <v>105.97</v>
      </c>
      <c r="G90" s="2">
        <v>111.95</v>
      </c>
      <c r="H90" s="2">
        <v>0</v>
      </c>
      <c r="I90" s="2">
        <v>148</v>
      </c>
      <c r="J90" s="2">
        <v>0</v>
      </c>
      <c r="K90" s="2">
        <v>148</v>
      </c>
      <c r="L90" s="2">
        <v>0</v>
      </c>
      <c r="M90" s="2">
        <v>148</v>
      </c>
      <c r="N90" s="2">
        <v>0</v>
      </c>
      <c r="O90" s="2">
        <v>148</v>
      </c>
      <c r="P90" s="9"/>
      <c r="Q90" s="2">
        <f>SUM(OSRRefD21_16_4x)+IFERROR(SUM(OSRRefE21_16_4x),0)</f>
        <v>1278.21</v>
      </c>
    </row>
    <row r="91" spans="1:17" s="34" customFormat="1" collapsed="1" x14ac:dyDescent="0.25">
      <c r="A91" s="35"/>
      <c r="B91" s="15" t="str">
        <f>CONCATENATE("     ","Subscriptions &amp; Dues                              ")</f>
        <v xml:space="preserve">     Subscriptions &amp; Dues                              </v>
      </c>
      <c r="C91" s="15"/>
      <c r="D91" s="1">
        <f>SUM(OSRRefD21_17x_0)</f>
        <v>9.32</v>
      </c>
      <c r="E91" s="1">
        <f>SUM(OSRRefD21_17x_1)</f>
        <v>0</v>
      </c>
      <c r="F91" s="1">
        <f>SUM(OSRRefD21_17x_2)</f>
        <v>131.34</v>
      </c>
      <c r="G91" s="1">
        <f>SUM(OSRRefD21_17x_3)</f>
        <v>130.66999999999999</v>
      </c>
      <c r="H91" s="1">
        <f>SUM(OSRRefE21_17x_0)</f>
        <v>197</v>
      </c>
      <c r="I91" s="1">
        <f>SUM(OSRRefE21_17x_1)</f>
        <v>1097</v>
      </c>
      <c r="J91" s="1">
        <f>SUM(OSRRefE21_17x_2)</f>
        <v>197</v>
      </c>
      <c r="K91" s="1">
        <f>SUM(OSRRefE21_17x_3)</f>
        <v>202</v>
      </c>
      <c r="L91" s="1">
        <f>SUM(OSRRefE21_17x_4)</f>
        <v>200</v>
      </c>
      <c r="M91" s="1">
        <f>SUM(OSRRefE21_17x_5)</f>
        <v>200</v>
      </c>
      <c r="N91" s="1">
        <f>SUM(OSRRefE21_17x_6)</f>
        <v>200</v>
      </c>
      <c r="O91" s="1">
        <f>SUM(OSRRefE21_17x_7)</f>
        <v>200</v>
      </c>
      <c r="Q91" s="2">
        <f>SUM(OSRRefD20_17x)+IFERROR(SUM(OSRRefE20_17x),0)</f>
        <v>2764.33</v>
      </c>
    </row>
    <row r="92" spans="1:17" s="34" customFormat="1" hidden="1" outlineLevel="1" x14ac:dyDescent="0.25">
      <c r="A92" s="35"/>
      <c r="B92" s="13" t="str">
        <f>CONCATENATE("          ","6258", " - ","MEMBERSHIP DUES")</f>
        <v xml:space="preserve">          6258 - MEMBERSHIP DUES</v>
      </c>
      <c r="C92" s="15"/>
      <c r="D92" s="2"/>
      <c r="E92" s="2"/>
      <c r="F92" s="2"/>
      <c r="G92" s="2"/>
      <c r="H92" s="2"/>
      <c r="I92" s="2">
        <v>900</v>
      </c>
      <c r="J92" s="2"/>
      <c r="K92" s="2"/>
      <c r="L92" s="2"/>
      <c r="M92" s="2"/>
      <c r="N92" s="2"/>
      <c r="O92" s="2"/>
      <c r="P92" s="9"/>
      <c r="Q92" s="2">
        <f>SUM(OSRRefD21_17_0x)+IFERROR(SUM(OSRRefE21_17_0x),0)</f>
        <v>900</v>
      </c>
    </row>
    <row r="93" spans="1:17" s="34" customFormat="1" hidden="1" outlineLevel="1" x14ac:dyDescent="0.25">
      <c r="A93" s="35"/>
      <c r="B93" s="13" t="str">
        <f>CONCATENATE("          ","6275", " - ","SUBSCRIPTIONS")</f>
        <v xml:space="preserve">          6275 - SUBSCRIPTIONS</v>
      </c>
      <c r="C93" s="15"/>
      <c r="D93" s="2">
        <v>9.32</v>
      </c>
      <c r="E93" s="2"/>
      <c r="F93" s="2">
        <v>131.34</v>
      </c>
      <c r="G93" s="2">
        <v>130.66999999999999</v>
      </c>
      <c r="H93" s="2">
        <v>197</v>
      </c>
      <c r="I93" s="2">
        <v>197</v>
      </c>
      <c r="J93" s="2">
        <v>197</v>
      </c>
      <c r="K93" s="2">
        <v>202</v>
      </c>
      <c r="L93" s="2">
        <v>200</v>
      </c>
      <c r="M93" s="2">
        <v>200</v>
      </c>
      <c r="N93" s="2">
        <v>200</v>
      </c>
      <c r="O93" s="2">
        <v>200</v>
      </c>
      <c r="P93" s="9"/>
      <c r="Q93" s="2">
        <f>SUM(OSRRefD21_17_1x)+IFERROR(SUM(OSRRefE21_17_1x),0)</f>
        <v>1864.33</v>
      </c>
    </row>
    <row r="94" spans="1:17" s="34" customFormat="1" collapsed="1" x14ac:dyDescent="0.25">
      <c r="A94" s="35"/>
      <c r="B94" s="15" t="str">
        <f>CONCATENATE("     ","Supplies                                          ")</f>
        <v xml:space="preserve">     Supplies                                          </v>
      </c>
      <c r="C94" s="15"/>
      <c r="D94" s="1">
        <f>SUM(OSRRefD21_18x_0)</f>
        <v>693.41000000000008</v>
      </c>
      <c r="E94" s="1">
        <f>SUM(OSRRefD21_18x_1)</f>
        <v>-28537.239999999998</v>
      </c>
      <c r="F94" s="1">
        <f>SUM(OSRRefD21_18x_2)</f>
        <v>861.48</v>
      </c>
      <c r="G94" s="1">
        <f>SUM(OSRRefD21_18x_3)</f>
        <v>6433.76</v>
      </c>
      <c r="H94" s="1">
        <f>SUM(OSRRefE21_18x_0)</f>
        <v>975</v>
      </c>
      <c r="I94" s="1">
        <f>SUM(OSRRefE21_18x_1)</f>
        <v>975</v>
      </c>
      <c r="J94" s="1">
        <f>SUM(OSRRefE21_18x_2)</f>
        <v>975</v>
      </c>
      <c r="K94" s="1">
        <f>SUM(OSRRefE21_18x_3)</f>
        <v>975</v>
      </c>
      <c r="L94" s="1">
        <f>SUM(OSRRefE21_18x_4)</f>
        <v>975</v>
      </c>
      <c r="M94" s="1">
        <f>SUM(OSRRefE21_18x_5)</f>
        <v>975</v>
      </c>
      <c r="N94" s="1">
        <f>SUM(OSRRefE21_18x_6)</f>
        <v>975</v>
      </c>
      <c r="O94" s="1">
        <f>SUM(OSRRefE21_18x_7)</f>
        <v>975</v>
      </c>
      <c r="Q94" s="2">
        <f>SUM(OSRRefD20_18x)+IFERROR(SUM(OSRRefE20_18x),0)</f>
        <v>-12748.589999999997</v>
      </c>
    </row>
    <row r="95" spans="1:17" s="34" customFormat="1" hidden="1" outlineLevel="1" x14ac:dyDescent="0.25">
      <c r="A95" s="35"/>
      <c r="B95" s="13" t="str">
        <f>CONCATENATE("          ","6234", " - ","EXPENDABLE SUPPLIES &amp; EQUIPMEN")</f>
        <v xml:space="preserve">          6234 - EXPENDABLE SUPPLIES &amp; EQUIPMEN</v>
      </c>
      <c r="C95" s="15"/>
      <c r="D95" s="2"/>
      <c r="E95" s="2">
        <v>255.78</v>
      </c>
      <c r="F95" s="2">
        <v>316.67</v>
      </c>
      <c r="G95" s="2">
        <v>55.13</v>
      </c>
      <c r="H95" s="2">
        <v>500</v>
      </c>
      <c r="I95" s="2">
        <v>500</v>
      </c>
      <c r="J95" s="2">
        <v>500</v>
      </c>
      <c r="K95" s="2">
        <v>500</v>
      </c>
      <c r="L95" s="2">
        <v>500</v>
      </c>
      <c r="M95" s="2">
        <v>500</v>
      </c>
      <c r="N95" s="2">
        <v>500</v>
      </c>
      <c r="O95" s="2">
        <v>500</v>
      </c>
      <c r="P95" s="9"/>
      <c r="Q95" s="2">
        <f>SUM(OSRRefD21_18_0x)+IFERROR(SUM(OSRRefE21_18_0x),0)</f>
        <v>4627.58</v>
      </c>
    </row>
    <row r="96" spans="1:17" s="34" customFormat="1" hidden="1" outlineLevel="1" x14ac:dyDescent="0.25">
      <c r="A96" s="35"/>
      <c r="B96" s="13" t="str">
        <f>CONCATENATE("          ","6235", " - ","COVID-19 EXPENSES")</f>
        <v xml:space="preserve">          6235 - COVID-19 EXPENSES</v>
      </c>
      <c r="C96" s="15"/>
      <c r="D96" s="2">
        <v>743.09</v>
      </c>
      <c r="E96" s="2">
        <v>286.14999999999998</v>
      </c>
      <c r="F96" s="2">
        <v>127.89</v>
      </c>
      <c r="G96" s="2">
        <v>5932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9"/>
      <c r="Q96" s="2">
        <f>SUM(OSRRefD21_18_1x)+IFERROR(SUM(OSRRefE21_18_1x),0)</f>
        <v>7089.13</v>
      </c>
    </row>
    <row r="97" spans="1:17" s="34" customFormat="1" hidden="1" outlineLevel="1" x14ac:dyDescent="0.25">
      <c r="A97" s="35"/>
      <c r="B97" s="13" t="str">
        <f>CONCATENATE("          ","6237", " - ","JANITORIAL SUPPLIES")</f>
        <v xml:space="preserve">          6237 - JANITORIAL SUPPLIES</v>
      </c>
      <c r="C97" s="15"/>
      <c r="D97" s="2"/>
      <c r="E97" s="2"/>
      <c r="F97" s="2">
        <v>317.57</v>
      </c>
      <c r="G97" s="2">
        <v>268.05</v>
      </c>
      <c r="H97" s="2">
        <v>200</v>
      </c>
      <c r="I97" s="2">
        <v>200</v>
      </c>
      <c r="J97" s="2">
        <v>200</v>
      </c>
      <c r="K97" s="2">
        <v>200</v>
      </c>
      <c r="L97" s="2">
        <v>200</v>
      </c>
      <c r="M97" s="2">
        <v>200</v>
      </c>
      <c r="N97" s="2">
        <v>200</v>
      </c>
      <c r="O97" s="2">
        <v>200</v>
      </c>
      <c r="P97" s="9"/>
      <c r="Q97" s="2">
        <f>SUM(OSRRefD21_18_2x)+IFERROR(SUM(OSRRefE21_18_2x),0)</f>
        <v>2185.62</v>
      </c>
    </row>
    <row r="98" spans="1:17" s="34" customFormat="1" hidden="1" outlineLevel="1" x14ac:dyDescent="0.25">
      <c r="A98" s="35"/>
      <c r="B98" s="13" t="str">
        <f>CONCATENATE("          ","6239", " - ","KITCHEN SUPPLIES")</f>
        <v xml:space="preserve">          6239 - KITCHEN SUPPLIES</v>
      </c>
      <c r="C98" s="15"/>
      <c r="D98" s="2"/>
      <c r="E98" s="2"/>
      <c r="F98" s="2"/>
      <c r="G98" s="2">
        <v>19.829999999999998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9"/>
      <c r="Q98" s="2">
        <f>SUM(OSRRefD21_18_3x)+IFERROR(SUM(OSRRefE21_18_3x),0)</f>
        <v>19.829999999999998</v>
      </c>
    </row>
    <row r="99" spans="1:17" s="34" customFormat="1" hidden="1" outlineLevel="1" x14ac:dyDescent="0.25">
      <c r="A99" s="35"/>
      <c r="B99" s="13" t="str">
        <f>CONCATENATE("          ","6241", " - ","OFFICE EXPENSE")</f>
        <v xml:space="preserve">          6241 - OFFICE EXPENSE</v>
      </c>
      <c r="C99" s="15"/>
      <c r="D99" s="2">
        <v>-49.68</v>
      </c>
      <c r="E99" s="2">
        <v>-29159.449999999997</v>
      </c>
      <c r="F99" s="2">
        <v>99.35</v>
      </c>
      <c r="G99" s="2">
        <v>117.75</v>
      </c>
      <c r="H99" s="2">
        <v>25</v>
      </c>
      <c r="I99" s="2">
        <v>25</v>
      </c>
      <c r="J99" s="2">
        <v>25</v>
      </c>
      <c r="K99" s="2">
        <v>25</v>
      </c>
      <c r="L99" s="2">
        <v>25</v>
      </c>
      <c r="M99" s="2">
        <v>25</v>
      </c>
      <c r="N99" s="2">
        <v>25</v>
      </c>
      <c r="O99" s="2">
        <v>25</v>
      </c>
      <c r="P99" s="9"/>
      <c r="Q99" s="2">
        <f>SUM(OSRRefD21_18_4x)+IFERROR(SUM(OSRRefE21_18_4x),0)</f>
        <v>-28792.03</v>
      </c>
    </row>
    <row r="100" spans="1:17" s="34" customFormat="1" hidden="1" outlineLevel="1" x14ac:dyDescent="0.25">
      <c r="A100" s="35"/>
      <c r="B100" s="13" t="str">
        <f>CONCATENATE("          ","6243", " - ","PAPER SUPPLIES")</f>
        <v xml:space="preserve">          6243 - PAPER SUPPLIES</v>
      </c>
      <c r="C100" s="15"/>
      <c r="D100" s="2"/>
      <c r="E100" s="2"/>
      <c r="F100" s="2"/>
      <c r="G100" s="2"/>
      <c r="H100" s="2">
        <v>250</v>
      </c>
      <c r="I100" s="2">
        <v>250</v>
      </c>
      <c r="J100" s="2">
        <v>250</v>
      </c>
      <c r="K100" s="2">
        <v>250</v>
      </c>
      <c r="L100" s="2">
        <v>250</v>
      </c>
      <c r="M100" s="2">
        <v>250</v>
      </c>
      <c r="N100" s="2">
        <v>250</v>
      </c>
      <c r="O100" s="2">
        <v>250</v>
      </c>
      <c r="P100" s="9"/>
      <c r="Q100" s="2">
        <f>SUM(OSRRefD21_18_5x)+IFERROR(SUM(OSRRefE21_18_5x),0)</f>
        <v>2000</v>
      </c>
    </row>
    <row r="101" spans="1:17" s="34" customFormat="1" hidden="1" outlineLevel="1" x14ac:dyDescent="0.25">
      <c r="A101" s="35"/>
      <c r="B101" s="13" t="str">
        <f>CONCATENATE("          ","6244", " - ","SAFETY SUPPLY EXPENSE")</f>
        <v xml:space="preserve">          6244 - SAFETY SUPPLY EXPENSE</v>
      </c>
      <c r="C101" s="15"/>
      <c r="D101" s="2"/>
      <c r="E101" s="2"/>
      <c r="F101" s="2"/>
      <c r="G101" s="2"/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9"/>
      <c r="Q101" s="2">
        <f>SUM(OSRRefD21_18_6x)+IFERROR(SUM(OSRRefE21_18_6x),0)</f>
        <v>0</v>
      </c>
    </row>
    <row r="102" spans="1:17" s="34" customFormat="1" hidden="1" outlineLevel="1" x14ac:dyDescent="0.25">
      <c r="A102" s="35"/>
      <c r="B102" s="13" t="str">
        <f>CONCATENATE("          ","6245", " - ","PRINTING")</f>
        <v xml:space="preserve">          6245 - PRINTING</v>
      </c>
      <c r="C102" s="15"/>
      <c r="D102" s="2"/>
      <c r="E102" s="2"/>
      <c r="F102" s="2"/>
      <c r="G102" s="2"/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9"/>
      <c r="Q102" s="2">
        <f>SUM(OSRRefD21_18_7x)+IFERROR(SUM(OSRRefE21_18_7x),0)</f>
        <v>0</v>
      </c>
    </row>
    <row r="103" spans="1:17" s="34" customFormat="1" hidden="1" outlineLevel="1" x14ac:dyDescent="0.25">
      <c r="A103" s="35"/>
      <c r="B103" s="13" t="str">
        <f>CONCATENATE("          ","6246", " - ","REPLACEMENTS")</f>
        <v xml:space="preserve">          6246 - REPLACEMENTS</v>
      </c>
      <c r="C103" s="15"/>
      <c r="D103" s="2"/>
      <c r="E103" s="2"/>
      <c r="F103" s="2"/>
      <c r="G103" s="2"/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9"/>
      <c r="Q103" s="2">
        <f>SUM(OSRRefD21_18_8x)+IFERROR(SUM(OSRRefE21_18_8x),0)</f>
        <v>0</v>
      </c>
    </row>
    <row r="104" spans="1:17" s="34" customFormat="1" hidden="1" outlineLevel="1" x14ac:dyDescent="0.25">
      <c r="A104" s="35"/>
      <c r="B104" s="13" t="str">
        <f>CONCATENATE("          ","6247", " - ","STORE SUPPLIES")</f>
        <v xml:space="preserve">          6247 - STORE SUPPLIES</v>
      </c>
      <c r="C104" s="15"/>
      <c r="D104" s="2"/>
      <c r="E104" s="2">
        <v>80.28</v>
      </c>
      <c r="F104" s="2"/>
      <c r="G104" s="2">
        <v>41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9"/>
      <c r="Q104" s="2">
        <f>SUM(OSRRefD21_18_9x)+IFERROR(SUM(OSRRefE21_18_9x),0)</f>
        <v>121.28</v>
      </c>
    </row>
    <row r="105" spans="1:17" s="34" customFormat="1" hidden="1" outlineLevel="1" x14ac:dyDescent="0.25">
      <c r="A105" s="35"/>
      <c r="B105" s="13" t="str">
        <f>CONCATENATE("          ","6248", " - ","UNIFORMS")</f>
        <v xml:space="preserve">          6248 - UNIFORMS</v>
      </c>
      <c r="C105" s="15"/>
      <c r="D105" s="2"/>
      <c r="E105" s="2"/>
      <c r="F105" s="2"/>
      <c r="G105" s="2"/>
      <c r="H105" s="2"/>
      <c r="I105" s="2">
        <v>0</v>
      </c>
      <c r="J105" s="2">
        <v>0</v>
      </c>
      <c r="K105" s="2">
        <v>0</v>
      </c>
      <c r="L105" s="2"/>
      <c r="M105" s="2">
        <v>0</v>
      </c>
      <c r="N105" s="2"/>
      <c r="O105" s="2"/>
      <c r="P105" s="9"/>
      <c r="Q105" s="2">
        <f>SUM(OSRRefD21_18_10x)+IFERROR(SUM(OSRRefE21_18_10x),0)</f>
        <v>0</v>
      </c>
    </row>
    <row r="106" spans="1:17" s="34" customFormat="1" collapsed="1" x14ac:dyDescent="0.25">
      <c r="A106" s="35"/>
      <c r="B106" s="15" t="str">
        <f>CONCATENATE("     ","Telephone/Data Lines                              ")</f>
        <v xml:space="preserve">     Telephone/Data Lines                              </v>
      </c>
      <c r="C106" s="15"/>
      <c r="D106" s="1">
        <f>SUM(OSRRefD21_19x_0)</f>
        <v>1592.63</v>
      </c>
      <c r="E106" s="1">
        <f>SUM(OSRRefD21_19x_1)</f>
        <v>1617.52</v>
      </c>
      <c r="F106" s="1">
        <f>SUM(OSRRefD21_19x_2)</f>
        <v>967.5</v>
      </c>
      <c r="G106" s="1">
        <f>SUM(OSRRefD21_19x_3)</f>
        <v>1515.66</v>
      </c>
      <c r="H106" s="1">
        <f>SUM(OSRRefE21_19x_0)</f>
        <v>353</v>
      </c>
      <c r="I106" s="1">
        <f>SUM(OSRRefE21_19x_1)</f>
        <v>499</v>
      </c>
      <c r="J106" s="1">
        <f>SUM(OSRRefE21_19x_2)</f>
        <v>650</v>
      </c>
      <c r="K106" s="1">
        <f>SUM(OSRRefE21_19x_3)</f>
        <v>350</v>
      </c>
      <c r="L106" s="1">
        <f>SUM(OSRRefE21_19x_4)</f>
        <v>500</v>
      </c>
      <c r="M106" s="1">
        <f>SUM(OSRRefE21_19x_5)</f>
        <v>650</v>
      </c>
      <c r="N106" s="1">
        <f>SUM(OSRRefE21_19x_6)</f>
        <v>350</v>
      </c>
      <c r="O106" s="1">
        <f>SUM(OSRRefE21_19x_7)</f>
        <v>500</v>
      </c>
      <c r="Q106" s="2">
        <f>SUM(OSRRefD20_19x)+IFERROR(SUM(OSRRefE20_19x),0)</f>
        <v>9545.31</v>
      </c>
    </row>
    <row r="107" spans="1:17" s="34" customFormat="1" hidden="1" outlineLevel="1" x14ac:dyDescent="0.25">
      <c r="A107" s="35"/>
      <c r="B107" s="13" t="str">
        <f>CONCATENATE("          ","6303", " - ","DATA PHONE LINES")</f>
        <v xml:space="preserve">          6303 - DATA PHONE LINES</v>
      </c>
      <c r="C107" s="15"/>
      <c r="D107" s="2"/>
      <c r="E107" s="2"/>
      <c r="F107" s="2"/>
      <c r="G107" s="2"/>
      <c r="H107" s="2">
        <v>253</v>
      </c>
      <c r="I107" s="2">
        <v>249</v>
      </c>
      <c r="J107" s="2">
        <v>250</v>
      </c>
      <c r="K107" s="2">
        <v>250</v>
      </c>
      <c r="L107" s="2">
        <v>250</v>
      </c>
      <c r="M107" s="2">
        <v>250</v>
      </c>
      <c r="N107" s="2">
        <v>250</v>
      </c>
      <c r="O107" s="2">
        <v>250</v>
      </c>
      <c r="P107" s="9"/>
      <c r="Q107" s="2">
        <f>SUM(OSRRefD21_19_0x)+IFERROR(SUM(OSRRefE21_19_0x),0)</f>
        <v>2002</v>
      </c>
    </row>
    <row r="108" spans="1:17" s="34" customFormat="1" hidden="1" outlineLevel="1" x14ac:dyDescent="0.25">
      <c r="A108" s="35"/>
      <c r="B108" s="13" t="str">
        <f>CONCATENATE("          ","6309", " - ","TELEPHONE")</f>
        <v xml:space="preserve">          6309 - TELEPHONE</v>
      </c>
      <c r="C108" s="15"/>
      <c r="D108" s="2">
        <v>1592.63</v>
      </c>
      <c r="E108" s="2">
        <v>1617.52</v>
      </c>
      <c r="F108" s="2">
        <v>967.5</v>
      </c>
      <c r="G108" s="2">
        <v>1515.66</v>
      </c>
      <c r="H108" s="2">
        <v>100</v>
      </c>
      <c r="I108" s="2">
        <v>250</v>
      </c>
      <c r="J108" s="2">
        <v>400</v>
      </c>
      <c r="K108" s="2">
        <v>100</v>
      </c>
      <c r="L108" s="2">
        <v>250</v>
      </c>
      <c r="M108" s="2">
        <v>400</v>
      </c>
      <c r="N108" s="2">
        <v>100</v>
      </c>
      <c r="O108" s="2">
        <v>250</v>
      </c>
      <c r="P108" s="9"/>
      <c r="Q108" s="2">
        <f>SUM(OSRRefD21_19_1x)+IFERROR(SUM(OSRRefE21_19_1x),0)</f>
        <v>7543.3099999999995</v>
      </c>
    </row>
    <row r="109" spans="1:17" s="34" customFormat="1" collapsed="1" x14ac:dyDescent="0.25">
      <c r="A109" s="35"/>
      <c r="B109" s="15" t="str">
        <f>CONCATENATE("     ","Training                                          ")</f>
        <v xml:space="preserve">     Training                                          </v>
      </c>
      <c r="C109" s="15"/>
      <c r="D109" s="1">
        <f>SUM(OSRRefD21_20x_0)</f>
        <v>0</v>
      </c>
      <c r="E109" s="1">
        <f>SUM(OSRRefD21_20x_1)</f>
        <v>0</v>
      </c>
      <c r="F109" s="1">
        <f>SUM(OSRRefD21_20x_2)</f>
        <v>0</v>
      </c>
      <c r="G109" s="1">
        <f>SUM(OSRRefD21_20x_3)</f>
        <v>0</v>
      </c>
      <c r="H109" s="1">
        <f>SUM(OSRRefE21_20x_0)</f>
        <v>0</v>
      </c>
      <c r="I109" s="1">
        <f>SUM(OSRRefE21_20x_1)</f>
        <v>0</v>
      </c>
      <c r="J109" s="1">
        <f>SUM(OSRRefE21_20x_2)</f>
        <v>120</v>
      </c>
      <c r="K109" s="1">
        <f>SUM(OSRRefE21_20x_3)</f>
        <v>0</v>
      </c>
      <c r="L109" s="1">
        <f>SUM(OSRRefE21_20x_4)</f>
        <v>0</v>
      </c>
      <c r="M109" s="1">
        <f>SUM(OSRRefE21_20x_5)</f>
        <v>0</v>
      </c>
      <c r="N109" s="1">
        <f>SUM(OSRRefE21_20x_6)</f>
        <v>0</v>
      </c>
      <c r="O109" s="1">
        <f>SUM(OSRRefE21_20x_7)</f>
        <v>0</v>
      </c>
      <c r="Q109" s="2">
        <f>SUM(OSRRefD20_20x)+IFERROR(SUM(OSRRefE20_20x),0)</f>
        <v>120</v>
      </c>
    </row>
    <row r="110" spans="1:17" s="34" customFormat="1" hidden="1" outlineLevel="1" x14ac:dyDescent="0.25">
      <c r="A110" s="35"/>
      <c r="B110" s="13" t="str">
        <f>CONCATENATE("          ","6376", " - ","TRAINING")</f>
        <v xml:space="preserve">          6376 - TRAINING</v>
      </c>
      <c r="C110" s="15"/>
      <c r="D110" s="2"/>
      <c r="E110" s="2"/>
      <c r="F110" s="2"/>
      <c r="G110" s="2"/>
      <c r="H110" s="2">
        <v>0</v>
      </c>
      <c r="I110" s="2">
        <v>0</v>
      </c>
      <c r="J110" s="2">
        <v>120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9"/>
      <c r="Q110" s="2">
        <f>SUM(OSRRefD21_20_0x)+IFERROR(SUM(OSRRefE21_20_0x),0)</f>
        <v>120</v>
      </c>
    </row>
    <row r="111" spans="1:17" s="34" customFormat="1" collapsed="1" x14ac:dyDescent="0.25">
      <c r="A111" s="35"/>
      <c r="B111" s="15" t="str">
        <f>CONCATENATE("     ","Travel                                            ")</f>
        <v xml:space="preserve">     Travel                                            </v>
      </c>
      <c r="C111" s="15"/>
      <c r="D111" s="1">
        <f>SUM(OSRRefD21_21x_0)</f>
        <v>179.69</v>
      </c>
      <c r="E111" s="1">
        <f>SUM(OSRRefD21_21x_1)</f>
        <v>0</v>
      </c>
      <c r="F111" s="1">
        <f>SUM(OSRRefD21_21x_2)</f>
        <v>152.52000000000001</v>
      </c>
      <c r="G111" s="1">
        <f>SUM(OSRRefD21_21x_3)</f>
        <v>0</v>
      </c>
      <c r="H111" s="1">
        <f>SUM(OSRRefE21_21x_0)</f>
        <v>0</v>
      </c>
      <c r="I111" s="1">
        <f>SUM(OSRRefE21_21x_1)</f>
        <v>0</v>
      </c>
      <c r="J111" s="1">
        <f>SUM(OSRRefE21_21x_2)</f>
        <v>0</v>
      </c>
      <c r="K111" s="1">
        <f>SUM(OSRRefE21_21x_3)</f>
        <v>0</v>
      </c>
      <c r="L111" s="1">
        <f>SUM(OSRRefE21_21x_4)</f>
        <v>0</v>
      </c>
      <c r="M111" s="1">
        <f>SUM(OSRRefE21_21x_5)</f>
        <v>0</v>
      </c>
      <c r="N111" s="1">
        <f>SUM(OSRRefE21_21x_6)</f>
        <v>0</v>
      </c>
      <c r="O111" s="1">
        <f>SUM(OSRRefE21_21x_7)</f>
        <v>0</v>
      </c>
      <c r="Q111" s="2">
        <f>SUM(OSRRefD20_21x)+IFERROR(SUM(OSRRefE20_21x),0)</f>
        <v>332.21000000000004</v>
      </c>
    </row>
    <row r="112" spans="1:17" s="34" customFormat="1" hidden="1" outlineLevel="1" x14ac:dyDescent="0.25">
      <c r="A112" s="35"/>
      <c r="B112" s="13" t="str">
        <f>CONCATENATE("          ","6298", " - ","VEHICLE MILEAGE")</f>
        <v xml:space="preserve">          6298 - VEHICLE MILEAGE</v>
      </c>
      <c r="C112" s="15"/>
      <c r="D112" s="2">
        <v>179.69</v>
      </c>
      <c r="E112" s="2"/>
      <c r="F112" s="2">
        <v>152.52000000000001</v>
      </c>
      <c r="G112" s="2"/>
      <c r="H112" s="2"/>
      <c r="I112" s="2"/>
      <c r="J112" s="2"/>
      <c r="K112" s="2"/>
      <c r="L112" s="2"/>
      <c r="M112" s="2"/>
      <c r="N112" s="2"/>
      <c r="O112" s="2"/>
      <c r="P112" s="9"/>
      <c r="Q112" s="2">
        <f>SUM(OSRRefD21_21_0x)+IFERROR(SUM(OSRRefE21_21_0x),0)</f>
        <v>332.21000000000004</v>
      </c>
    </row>
    <row r="113" spans="1:17" s="34" customFormat="1" collapsed="1" x14ac:dyDescent="0.25">
      <c r="A113" s="35"/>
      <c r="B113" s="15" t="str">
        <f>CONCATENATE("     ","Utilities                                         ")</f>
        <v xml:space="preserve">     Utilities                                         </v>
      </c>
      <c r="C113" s="15"/>
      <c r="D113" s="1">
        <f>SUM(OSRRefD21_22x_0)</f>
        <v>2350</v>
      </c>
      <c r="E113" s="1">
        <f>SUM(OSRRefD21_22x_1)</f>
        <v>2350</v>
      </c>
      <c r="F113" s="1">
        <f>SUM(OSRRefD21_22x_2)</f>
        <v>2350</v>
      </c>
      <c r="G113" s="1">
        <f>SUM(OSRRefD21_22x_3)</f>
        <v>-12092</v>
      </c>
      <c r="H113" s="1">
        <f>SUM(OSRRefE21_22x_0)</f>
        <v>4121</v>
      </c>
      <c r="I113" s="1">
        <f>SUM(OSRRefE21_22x_1)</f>
        <v>5282</v>
      </c>
      <c r="J113" s="1">
        <f>SUM(OSRRefE21_22x_2)</f>
        <v>4228</v>
      </c>
      <c r="K113" s="1">
        <f>SUM(OSRRefE21_22x_3)</f>
        <v>4150</v>
      </c>
      <c r="L113" s="1">
        <f>SUM(OSRRefE21_22x_4)</f>
        <v>4150</v>
      </c>
      <c r="M113" s="1">
        <f>SUM(OSRRefE21_22x_5)</f>
        <v>4150</v>
      </c>
      <c r="N113" s="1">
        <f>SUM(OSRRefE21_22x_6)</f>
        <v>4150</v>
      </c>
      <c r="O113" s="1">
        <f>SUM(OSRRefE21_22x_7)</f>
        <v>4150</v>
      </c>
      <c r="Q113" s="2">
        <f>SUM(OSRRefD20_22x)+IFERROR(SUM(OSRRefE20_22x),0)</f>
        <v>29339</v>
      </c>
    </row>
    <row r="114" spans="1:17" s="34" customFormat="1" hidden="1" outlineLevel="1" x14ac:dyDescent="0.25">
      <c r="A114" s="35"/>
      <c r="B114" s="13" t="str">
        <f>CONCATENATE("          ","6274", " - ","UTILITIES")</f>
        <v xml:space="preserve">          6274 - UTILITIES</v>
      </c>
      <c r="C114" s="15"/>
      <c r="D114" s="2">
        <v>2350</v>
      </c>
      <c r="E114" s="2">
        <v>2350</v>
      </c>
      <c r="F114" s="2">
        <v>2350</v>
      </c>
      <c r="G114" s="2">
        <v>-12092</v>
      </c>
      <c r="H114" s="2">
        <v>4121</v>
      </c>
      <c r="I114" s="2">
        <v>5282</v>
      </c>
      <c r="J114" s="2">
        <v>4228</v>
      </c>
      <c r="K114" s="2">
        <v>4150</v>
      </c>
      <c r="L114" s="2">
        <v>4150</v>
      </c>
      <c r="M114" s="2">
        <v>4150</v>
      </c>
      <c r="N114" s="2">
        <v>4150</v>
      </c>
      <c r="O114" s="2">
        <v>4150</v>
      </c>
      <c r="P114" s="9"/>
      <c r="Q114" s="2">
        <f>SUM(OSRRefD21_22_0x)+IFERROR(SUM(OSRRefE21_22_0x),0)</f>
        <v>29339</v>
      </c>
    </row>
    <row r="115" spans="1:17" s="28" customFormat="1" x14ac:dyDescent="0.25">
      <c r="A115" s="20"/>
      <c r="B115" s="20"/>
      <c r="C115" s="20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Q115" s="1"/>
    </row>
    <row r="116" spans="1:17" s="9" customFormat="1" x14ac:dyDescent="0.25">
      <c r="A116" s="22"/>
      <c r="B116" s="16" t="s">
        <v>0</v>
      </c>
      <c r="C116" s="23"/>
      <c r="D116" s="3">
        <f>--2076.54</f>
        <v>2076.54</v>
      </c>
      <c r="E116" s="3">
        <f>--737.85</f>
        <v>737.85</v>
      </c>
      <c r="F116" s="3">
        <f>--805.53</f>
        <v>805.53</v>
      </c>
      <c r="G116" s="3">
        <f>--457.28</f>
        <v>457.28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12000</v>
      </c>
      <c r="Q116" s="2">
        <f>SUM(OSRRefD23_0x)+IFERROR(SUM(OSRRefE23_0x),0)</f>
        <v>16077.2</v>
      </c>
    </row>
    <row r="117" spans="1:17" x14ac:dyDescent="0.25">
      <c r="A117" s="5"/>
      <c r="B117" s="8"/>
      <c r="C117" s="8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4" customFormat="1" x14ac:dyDescent="0.25">
      <c r="A118" s="8"/>
      <c r="B118" s="17" t="s">
        <v>3</v>
      </c>
      <c r="C118" s="17"/>
      <c r="D118" s="6">
        <f t="shared" ref="D118:O118" si="8">IFERROR(+D26-D29+D116, 0)</f>
        <v>-159121.91000000003</v>
      </c>
      <c r="E118" s="6">
        <f t="shared" si="8"/>
        <v>-110737.60000000001</v>
      </c>
      <c r="F118" s="6">
        <f t="shared" si="8"/>
        <v>-140585.00999999998</v>
      </c>
      <c r="G118" s="6">
        <f t="shared" si="8"/>
        <v>-118845.23000000004</v>
      </c>
      <c r="H118" s="6">
        <f t="shared" si="8"/>
        <v>-119379.96485278461</v>
      </c>
      <c r="I118" s="6">
        <f t="shared" si="8"/>
        <v>-105676.20082153846</v>
      </c>
      <c r="J118" s="6">
        <f t="shared" si="8"/>
        <v>-131147.17118259612</v>
      </c>
      <c r="K118" s="6">
        <f t="shared" si="8"/>
        <v>-122367.87691678462</v>
      </c>
      <c r="L118" s="6">
        <f t="shared" si="8"/>
        <v>-118613.9519534</v>
      </c>
      <c r="M118" s="6">
        <f t="shared" si="8"/>
        <v>-127903.09614598076</v>
      </c>
      <c r="N118" s="6">
        <f t="shared" si="8"/>
        <v>-118900.9519534</v>
      </c>
      <c r="O118" s="6">
        <f t="shared" si="8"/>
        <v>-106882.91313016924</v>
      </c>
      <c r="Q118" s="6">
        <f>IFERROR(+Q26-Q29+Q116, 0)</f>
        <v>-1480161.8769566538</v>
      </c>
    </row>
    <row r="119" spans="1:17" s="8" customFormat="1" x14ac:dyDescent="0.25">
      <c r="B119" s="16"/>
      <c r="C119" s="16"/>
      <c r="D119" s="4">
        <f t="shared" ref="D119:O119" si="9">IFERROR(D118/D10, 0)</f>
        <v>-163.21702516129699</v>
      </c>
      <c r="E119" s="4">
        <f t="shared" si="9"/>
        <v>-19.978134347476256</v>
      </c>
      <c r="F119" s="4">
        <f t="shared" si="9"/>
        <v>-13.465842346639693</v>
      </c>
      <c r="G119" s="4">
        <f t="shared" si="9"/>
        <v>-2.7307622314795887</v>
      </c>
      <c r="H119" s="4">
        <f t="shared" si="9"/>
        <v>-21.86846764110361</v>
      </c>
      <c r="I119" s="4">
        <f t="shared" si="9"/>
        <v>-20.3379909202345</v>
      </c>
      <c r="J119" s="4">
        <f t="shared" si="9"/>
        <v>-30.800181113808389</v>
      </c>
      <c r="K119" s="4">
        <f t="shared" si="9"/>
        <v>-26.158160948436215</v>
      </c>
      <c r="L119" s="4">
        <f t="shared" si="9"/>
        <v>-16.208520354386444</v>
      </c>
      <c r="M119" s="4">
        <f t="shared" si="9"/>
        <v>-14.637571085600911</v>
      </c>
      <c r="N119" s="4">
        <f t="shared" si="9"/>
        <v>-19.71496467474714</v>
      </c>
      <c r="O119" s="4">
        <f t="shared" si="9"/>
        <v>-18.913982150091886</v>
      </c>
      <c r="P119" s="18"/>
      <c r="Q119" s="4">
        <f>IFERROR(Q118/Q10, 0)</f>
        <v>-13.729627317158327</v>
      </c>
    </row>
    <row r="120" spans="1:17" x14ac:dyDescent="0.25">
      <c r="A120" s="5"/>
      <c r="B120" s="8"/>
      <c r="C120" s="5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</row>
    <row r="121" spans="1:17" s="14" customFormat="1" x14ac:dyDescent="0.25">
      <c r="A121" s="25"/>
      <c r="B121" s="8" t="s">
        <v>8</v>
      </c>
      <c r="C121" s="8"/>
      <c r="D121" s="3">
        <v>468.88</v>
      </c>
      <c r="E121" s="3">
        <v>631.57000000000005</v>
      </c>
      <c r="F121" s="3">
        <v>2041.11</v>
      </c>
      <c r="G121" s="3">
        <v>9959.48</v>
      </c>
      <c r="H121" s="3">
        <v>12360</v>
      </c>
      <c r="I121" s="3">
        <v>9759</v>
      </c>
      <c r="J121" s="3">
        <v>9403</v>
      </c>
      <c r="K121" s="3">
        <v>28067</v>
      </c>
      <c r="L121" s="3">
        <v>26120</v>
      </c>
      <c r="M121" s="3">
        <v>22214</v>
      </c>
      <c r="N121" s="3">
        <v>13887</v>
      </c>
      <c r="O121" s="3">
        <v>-8960</v>
      </c>
      <c r="Q121" s="2">
        <f>SUM(OSRRefD28_0x)+IFERROR(SUM(OSRRefE28_0x),0)</f>
        <v>125951.03999999999</v>
      </c>
    </row>
    <row r="122" spans="1:17" x14ac:dyDescent="0.25">
      <c r="A122" s="5"/>
      <c r="B122" s="8"/>
      <c r="C122" s="8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s="14" customFormat="1" ht="15.75" thickBot="1" x14ac:dyDescent="0.3">
      <c r="A123" s="8"/>
      <c r="B123" s="17" t="s">
        <v>4</v>
      </c>
      <c r="C123" s="17"/>
      <c r="D123" s="7">
        <f t="shared" ref="D123:O123" si="10">IFERROR(+D118-D121, 0)</f>
        <v>-159590.79000000004</v>
      </c>
      <c r="E123" s="7">
        <f t="shared" si="10"/>
        <v>-111369.17000000001</v>
      </c>
      <c r="F123" s="7">
        <f t="shared" si="10"/>
        <v>-142626.11999999997</v>
      </c>
      <c r="G123" s="7">
        <f t="shared" si="10"/>
        <v>-128804.71000000004</v>
      </c>
      <c r="H123" s="7">
        <f t="shared" si="10"/>
        <v>-131739.96485278461</v>
      </c>
      <c r="I123" s="7">
        <f t="shared" si="10"/>
        <v>-115435.20082153846</v>
      </c>
      <c r="J123" s="7">
        <f t="shared" si="10"/>
        <v>-140550.17118259612</v>
      </c>
      <c r="K123" s="7">
        <f t="shared" si="10"/>
        <v>-150434.87691678462</v>
      </c>
      <c r="L123" s="7">
        <f t="shared" si="10"/>
        <v>-144733.95195339998</v>
      </c>
      <c r="M123" s="7">
        <f t="shared" si="10"/>
        <v>-150117.09614598076</v>
      </c>
      <c r="N123" s="7">
        <f t="shared" si="10"/>
        <v>-132787.95195339998</v>
      </c>
      <c r="O123" s="7">
        <f t="shared" si="10"/>
        <v>-97922.91313016924</v>
      </c>
      <c r="Q123" s="7">
        <f>IFERROR(+Q118-Q121, 0)</f>
        <v>-1606112.9169566538</v>
      </c>
    </row>
    <row r="124" spans="1:17" ht="15.75" thickTop="1" x14ac:dyDescent="0.25">
      <c r="A124" s="5"/>
      <c r="B124" s="5"/>
      <c r="C124" s="5"/>
      <c r="D124" s="4">
        <f t="shared" ref="D124:O124" si="11">IFERROR(D123/D10, 0)</f>
        <v>-163.69797212050347</v>
      </c>
      <c r="E124" s="4">
        <f t="shared" si="11"/>
        <v>-20.092075685466565</v>
      </c>
      <c r="F124" s="4">
        <f t="shared" si="11"/>
        <v>-13.661348720129652</v>
      </c>
      <c r="G124" s="4">
        <f t="shared" si="11"/>
        <v>-2.959605844548252</v>
      </c>
      <c r="H124" s="4">
        <f t="shared" si="11"/>
        <v>-24.132618584499838</v>
      </c>
      <c r="I124" s="4">
        <f t="shared" si="11"/>
        <v>-22.216166439864985</v>
      </c>
      <c r="J124" s="4">
        <f t="shared" si="11"/>
        <v>-33.008494876138123</v>
      </c>
      <c r="K124" s="4">
        <f t="shared" si="11"/>
        <v>-32.157947181869304</v>
      </c>
      <c r="L124" s="4">
        <f t="shared" si="11"/>
        <v>-19.777801578764688</v>
      </c>
      <c r="M124" s="4">
        <f t="shared" si="11"/>
        <v>-17.17980042870002</v>
      </c>
      <c r="N124" s="4">
        <f t="shared" si="11"/>
        <v>-22.017567891460782</v>
      </c>
      <c r="O124" s="4">
        <f t="shared" si="11"/>
        <v>-17.328422072229561</v>
      </c>
      <c r="P124" s="18"/>
      <c r="Q124" s="4">
        <f>IFERROR(Q123/Q10, 0)</f>
        <v>-14.897919019795621</v>
      </c>
    </row>
    <row r="125" spans="1:17" x14ac:dyDescent="0.25">
      <c r="A125" s="5"/>
      <c r="B125" s="5"/>
      <c r="C125" s="5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Q125" s="3"/>
    </row>
    <row r="126" spans="1:17" x14ac:dyDescent="0.25">
      <c r="A126" s="5"/>
      <c r="B126" s="5"/>
      <c r="C126" s="5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Q126" s="3"/>
    </row>
    <row r="127" spans="1:17" s="14" customFormat="1" ht="15.75" thickBot="1" x14ac:dyDescent="0.3">
      <c r="A127" s="8"/>
      <c r="B127" s="17" t="s">
        <v>5</v>
      </c>
      <c r="C127" s="17"/>
      <c r="D127" s="7">
        <f t="shared" ref="D127:O127" si="12">IFERROR(SUM(D123:D126), 0)</f>
        <v>-159754.48797212055</v>
      </c>
      <c r="E127" s="7">
        <f t="shared" si="12"/>
        <v>-111389.26207568547</v>
      </c>
      <c r="F127" s="7">
        <f t="shared" si="12"/>
        <v>-142639.78134872011</v>
      </c>
      <c r="G127" s="7">
        <f t="shared" si="12"/>
        <v>-128807.66960584458</v>
      </c>
      <c r="H127" s="7">
        <f t="shared" si="12"/>
        <v>-131764.09747136911</v>
      </c>
      <c r="I127" s="7">
        <f t="shared" si="12"/>
        <v>-115457.41698797831</v>
      </c>
      <c r="J127" s="7">
        <f t="shared" si="12"/>
        <v>-140583.17967747228</v>
      </c>
      <c r="K127" s="7">
        <f t="shared" si="12"/>
        <v>-150467.03486396649</v>
      </c>
      <c r="L127" s="7">
        <f t="shared" si="12"/>
        <v>-144753.72975497876</v>
      </c>
      <c r="M127" s="7">
        <f t="shared" si="12"/>
        <v>-150134.27594640947</v>
      </c>
      <c r="N127" s="7">
        <f t="shared" si="12"/>
        <v>-132809.96952129144</v>
      </c>
      <c r="O127" s="7">
        <f t="shared" si="12"/>
        <v>-97940.241552241467</v>
      </c>
      <c r="Q127" s="7">
        <f>IFERROR(SUM(Q123:Q126), 0)</f>
        <v>-1606127.8148756735</v>
      </c>
    </row>
    <row r="128" spans="1:17" ht="15.75" thickTop="1" x14ac:dyDescent="0.25">
      <c r="A128" s="5"/>
      <c r="C128" s="5"/>
      <c r="D128" s="4">
        <f t="shared" ref="D128:O128" si="13">IFERROR(D127/D10, 0)</f>
        <v>-163.86588297598809</v>
      </c>
      <c r="E128" s="4">
        <f t="shared" si="13"/>
        <v>-20.095700490296757</v>
      </c>
      <c r="F128" s="4">
        <f t="shared" si="13"/>
        <v>-13.662657263395451</v>
      </c>
      <c r="G128" s="4">
        <f t="shared" si="13"/>
        <v>-2.9596738487909162</v>
      </c>
      <c r="H128" s="4">
        <f t="shared" si="13"/>
        <v>-24.137039287666077</v>
      </c>
      <c r="I128" s="4">
        <f t="shared" si="13"/>
        <v>-22.220442068510067</v>
      </c>
      <c r="J128" s="4">
        <f t="shared" si="13"/>
        <v>-33.016246988603164</v>
      </c>
      <c r="K128" s="4">
        <f t="shared" si="13"/>
        <v>-32.164821475837215</v>
      </c>
      <c r="L128" s="4">
        <f t="shared" si="13"/>
        <v>-19.780504202648096</v>
      </c>
      <c r="M128" s="4">
        <f t="shared" si="13"/>
        <v>-17.181766530831936</v>
      </c>
      <c r="N128" s="4">
        <f t="shared" si="13"/>
        <v>-22.021218623991285</v>
      </c>
      <c r="O128" s="4">
        <f t="shared" si="13"/>
        <v>-17.331488506855685</v>
      </c>
      <c r="P128" s="18"/>
      <c r="Q128" s="4">
        <f>IFERROR(Q127/Q10, 0)</f>
        <v>-14.898057209326865</v>
      </c>
    </row>
    <row r="129" spans="1:17" x14ac:dyDescent="0.25">
      <c r="A129" s="5"/>
      <c r="B129" s="26">
        <v>44151.564653668982</v>
      </c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Q129" s="12"/>
    </row>
    <row r="130" spans="1:17" x14ac:dyDescent="0.25">
      <c r="A130" s="5"/>
      <c r="B130" s="30" t="s">
        <v>311</v>
      </c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Q130" s="12"/>
    </row>
    <row r="131" spans="1:17" x14ac:dyDescent="0.25">
      <c r="A131" s="5"/>
      <c r="B131" s="31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Q131" s="12"/>
    </row>
    <row r="132" spans="1:17" x14ac:dyDescent="0.25"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Q132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28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">
        <v>305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974.91</v>
      </c>
      <c r="E10" s="3">
        <f>SUM(OSRRefD11x_1)</f>
        <v>4718.9399999999996</v>
      </c>
      <c r="F10" s="3">
        <f>SUM(OSRRefD11x_2)</f>
        <v>8677.65</v>
      </c>
      <c r="G10" s="3">
        <f>SUM(OSRRefD11x_3)</f>
        <v>43520.9</v>
      </c>
      <c r="H10" s="3">
        <f>SUM(OSRRefE11x_0)</f>
        <v>5150</v>
      </c>
      <c r="I10" s="3">
        <f>SUM(OSRRefE11x_1)</f>
        <v>4650</v>
      </c>
      <c r="J10" s="3">
        <f>SUM(OSRRefE11x_2)</f>
        <v>3900</v>
      </c>
      <c r="K10" s="3">
        <f>SUM(OSRRefE11x_3)</f>
        <v>4250</v>
      </c>
      <c r="L10" s="3">
        <f>SUM(OSRRefE11x_4)</f>
        <v>6475</v>
      </c>
      <c r="M10" s="3">
        <f>SUM(OSRRefE11x_5)</f>
        <v>8200</v>
      </c>
      <c r="N10" s="3">
        <f>SUM(OSRRefE11x_6)</f>
        <v>5300</v>
      </c>
      <c r="O10" s="3">
        <f>SUM(OSRRefE11x_7)</f>
        <v>5500</v>
      </c>
      <c r="P10" s="24"/>
      <c r="Q10" s="3">
        <f>SUM(OSRRefG11x)</f>
        <v>101317.40000000001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D13" si="0">0</f>
        <v>0</v>
      </c>
      <c r="E11" s="2">
        <f t="shared" ref="E11:G11" si="1">0</f>
        <v>0</v>
      </c>
      <c r="F11" s="2">
        <f t="shared" si="1"/>
        <v>0</v>
      </c>
      <c r="G11" s="2">
        <f t="shared" si="1"/>
        <v>0</v>
      </c>
      <c r="H11" s="2">
        <v>1602</v>
      </c>
      <c r="I11" s="2">
        <v>1446</v>
      </c>
      <c r="J11" s="2">
        <v>1213</v>
      </c>
      <c r="K11" s="2">
        <v>1322</v>
      </c>
      <c r="L11" s="2">
        <v>2014</v>
      </c>
      <c r="M11" s="2">
        <v>2550</v>
      </c>
      <c r="N11" s="2">
        <v>1648</v>
      </c>
      <c r="O11" s="2">
        <v>1711</v>
      </c>
      <c r="Q11" s="2">
        <f>SUM(OSRRefD11_0x)+IFERROR(SUM(OSRRefE11_0x),0)</f>
        <v>13506</v>
      </c>
    </row>
    <row r="12" spans="1:18" s="9" customFormat="1" hidden="1" outlineLevel="1" x14ac:dyDescent="0.25">
      <c r="A12" s="22"/>
      <c r="B12" s="13" t="str">
        <f>CONCATENATE("          ","4051", " - ","TAXABLE SALES-FOOD")</f>
        <v xml:space="preserve">          4051 - TAXABLE SALES-FOOD</v>
      </c>
      <c r="C12" s="23"/>
      <c r="D12" s="2">
        <f t="shared" si="0"/>
        <v>0</v>
      </c>
      <c r="E12" s="2">
        <f>--2510.72</f>
        <v>2510.7199999999998</v>
      </c>
      <c r="F12" s="2">
        <f>--4141.96</f>
        <v>4141.96</v>
      </c>
      <c r="G12" s="2">
        <f>--6097.26</f>
        <v>6097.26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12749.94</v>
      </c>
    </row>
    <row r="13" spans="1:18" s="9" customFormat="1" hidden="1" outlineLevel="1" x14ac:dyDescent="0.25">
      <c r="A13" s="22"/>
      <c r="B13" s="13" t="str">
        <f>CONCATENATE("          ","4052", " - ","TAXABLE SALES-FOOD")</f>
        <v xml:space="preserve">          4052 - TAXABLE SALES-FOOD</v>
      </c>
      <c r="C13" s="23"/>
      <c r="D13" s="2">
        <f t="shared" si="0"/>
        <v>0</v>
      </c>
      <c r="E13" s="2">
        <f t="shared" ref="E13:F15" si="2">0</f>
        <v>0</v>
      </c>
      <c r="F13" s="2">
        <f t="shared" si="2"/>
        <v>0</v>
      </c>
      <c r="G13" s="2">
        <f>--30231.29</f>
        <v>30231.29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30231.29</v>
      </c>
    </row>
    <row r="14" spans="1:18" s="9" customFormat="1" hidden="1" outlineLevel="1" x14ac:dyDescent="0.25">
      <c r="A14" s="22"/>
      <c r="B14" s="13" t="str">
        <f>CONCATENATE("          ","4058", " - ","TAXABLE SALES-FOOD")</f>
        <v xml:space="preserve">          4058 - TAXABLE SALES-FOOD</v>
      </c>
      <c r="C14" s="23"/>
      <c r="D14" s="2">
        <f>--974.91</f>
        <v>974.91</v>
      </c>
      <c r="E14" s="2">
        <f t="shared" si="2"/>
        <v>0</v>
      </c>
      <c r="F14" s="2">
        <f t="shared" si="2"/>
        <v>0</v>
      </c>
      <c r="G14" s="2">
        <f t="shared" ref="G14:G15" si="3">0</f>
        <v>0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974.91</v>
      </c>
    </row>
    <row r="15" spans="1:18" s="9" customFormat="1" hidden="1" outlineLevel="1" x14ac:dyDescent="0.25">
      <c r="A15" s="22"/>
      <c r="B15" s="13" t="str">
        <f>CONCATENATE("          ","4100", " - ","NON-TAXABLE SALES")</f>
        <v xml:space="preserve">          4100 - NON-TAXABLE SALES</v>
      </c>
      <c r="C15" s="23"/>
      <c r="D15" s="2">
        <f t="shared" ref="D15:D16" si="4">0</f>
        <v>0</v>
      </c>
      <c r="E15" s="2">
        <f t="shared" si="2"/>
        <v>0</v>
      </c>
      <c r="F15" s="2">
        <f t="shared" si="2"/>
        <v>0</v>
      </c>
      <c r="G15" s="2">
        <f t="shared" si="3"/>
        <v>0</v>
      </c>
      <c r="H15" s="2">
        <v>3548</v>
      </c>
      <c r="I15" s="2">
        <v>3204</v>
      </c>
      <c r="J15" s="2">
        <v>2687</v>
      </c>
      <c r="K15" s="2">
        <v>2928</v>
      </c>
      <c r="L15" s="2">
        <v>4461</v>
      </c>
      <c r="M15" s="2">
        <v>5650</v>
      </c>
      <c r="N15" s="2">
        <v>3652</v>
      </c>
      <c r="O15" s="2">
        <v>3789</v>
      </c>
      <c r="Q15" s="2">
        <f>SUM(OSRRefD11_4x)+IFERROR(SUM(OSRRefE11_4x),0)</f>
        <v>29919</v>
      </c>
    </row>
    <row r="16" spans="1:18" s="9" customFormat="1" hidden="1" outlineLevel="1" x14ac:dyDescent="0.25">
      <c r="A16" s="22"/>
      <c r="B16" s="13" t="str">
        <f>CONCATENATE("          ","4151", " - ","NON-TAXABLE SALES-FOOD")</f>
        <v xml:space="preserve">          4151 - NON-TAXABLE SALES-FOOD</v>
      </c>
      <c r="C16" s="23"/>
      <c r="D16" s="2">
        <f t="shared" si="4"/>
        <v>0</v>
      </c>
      <c r="E16" s="2">
        <f>--2208.22</f>
        <v>2208.2199999999998</v>
      </c>
      <c r="F16" s="2">
        <f>--4535.69</f>
        <v>4535.6899999999996</v>
      </c>
      <c r="G16" s="2">
        <f>--7192.35</f>
        <v>7192.35</v>
      </c>
      <c r="H16" s="2"/>
      <c r="I16" s="2"/>
      <c r="J16" s="2"/>
      <c r="K16" s="2"/>
      <c r="L16" s="2"/>
      <c r="M16" s="2"/>
      <c r="N16" s="2"/>
      <c r="O16" s="2"/>
      <c r="Q16" s="2">
        <f>SUM(OSRRefD11_5x)+IFERROR(SUM(OSRRefE11_5x),0)</f>
        <v>13936.26</v>
      </c>
    </row>
    <row r="17" spans="1:17" x14ac:dyDescent="0.25">
      <c r="A17" s="5"/>
      <c r="B17" s="8"/>
      <c r="C17" s="5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9" customFormat="1" collapsed="1" x14ac:dyDescent="0.25">
      <c r="A18" s="22"/>
      <c r="B18" s="16" t="s">
        <v>290</v>
      </c>
      <c r="C18" s="23"/>
      <c r="D18" s="3">
        <f>SUM(OSRRefD14x_0)</f>
        <v>0</v>
      </c>
      <c r="E18" s="3">
        <f>SUM(OSRRefD14x_1)</f>
        <v>4245.9399999999996</v>
      </c>
      <c r="F18" s="3">
        <f>SUM(OSRRefD14x_2)</f>
        <v>1770.46</v>
      </c>
      <c r="G18" s="3">
        <f>SUM(OSRRefD14x_3)</f>
        <v>5796.07</v>
      </c>
      <c r="H18" s="3">
        <f>SUM(OSRRefE14x_0)</f>
        <v>1700</v>
      </c>
      <c r="I18" s="3">
        <f>SUM(OSRRefE14x_1)</f>
        <v>1488</v>
      </c>
      <c r="J18" s="3">
        <f>SUM(OSRRefE14x_2)</f>
        <v>1209</v>
      </c>
      <c r="K18" s="3">
        <f>SUM(OSRRefE14x_3)</f>
        <v>1318</v>
      </c>
      <c r="L18" s="3">
        <f>SUM(OSRRefE14x_4)</f>
        <v>2072</v>
      </c>
      <c r="M18" s="3">
        <f>SUM(OSRRefE14x_5)</f>
        <v>2706</v>
      </c>
      <c r="N18" s="3">
        <f>SUM(OSRRefE14x_6)</f>
        <v>1749</v>
      </c>
      <c r="O18" s="3">
        <f>SUM(OSRRefE14x_7)</f>
        <v>1430</v>
      </c>
      <c r="Q18" s="3">
        <f>SUM(OSRRefG14x)</f>
        <v>25484.47</v>
      </c>
    </row>
    <row r="19" spans="1:17" s="9" customFormat="1" hidden="1" outlineLevel="1" x14ac:dyDescent="0.25">
      <c r="A19" s="22"/>
      <c r="B19" s="13" t="str">
        <f>CONCATENATE("          ","5000", " - ","PURCHASES @ COST")</f>
        <v xml:space="preserve">          5000 - PURCHASES @ COST</v>
      </c>
      <c r="C19" s="23"/>
      <c r="D19" s="2"/>
      <c r="E19" s="2"/>
      <c r="F19" s="2"/>
      <c r="G19" s="2"/>
      <c r="H19" s="2">
        <v>1700</v>
      </c>
      <c r="I19" s="2">
        <v>1488</v>
      </c>
      <c r="J19" s="2">
        <v>1209</v>
      </c>
      <c r="K19" s="2">
        <v>1318</v>
      </c>
      <c r="L19" s="2">
        <v>2072</v>
      </c>
      <c r="M19" s="2">
        <v>2706</v>
      </c>
      <c r="N19" s="2">
        <v>1749</v>
      </c>
      <c r="O19" s="2">
        <v>1430</v>
      </c>
      <c r="Q19" s="2">
        <f>SUM(OSRRefD14_0x)+IFERROR(SUM(OSRRefE14_0x),0)</f>
        <v>13672</v>
      </c>
    </row>
    <row r="20" spans="1:17" s="9" customFormat="1" hidden="1" outlineLevel="1" x14ac:dyDescent="0.25">
      <c r="A20" s="22"/>
      <c r="B20" s="13" t="str">
        <f>CONCATENATE("          ","5053", " - ","PURCHASES @ COST-FOOD")</f>
        <v xml:space="preserve">          5053 - PURCHASES @ COST-FOOD</v>
      </c>
      <c r="C20" s="23"/>
      <c r="D20" s="2"/>
      <c r="E20" s="2">
        <v>4200.9399999999996</v>
      </c>
      <c r="F20" s="2">
        <v>1229.4000000000001</v>
      </c>
      <c r="G20" s="2">
        <v>4199.07</v>
      </c>
      <c r="H20" s="2"/>
      <c r="I20" s="2"/>
      <c r="J20" s="2"/>
      <c r="K20" s="2"/>
      <c r="L20" s="2"/>
      <c r="M20" s="2"/>
      <c r="N20" s="2"/>
      <c r="O20" s="2"/>
      <c r="Q20" s="2">
        <f>SUM(OSRRefD14_1x)+IFERROR(SUM(OSRRefE14_1x),0)</f>
        <v>9629.41</v>
      </c>
    </row>
    <row r="21" spans="1:17" s="9" customFormat="1" hidden="1" outlineLevel="1" x14ac:dyDescent="0.25">
      <c r="A21" s="22"/>
      <c r="B21" s="13" t="str">
        <f>CONCATENATE("          ","5059", " - ","PURCHASES @ COST-FOOD")</f>
        <v xml:space="preserve">          5059 - PURCHASES @ COST-FOOD</v>
      </c>
      <c r="C21" s="23"/>
      <c r="D21" s="2"/>
      <c r="E21" s="2">
        <v>45</v>
      </c>
      <c r="F21" s="2">
        <v>541.05999999999995</v>
      </c>
      <c r="G21" s="2">
        <v>1597</v>
      </c>
      <c r="H21" s="2"/>
      <c r="I21" s="2"/>
      <c r="J21" s="2"/>
      <c r="K21" s="2"/>
      <c r="L21" s="2"/>
      <c r="M21" s="2"/>
      <c r="N21" s="2"/>
      <c r="O21" s="2"/>
      <c r="Q21" s="2">
        <f>SUM(OSRRefD14_2x)+IFERROR(SUM(OSRRefE14_2x),0)</f>
        <v>2183.06</v>
      </c>
    </row>
    <row r="22" spans="1:17" x14ac:dyDescent="0.25">
      <c r="A22" s="5"/>
      <c r="B22" s="8"/>
      <c r="C22" s="8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4" customFormat="1" x14ac:dyDescent="0.25">
      <c r="A23" s="8"/>
      <c r="B23" s="17" t="s">
        <v>6</v>
      </c>
      <c r="C23" s="17"/>
      <c r="D23" s="6">
        <f t="shared" ref="D23:O23" si="5">IFERROR(+D10-D18, 0)</f>
        <v>974.91</v>
      </c>
      <c r="E23" s="6">
        <f t="shared" si="5"/>
        <v>473</v>
      </c>
      <c r="F23" s="6">
        <f t="shared" si="5"/>
        <v>6907.19</v>
      </c>
      <c r="G23" s="6">
        <f t="shared" si="5"/>
        <v>37724.83</v>
      </c>
      <c r="H23" s="6">
        <f t="shared" si="5"/>
        <v>3450</v>
      </c>
      <c r="I23" s="6">
        <f t="shared" si="5"/>
        <v>3162</v>
      </c>
      <c r="J23" s="6">
        <f t="shared" si="5"/>
        <v>2691</v>
      </c>
      <c r="K23" s="6">
        <f t="shared" si="5"/>
        <v>2932</v>
      </c>
      <c r="L23" s="6">
        <f t="shared" si="5"/>
        <v>4403</v>
      </c>
      <c r="M23" s="6">
        <f t="shared" si="5"/>
        <v>5494</v>
      </c>
      <c r="N23" s="6">
        <f t="shared" si="5"/>
        <v>3551</v>
      </c>
      <c r="O23" s="6">
        <f t="shared" si="5"/>
        <v>4070</v>
      </c>
      <c r="Q23" s="6">
        <f>IFERROR(+Q10-Q18, 0)</f>
        <v>75832.930000000008</v>
      </c>
    </row>
    <row r="24" spans="1:17" s="8" customFormat="1" x14ac:dyDescent="0.25">
      <c r="B24" s="16"/>
      <c r="C24" s="16"/>
      <c r="D24" s="4">
        <f t="shared" ref="D24:O24" si="6">IFERROR(D23/D10, 0)</f>
        <v>1</v>
      </c>
      <c r="E24" s="4">
        <f t="shared" si="6"/>
        <v>0.10023437466888752</v>
      </c>
      <c r="F24" s="4">
        <f t="shared" si="6"/>
        <v>0.79597471665715946</v>
      </c>
      <c r="G24" s="4">
        <f t="shared" si="6"/>
        <v>0.86682099864662732</v>
      </c>
      <c r="H24" s="4">
        <f t="shared" si="6"/>
        <v>0.66990291262135926</v>
      </c>
      <c r="I24" s="4">
        <f t="shared" si="6"/>
        <v>0.68</v>
      </c>
      <c r="J24" s="4">
        <f t="shared" si="6"/>
        <v>0.69</v>
      </c>
      <c r="K24" s="4">
        <f t="shared" si="6"/>
        <v>0.6898823529411765</v>
      </c>
      <c r="L24" s="4">
        <f t="shared" si="6"/>
        <v>0.68</v>
      </c>
      <c r="M24" s="4">
        <f t="shared" si="6"/>
        <v>0.67</v>
      </c>
      <c r="N24" s="4">
        <f t="shared" si="6"/>
        <v>0.67</v>
      </c>
      <c r="O24" s="4">
        <f t="shared" si="6"/>
        <v>0.74</v>
      </c>
      <c r="P24" s="18"/>
      <c r="Q24" s="4">
        <f>IFERROR(Q23/Q10, 0)</f>
        <v>0.74846896979196076</v>
      </c>
    </row>
    <row r="25" spans="1:17" x14ac:dyDescent="0.25">
      <c r="A25" s="5"/>
      <c r="B25" s="8"/>
      <c r="C25" s="5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Q25" s="1"/>
    </row>
    <row r="26" spans="1:17" s="14" customFormat="1" x14ac:dyDescent="0.25">
      <c r="A26" s="8"/>
      <c r="B26" s="16" t="s">
        <v>291</v>
      </c>
      <c r="C26" s="8"/>
      <c r="D26" s="10">
        <f>SUM(OSRRefD20x_0)</f>
        <v>127125.15000000002</v>
      </c>
      <c r="E26" s="10">
        <f>SUM(OSRRefD20x_1)</f>
        <v>84836.56</v>
      </c>
      <c r="F26" s="10">
        <f>SUM(OSRRefD20x_2)</f>
        <v>117820.05000000002</v>
      </c>
      <c r="G26" s="10">
        <f>SUM(OSRRefD20x_3)</f>
        <v>117574.27</v>
      </c>
      <c r="H26" s="10">
        <f>SUM(OSRRefE20x_0)</f>
        <v>101911.06405278461</v>
      </c>
      <c r="I26" s="10">
        <f>SUM(OSRRefE20x_1)</f>
        <v>93711.200821538456</v>
      </c>
      <c r="J26" s="10">
        <f>SUM(OSRRefE20x_2)</f>
        <v>110842.90510259615</v>
      </c>
      <c r="K26" s="10">
        <f>SUM(OSRRefE20x_3)</f>
        <v>104011.06405278461</v>
      </c>
      <c r="L26" s="10">
        <f>SUM(OSRRefE20x_4)</f>
        <v>101896.13908940001</v>
      </c>
      <c r="M26" s="10">
        <f>SUM(OSRRefE20x_5)</f>
        <v>110571.83006598076</v>
      </c>
      <c r="N26" s="10">
        <f>SUM(OSRRefE20x_6)</f>
        <v>101427.13908940001</v>
      </c>
      <c r="O26" s="10">
        <f>SUM(OSRRefE20x_7)</f>
        <v>101689.10026616923</v>
      </c>
      <c r="Q26" s="10">
        <f>SUM(OSRRefG20x)</f>
        <v>1273416.4725406538</v>
      </c>
    </row>
    <row r="27" spans="1:17" s="34" customFormat="1" collapsed="1" x14ac:dyDescent="0.25">
      <c r="A27" s="35"/>
      <c r="B27" s="15" t="str">
        <f>CONCATENATE("     ","*Benefits                                         ")</f>
        <v xml:space="preserve">     *Benefits                                         </v>
      </c>
      <c r="C27" s="15"/>
      <c r="D27" s="1">
        <f>SUM(OSRRefD21_0x_0)</f>
        <v>25973.47</v>
      </c>
      <c r="E27" s="1">
        <f>SUM(OSRRefD21_0x_1)</f>
        <v>21317.179999999997</v>
      </c>
      <c r="F27" s="1">
        <f>SUM(OSRRefD21_0x_2)</f>
        <v>21540.73</v>
      </c>
      <c r="G27" s="1">
        <f>SUM(OSRRefD21_0x_3)</f>
        <v>23261.620000000003</v>
      </c>
      <c r="H27" s="1">
        <f>SUM(OSRRefE21_0x_0)</f>
        <v>13530.134360476928</v>
      </c>
      <c r="I27" s="1">
        <f>SUM(OSRRefE21_0x_1)</f>
        <v>9287.243129230772</v>
      </c>
      <c r="J27" s="1">
        <f>SUM(OSRRefE21_0x_2)</f>
        <v>15656.932987211547</v>
      </c>
      <c r="K27" s="1">
        <f>SUM(OSRRefE21_0x_3)</f>
        <v>13530.134360476928</v>
      </c>
      <c r="L27" s="1">
        <f>SUM(OSRRefE21_0x_4)</f>
        <v>13400.649397092311</v>
      </c>
      <c r="M27" s="1">
        <f>SUM(OSRRefE21_0x_5)</f>
        <v>15786.417950596157</v>
      </c>
      <c r="N27" s="1">
        <f>SUM(OSRRefE21_0x_6)</f>
        <v>13400.649397092311</v>
      </c>
      <c r="O27" s="1">
        <f>SUM(OSRRefE21_0x_7)</f>
        <v>13655.655573861539</v>
      </c>
      <c r="Q27" s="2">
        <f>SUM(OSRRefD20_0x)+IFERROR(SUM(OSRRefE20_0x),0)</f>
        <v>200340.81715603848</v>
      </c>
    </row>
    <row r="28" spans="1:17" s="34" customFormat="1" hidden="1" outlineLevel="1" x14ac:dyDescent="0.25">
      <c r="A28" s="35"/>
      <c r="B28" s="13" t="str">
        <f>CONCATENATE("          ","6111", " - ","F.I.C.A.")</f>
        <v xml:space="preserve">          6111 - F.I.C.A.</v>
      </c>
      <c r="C28" s="15"/>
      <c r="D28" s="2">
        <v>2614.65</v>
      </c>
      <c r="E28" s="2">
        <v>2439.41</v>
      </c>
      <c r="F28" s="2">
        <v>2366.3200000000002</v>
      </c>
      <c r="G28" s="2">
        <v>4927.41</v>
      </c>
      <c r="H28" s="2">
        <v>1966.5003981692309</v>
      </c>
      <c r="I28" s="2">
        <v>1448.8070907692311</v>
      </c>
      <c r="J28" s="2">
        <v>2444.9929497115404</v>
      </c>
      <c r="K28" s="2">
        <v>1966.5003981692309</v>
      </c>
      <c r="L28" s="2">
        <v>1953.3678501692309</v>
      </c>
      <c r="M28" s="2">
        <v>2458.12549771154</v>
      </c>
      <c r="N28" s="2">
        <v>1953.3678501692309</v>
      </c>
      <c r="O28" s="2">
        <v>1979.632946169231</v>
      </c>
      <c r="P28" s="9"/>
      <c r="Q28" s="2">
        <f>SUM(OSRRefD21_0_0x)+IFERROR(SUM(OSRRefE21_0_0x),0)</f>
        <v>28519.084981038464</v>
      </c>
    </row>
    <row r="29" spans="1:17" s="34" customFormat="1" hidden="1" outlineLevel="1" x14ac:dyDescent="0.25">
      <c r="A29" s="35"/>
      <c r="B29" s="13" t="str">
        <f>CONCATENATE("          ","6112", " - ","COMPENSATION INSURANCE")</f>
        <v xml:space="preserve">          6112 - COMPENSATION INSURANCE</v>
      </c>
      <c r="C29" s="15"/>
      <c r="D29" s="2">
        <v>568.9</v>
      </c>
      <c r="E29" s="2">
        <v>613.87</v>
      </c>
      <c r="F29" s="2">
        <v>824.72</v>
      </c>
      <c r="G29" s="2">
        <v>656.61</v>
      </c>
      <c r="H29" s="2">
        <v>673.01774353846145</v>
      </c>
      <c r="I29" s="2">
        <v>378.31276153846147</v>
      </c>
      <c r="J29" s="2">
        <v>833.9105394230769</v>
      </c>
      <c r="K29" s="2">
        <v>673.01774353846145</v>
      </c>
      <c r="L29" s="2">
        <v>665.65610353846148</v>
      </c>
      <c r="M29" s="2">
        <v>841.27217942307686</v>
      </c>
      <c r="N29" s="2">
        <v>665.65610353846148</v>
      </c>
      <c r="O29" s="2">
        <v>678.12713353846152</v>
      </c>
      <c r="P29" s="9"/>
      <c r="Q29" s="2">
        <f>SUM(OSRRefD21_0_1x)+IFERROR(SUM(OSRRefE21_0_1x),0)</f>
        <v>8073.0703080769235</v>
      </c>
    </row>
    <row r="30" spans="1:17" s="34" customFormat="1" hidden="1" outlineLevel="1" x14ac:dyDescent="0.25">
      <c r="A30" s="35"/>
      <c r="B30" s="13" t="str">
        <f>CONCATENATE("          ","6113", " - ","GROUP INSURANCE")</f>
        <v xml:space="preserve">          6113 - GROUP INSURANCE</v>
      </c>
      <c r="C30" s="15"/>
      <c r="D30" s="2">
        <v>13618.52</v>
      </c>
      <c r="E30" s="2">
        <v>10662.18</v>
      </c>
      <c r="F30" s="2">
        <v>10662.18</v>
      </c>
      <c r="G30" s="2">
        <v>8662.99</v>
      </c>
      <c r="H30" s="2">
        <v>5982.6923076923094</v>
      </c>
      <c r="I30" s="2">
        <v>3683.8461538461538</v>
      </c>
      <c r="J30" s="2">
        <v>6348.2307692307704</v>
      </c>
      <c r="K30" s="2">
        <v>5982.6923076923094</v>
      </c>
      <c r="L30" s="2">
        <v>5891.3076923076906</v>
      </c>
      <c r="M30" s="2">
        <v>6439.6153846153802</v>
      </c>
      <c r="N30" s="2">
        <v>5891.3076923076906</v>
      </c>
      <c r="O30" s="2">
        <v>6074.0769230769201</v>
      </c>
      <c r="P30" s="9"/>
      <c r="Q30" s="2">
        <f>SUM(OSRRefD21_0_2x)+IFERROR(SUM(OSRRefE21_0_2x),0)</f>
        <v>89899.639230769229</v>
      </c>
    </row>
    <row r="31" spans="1:17" s="34" customFormat="1" hidden="1" outlineLevel="1" x14ac:dyDescent="0.25">
      <c r="A31" s="35"/>
      <c r="B31" s="13" t="str">
        <f>CONCATENATE("          ","6114", " - ","STATE UNEMPLOYMENT INSURANCE")</f>
        <v xml:space="preserve">          6114 - STATE UNEMPLOYMENT INSURANCE</v>
      </c>
      <c r="C31" s="15"/>
      <c r="D31" s="2">
        <v>81.95</v>
      </c>
      <c r="E31" s="2">
        <v>84.68</v>
      </c>
      <c r="F31" s="2">
        <v>91.3</v>
      </c>
      <c r="G31" s="2">
        <v>81.11</v>
      </c>
      <c r="H31" s="2">
        <v>67.355108000000001</v>
      </c>
      <c r="I31" s="2">
        <v>49.494199999999999</v>
      </c>
      <c r="J31" s="2">
        <v>83.747725000000003</v>
      </c>
      <c r="K31" s="2">
        <v>67.355108000000001</v>
      </c>
      <c r="L31" s="2">
        <v>66.908947999999995</v>
      </c>
      <c r="M31" s="2">
        <v>84.193884999999995</v>
      </c>
      <c r="N31" s="2">
        <v>66.908947999999995</v>
      </c>
      <c r="O31" s="2">
        <v>67.664767999999995</v>
      </c>
      <c r="P31" s="9"/>
      <c r="Q31" s="2">
        <f>SUM(OSRRefD21_0_3x)+IFERROR(SUM(OSRRefE21_0_3x),0)</f>
        <v>892.66868999999997</v>
      </c>
    </row>
    <row r="32" spans="1:17" s="34" customFormat="1" hidden="1" outlineLevel="1" x14ac:dyDescent="0.25">
      <c r="A32" s="35"/>
      <c r="B32" s="13" t="str">
        <f>CONCATENATE("          ","6115", " - ","P.E.R.S.")</f>
        <v xml:space="preserve">          6115 - P.E.R.S.</v>
      </c>
      <c r="C32" s="15"/>
      <c r="D32" s="2">
        <v>4648.8</v>
      </c>
      <c r="E32" s="2">
        <v>2748.35</v>
      </c>
      <c r="F32" s="2">
        <v>2748.35</v>
      </c>
      <c r="G32" s="2">
        <v>2662.31</v>
      </c>
      <c r="H32" s="2">
        <v>1914.6877261538459</v>
      </c>
      <c r="I32" s="2">
        <v>1480.509846153846</v>
      </c>
      <c r="J32" s="2">
        <v>2393.3596576923101</v>
      </c>
      <c r="K32" s="2">
        <v>1914.6877261538459</v>
      </c>
      <c r="L32" s="2">
        <v>1914.6877261538459</v>
      </c>
      <c r="M32" s="2">
        <v>2393.3596576923101</v>
      </c>
      <c r="N32" s="2">
        <v>1914.6877261538459</v>
      </c>
      <c r="O32" s="2">
        <v>1914.6877261538459</v>
      </c>
      <c r="P32" s="9"/>
      <c r="Q32" s="2">
        <f>SUM(OSRRefD21_0_4x)+IFERROR(SUM(OSRRefE21_0_4x),0)</f>
        <v>28648.477792307698</v>
      </c>
    </row>
    <row r="33" spans="1:17" s="34" customFormat="1" hidden="1" outlineLevel="1" x14ac:dyDescent="0.25">
      <c r="A33" s="35"/>
      <c r="B33" s="13" t="str">
        <f>CONCATENATE("          ","6116", " - ","EDUCATIONAL BENEFITS")</f>
        <v xml:space="preserve">          6116 - EDUCATIONAL BENEFITS</v>
      </c>
      <c r="C33" s="15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SUM(OSRRefD21_0_5x)+IFERROR(SUM(OSRRefE21_0_5x),0)</f>
        <v>0</v>
      </c>
    </row>
    <row r="34" spans="1:17" s="34" customFormat="1" hidden="1" outlineLevel="1" x14ac:dyDescent="0.25">
      <c r="A34" s="35"/>
      <c r="B34" s="13" t="str">
        <f>CONCATENATE("          ","6118", " - ","VACATION")</f>
        <v xml:space="preserve">          6118 - VACATION</v>
      </c>
      <c r="C34" s="15"/>
      <c r="D34" s="2">
        <v>2560.33</v>
      </c>
      <c r="E34" s="2">
        <v>2561.8200000000002</v>
      </c>
      <c r="F34" s="2">
        <v>2561.8200000000002</v>
      </c>
      <c r="G34" s="2">
        <v>3600.57</v>
      </c>
      <c r="H34" s="2">
        <v>1838.25207692308</v>
      </c>
      <c r="I34" s="2">
        <v>1500.02307692308</v>
      </c>
      <c r="J34" s="2">
        <v>2289.23509615385</v>
      </c>
      <c r="K34" s="2">
        <v>1838.25207692308</v>
      </c>
      <c r="L34" s="2">
        <v>1829.6720769230801</v>
      </c>
      <c r="M34" s="2">
        <v>2297.8150961538499</v>
      </c>
      <c r="N34" s="2">
        <v>1829.6720769230801</v>
      </c>
      <c r="O34" s="2">
        <v>1846.83207692308</v>
      </c>
      <c r="P34" s="9"/>
      <c r="Q34" s="2">
        <f>SUM(OSRRefD21_0_6x)+IFERROR(SUM(OSRRefE21_0_6x),0)</f>
        <v>26554.29365384618</v>
      </c>
    </row>
    <row r="35" spans="1:17" s="34" customFormat="1" hidden="1" outlineLevel="1" x14ac:dyDescent="0.25">
      <c r="A35" s="35"/>
      <c r="B35" s="13" t="str">
        <f>CONCATENATE("          ","6119", " - ","SICK LEAVE")</f>
        <v xml:space="preserve">          6119 - SICK LEAVE</v>
      </c>
      <c r="C35" s="15"/>
      <c r="D35" s="2">
        <v>1576.57</v>
      </c>
      <c r="E35" s="2">
        <v>1497.32</v>
      </c>
      <c r="F35" s="2">
        <v>1497.32</v>
      </c>
      <c r="G35" s="2">
        <v>2052.15</v>
      </c>
      <c r="H35" s="2">
        <v>737.62900000000002</v>
      </c>
      <c r="I35" s="2">
        <v>396.25</v>
      </c>
      <c r="J35" s="2">
        <v>913.45624999999995</v>
      </c>
      <c r="K35" s="2">
        <v>737.62900000000002</v>
      </c>
      <c r="L35" s="2">
        <v>729.04899999999998</v>
      </c>
      <c r="M35" s="2">
        <v>922.03625</v>
      </c>
      <c r="N35" s="2">
        <v>729.04899999999998</v>
      </c>
      <c r="O35" s="2">
        <v>744.63400000000001</v>
      </c>
      <c r="P35" s="9"/>
      <c r="Q35" s="2">
        <f>SUM(OSRRefD21_0_7x)+IFERROR(SUM(OSRRefE21_0_7x),0)</f>
        <v>12533.092500000001</v>
      </c>
    </row>
    <row r="36" spans="1:17" s="34" customFormat="1" hidden="1" outlineLevel="1" x14ac:dyDescent="0.25">
      <c r="A36" s="35"/>
      <c r="B36" s="13" t="str">
        <f>CONCATENATE("          ","6156", " - ","EMPLOYEE MEALS")</f>
        <v xml:space="preserve">          6156 - EMPLOYEE MEALS</v>
      </c>
      <c r="C36" s="15"/>
      <c r="D36" s="2">
        <v>303.75</v>
      </c>
      <c r="E36" s="2">
        <v>709.55</v>
      </c>
      <c r="F36" s="2">
        <v>788.72</v>
      </c>
      <c r="G36" s="2">
        <v>618.47</v>
      </c>
      <c r="H36" s="2">
        <v>350</v>
      </c>
      <c r="I36" s="2">
        <v>350</v>
      </c>
      <c r="J36" s="2">
        <v>350</v>
      </c>
      <c r="K36" s="2">
        <v>350</v>
      </c>
      <c r="L36" s="2">
        <v>350</v>
      </c>
      <c r="M36" s="2">
        <v>350</v>
      </c>
      <c r="N36" s="2">
        <v>350</v>
      </c>
      <c r="O36" s="2">
        <v>350</v>
      </c>
      <c r="P36" s="9"/>
      <c r="Q36" s="2">
        <f>SUM(OSRRefD21_0_8x)+IFERROR(SUM(OSRRefE21_0_8x),0)</f>
        <v>5220.49</v>
      </c>
    </row>
    <row r="37" spans="1:17" s="34" customFormat="1" collapsed="1" x14ac:dyDescent="0.25">
      <c r="A37" s="35"/>
      <c r="B37" s="15" t="str">
        <f>CONCATENATE("     ","*Payroll                                          ")</f>
        <v xml:space="preserve">     *Payroll                                          </v>
      </c>
      <c r="C37" s="15"/>
      <c r="D37" s="1">
        <f>SUM(OSRRefD21_1x_0)</f>
        <v>36428.020000000004</v>
      </c>
      <c r="E37" s="1">
        <f>SUM(OSRRefD21_1x_1)</f>
        <v>30741.25</v>
      </c>
      <c r="F37" s="1">
        <f>SUM(OSRRefD21_1x_2)</f>
        <v>30018.61</v>
      </c>
      <c r="G37" s="1">
        <f>SUM(OSRRefD21_1x_3)</f>
        <v>31757.640000000003</v>
      </c>
      <c r="H37" s="1">
        <f>SUM(OSRRefE21_1x_0)</f>
        <v>23329.929692307691</v>
      </c>
      <c r="I37" s="1">
        <f>SUM(OSRRefE21_1x_1)</f>
        <v>17139.957692307689</v>
      </c>
      <c r="J37" s="1">
        <f>SUM(OSRRefE21_1x_2)</f>
        <v>29007.972115384604</v>
      </c>
      <c r="K37" s="1">
        <f>SUM(OSRRefE21_1x_3)</f>
        <v>23329.929692307691</v>
      </c>
      <c r="L37" s="1">
        <f>SUM(OSRRefE21_1x_4)</f>
        <v>23175.489692307692</v>
      </c>
      <c r="M37" s="1">
        <f>SUM(OSRRefE21_1x_5)</f>
        <v>29162.412115384603</v>
      </c>
      <c r="N37" s="1">
        <f>SUM(OSRRefE21_1x_6)</f>
        <v>23175.489692307692</v>
      </c>
      <c r="O37" s="1">
        <f>SUM(OSRRefE21_1x_7)</f>
        <v>23433.44469230769</v>
      </c>
      <c r="Q37" s="2">
        <f>SUM(OSRRefD20_1x)+IFERROR(SUM(OSRRefE20_1x),0)</f>
        <v>320700.14538461535</v>
      </c>
    </row>
    <row r="38" spans="1:17" s="34" customFormat="1" hidden="1" outlineLevel="1" x14ac:dyDescent="0.25">
      <c r="A38" s="35"/>
      <c r="B38" s="13" t="str">
        <f>CONCATENATE("          ","6001", " - ","ADMINISTRATIVE SALARIES")</f>
        <v xml:space="preserve">          6001 - ADMINISTRATIVE SALARIES</v>
      </c>
      <c r="C38" s="15"/>
      <c r="D38" s="2">
        <v>11207.33</v>
      </c>
      <c r="E38" s="2">
        <v>11069.28</v>
      </c>
      <c r="F38" s="2">
        <v>11069.28</v>
      </c>
      <c r="G38" s="2">
        <v>10516.14</v>
      </c>
      <c r="H38" s="2">
        <v>15493.707692307691</v>
      </c>
      <c r="I38" s="2">
        <v>15493.707692307691</v>
      </c>
      <c r="J38" s="2">
        <v>19367.134615384603</v>
      </c>
      <c r="K38" s="2">
        <v>15493.707692307691</v>
      </c>
      <c r="L38" s="2">
        <v>15493.707692307691</v>
      </c>
      <c r="M38" s="2">
        <v>19367.134615384603</v>
      </c>
      <c r="N38" s="2">
        <v>15493.707692307691</v>
      </c>
      <c r="O38" s="2">
        <v>15493.707692307691</v>
      </c>
      <c r="P38" s="9"/>
      <c r="Q38" s="2">
        <f>SUM(OSRRefD21_1_0x)+IFERROR(SUM(OSRRefE21_1_0x),0)</f>
        <v>175558.54538461537</v>
      </c>
    </row>
    <row r="39" spans="1:17" s="34" customFormat="1" hidden="1" outlineLevel="1" x14ac:dyDescent="0.25">
      <c r="A39" s="35"/>
      <c r="B39" s="13" t="str">
        <f>CONCATENATE("          ","6002", " - ","STAFF SALARIES")</f>
        <v xml:space="preserve">          6002 - STAFF SALARIES</v>
      </c>
      <c r="C39" s="15"/>
      <c r="D39" s="2">
        <v>21098.959999999999</v>
      </c>
      <c r="E39" s="2">
        <v>14643.4</v>
      </c>
      <c r="F39" s="2">
        <v>15148.26</v>
      </c>
      <c r="G39" s="2">
        <v>16649.230000000003</v>
      </c>
      <c r="H39" s="2">
        <v>4543.7219999999998</v>
      </c>
      <c r="I39" s="2">
        <v>0</v>
      </c>
      <c r="J39" s="2">
        <v>5679.6524999999992</v>
      </c>
      <c r="K39" s="2">
        <v>4543.7219999999998</v>
      </c>
      <c r="L39" s="2">
        <v>4543.7219999999998</v>
      </c>
      <c r="M39" s="2">
        <v>5679.6524999999992</v>
      </c>
      <c r="N39" s="2">
        <v>4543.7219999999998</v>
      </c>
      <c r="O39" s="2">
        <v>4543.7219999999998</v>
      </c>
      <c r="P39" s="9"/>
      <c r="Q39" s="2">
        <f>SUM(OSRRefD21_1_1x)+IFERROR(SUM(OSRRefE21_1_1x),0)</f>
        <v>101617.76500000001</v>
      </c>
    </row>
    <row r="40" spans="1:17" s="34" customFormat="1" hidden="1" outlineLevel="1" x14ac:dyDescent="0.25">
      <c r="A40" s="35"/>
      <c r="B40" s="13" t="str">
        <f>CONCATENATE("          ","6003", " - ","STAFF HOURLY-9 MONTH")</f>
        <v xml:space="preserve">          6003 - STAFF HOURLY-9 MONTH</v>
      </c>
      <c r="C40" s="15"/>
      <c r="D40" s="2"/>
      <c r="E40" s="2"/>
      <c r="F40" s="2"/>
      <c r="G40" s="2"/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SUM(OSRRefD21_1_2x)+IFERROR(SUM(OSRRefE21_1_2x),0)</f>
        <v>0</v>
      </c>
    </row>
    <row r="41" spans="1:17" s="34" customFormat="1" hidden="1" outlineLevel="1" x14ac:dyDescent="0.25">
      <c r="A41" s="35"/>
      <c r="B41" s="13" t="str">
        <f>CONCATENATE("          ","6004", " - ","STAFF HOURLY")</f>
        <v xml:space="preserve">          6004 - STAFF HOURLY</v>
      </c>
      <c r="C41" s="15"/>
      <c r="D41" s="2">
        <v>2771.73</v>
      </c>
      <c r="E41" s="2">
        <v>4818.47</v>
      </c>
      <c r="F41" s="2">
        <v>3115.4</v>
      </c>
      <c r="G41" s="2">
        <v>4641.7</v>
      </c>
      <c r="H41" s="2">
        <v>3088.8</v>
      </c>
      <c r="I41" s="2">
        <v>1544.4</v>
      </c>
      <c r="J41" s="2">
        <v>3706.56</v>
      </c>
      <c r="K41" s="2">
        <v>3088.8</v>
      </c>
      <c r="L41" s="2">
        <v>2934.36</v>
      </c>
      <c r="M41" s="2">
        <v>3861</v>
      </c>
      <c r="N41" s="2">
        <v>2934.36</v>
      </c>
      <c r="O41" s="2">
        <v>3243.24</v>
      </c>
      <c r="P41" s="9"/>
      <c r="Q41" s="2">
        <f>SUM(OSRRefD21_1_3x)+IFERROR(SUM(OSRRefE21_1_3x),0)</f>
        <v>39748.820000000007</v>
      </c>
    </row>
    <row r="42" spans="1:17" s="34" customFormat="1" hidden="1" outlineLevel="1" x14ac:dyDescent="0.25">
      <c r="A42" s="35"/>
      <c r="B42" s="13" t="str">
        <f>CONCATENATE("          ","6005", " - ","TEMPORARY WAGES-HOURLY")</f>
        <v xml:space="preserve">          6005 - TEMPORARY WAGES-HOURLY</v>
      </c>
      <c r="C42" s="15"/>
      <c r="D42" s="2"/>
      <c r="E42" s="2">
        <v>155.1</v>
      </c>
      <c r="F42" s="2">
        <v>1266.67</v>
      </c>
      <c r="G42" s="2">
        <v>704.86</v>
      </c>
      <c r="H42" s="2">
        <v>203.7</v>
      </c>
      <c r="I42" s="2">
        <v>101.85</v>
      </c>
      <c r="J42" s="2">
        <v>254.625</v>
      </c>
      <c r="K42" s="2">
        <v>203.7</v>
      </c>
      <c r="L42" s="2">
        <v>203.7</v>
      </c>
      <c r="M42" s="2">
        <v>254.625</v>
      </c>
      <c r="N42" s="2">
        <v>203.7</v>
      </c>
      <c r="O42" s="2">
        <v>152.77500000000001</v>
      </c>
      <c r="P42" s="9"/>
      <c r="Q42" s="2">
        <f>SUM(OSRRefD21_1_4x)+IFERROR(SUM(OSRRefE21_1_4x),0)</f>
        <v>3705.3050000000003</v>
      </c>
    </row>
    <row r="43" spans="1:17" s="34" customFormat="1" hidden="1" outlineLevel="1" x14ac:dyDescent="0.25">
      <c r="A43" s="35"/>
      <c r="B43" s="13" t="str">
        <f>CONCATENATE("          ","6006", " - ","TEMPORARY PART TIME")</f>
        <v xml:space="preserve">          6006 - TEMPORARY PART TIME</v>
      </c>
      <c r="C43" s="15"/>
      <c r="D43" s="2"/>
      <c r="E43" s="2"/>
      <c r="F43" s="2"/>
      <c r="G43" s="2"/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SUM(OSRRefD21_1_5x)+IFERROR(SUM(OSRRefE21_1_5x),0)</f>
        <v>0</v>
      </c>
    </row>
    <row r="44" spans="1:17" s="34" customFormat="1" hidden="1" outlineLevel="1" x14ac:dyDescent="0.25">
      <c r="A44" s="35"/>
      <c r="B44" s="13" t="str">
        <f>CONCATENATE("          ","6007", " - ","STUDENT HOURLY")</f>
        <v xml:space="preserve">          6007 - STUDENT HOURLY</v>
      </c>
      <c r="C44" s="15"/>
      <c r="D44" s="2">
        <v>1350</v>
      </c>
      <c r="E44" s="2">
        <v>55</v>
      </c>
      <c r="F44" s="2">
        <v>-581</v>
      </c>
      <c r="G44" s="2">
        <v>-754.29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SUM(OSRRefD21_1_6x)+IFERROR(SUM(OSRRefE21_1_6x),0)</f>
        <v>69.710000000000036</v>
      </c>
    </row>
    <row r="45" spans="1:17" s="34" customFormat="1" hidden="1" outlineLevel="1" x14ac:dyDescent="0.25">
      <c r="A45" s="35"/>
      <c r="B45" s="13" t="str">
        <f>CONCATENATE("          ","6008", " - ","STUDENT HOURLY-FICA EXEMPT")</f>
        <v xml:space="preserve">          6008 - STUDENT HOURLY-FICA EXEMPT</v>
      </c>
      <c r="C45" s="15"/>
      <c r="D45" s="2"/>
      <c r="E45" s="2"/>
      <c r="F45" s="2"/>
      <c r="G45" s="2"/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SUM(OSRRefD21_1_7x)+IFERROR(SUM(OSRRefE21_1_7x),0)</f>
        <v>0</v>
      </c>
    </row>
    <row r="46" spans="1:17" s="34" customFormat="1" hidden="1" outlineLevel="1" x14ac:dyDescent="0.25">
      <c r="A46" s="35"/>
      <c r="B46" s="13" t="str">
        <f>CONCATENATE("          ","6009", " - ","TEMPORARY-SEASONAL")</f>
        <v xml:space="preserve">          6009 - TEMPORARY-SEASONAL</v>
      </c>
      <c r="C46" s="15"/>
      <c r="D46" s="2"/>
      <c r="E46" s="2"/>
      <c r="F46" s="2"/>
      <c r="G46" s="2"/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SUM(OSRRefD21_1_8x)+IFERROR(SUM(OSRRefE21_1_8x),0)</f>
        <v>0</v>
      </c>
    </row>
    <row r="47" spans="1:17" s="34" customFormat="1" hidden="1" outlineLevel="1" x14ac:dyDescent="0.25">
      <c r="A47" s="35"/>
      <c r="B47" s="13" t="str">
        <f>CONCATENATE("          ","6010", " - ","GRATUITY")</f>
        <v xml:space="preserve">          6010 - GRATUITY</v>
      </c>
      <c r="C47" s="15"/>
      <c r="D47" s="2"/>
      <c r="E47" s="2"/>
      <c r="F47" s="2"/>
      <c r="G47" s="2"/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SUM(OSRRefD21_1_9x)+IFERROR(SUM(OSRRefE21_1_9x),0)</f>
        <v>0</v>
      </c>
    </row>
    <row r="48" spans="1:17" s="34" customFormat="1" collapsed="1" x14ac:dyDescent="0.25">
      <c r="A48" s="35"/>
      <c r="B48" s="15" t="str">
        <f>CONCATENATE("     ","Advertising/Promo                                 ")</f>
        <v xml:space="preserve">     Advertising/Promo                                 </v>
      </c>
      <c r="C48" s="15"/>
      <c r="D48" s="1">
        <f>SUM(OSRRefD21_2x_0)</f>
        <v>45.97</v>
      </c>
      <c r="E48" s="1">
        <f>SUM(OSRRefD21_2x_1)</f>
        <v>0</v>
      </c>
      <c r="F48" s="1">
        <f>SUM(OSRRefD21_2x_2)</f>
        <v>49.61</v>
      </c>
      <c r="G48" s="1">
        <f>SUM(OSRRefD21_2x_3)</f>
        <v>15.05</v>
      </c>
      <c r="H48" s="1">
        <f>SUM(OSRRefE21_2x_0)</f>
        <v>0</v>
      </c>
      <c r="I48" s="1">
        <f>SUM(OSRRefE21_2x_1)</f>
        <v>0</v>
      </c>
      <c r="J48" s="1">
        <f>SUM(OSRRefE21_2x_2)</f>
        <v>0</v>
      </c>
      <c r="K48" s="1">
        <f>SUM(OSRRefE21_2x_3)</f>
        <v>0</v>
      </c>
      <c r="L48" s="1">
        <f>SUM(OSRRefE21_2x_4)</f>
        <v>0</v>
      </c>
      <c r="M48" s="1">
        <f>SUM(OSRRefE21_2x_5)</f>
        <v>0</v>
      </c>
      <c r="N48" s="1">
        <f>SUM(OSRRefE21_2x_6)</f>
        <v>0</v>
      </c>
      <c r="O48" s="1">
        <f>SUM(OSRRefE21_2x_7)</f>
        <v>0</v>
      </c>
      <c r="Q48" s="2">
        <f>SUM(OSRRefD20_2x)+IFERROR(SUM(OSRRefE20_2x),0)</f>
        <v>110.63</v>
      </c>
    </row>
    <row r="49" spans="1:17" s="34" customFormat="1" hidden="1" outlineLevel="1" x14ac:dyDescent="0.25">
      <c r="A49" s="35"/>
      <c r="B49" s="13" t="str">
        <f>CONCATENATE("          ","6362", " - ","ADVERTISING EXPENSE")</f>
        <v xml:space="preserve">          6362 - ADVERTISING EXPENSE</v>
      </c>
      <c r="C49" s="15"/>
      <c r="D49" s="2">
        <v>45.97</v>
      </c>
      <c r="E49" s="2"/>
      <c r="F49" s="2">
        <v>49.61</v>
      </c>
      <c r="G49" s="2">
        <v>15.05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SUM(OSRRefD21_2_0x)+IFERROR(SUM(OSRRefE21_2_0x),0)</f>
        <v>110.63</v>
      </c>
    </row>
    <row r="50" spans="1:17" s="34" customFormat="1" collapsed="1" x14ac:dyDescent="0.25">
      <c r="A50" s="35"/>
      <c r="B50" s="15" t="str">
        <f>CONCATENATE("     ","Bad Debts/Over/Short                              ")</f>
        <v xml:space="preserve">     Bad Debts/Over/Short                              </v>
      </c>
      <c r="C50" s="15"/>
      <c r="D50" s="1">
        <f>SUM(OSRRefD21_3x_0)</f>
        <v>0</v>
      </c>
      <c r="E50" s="1">
        <f>SUM(OSRRefD21_3x_1)</f>
        <v>-0.14000000000000001</v>
      </c>
      <c r="F50" s="1">
        <f>SUM(OSRRefD21_3x_2)</f>
        <v>-193.38</v>
      </c>
      <c r="G50" s="1">
        <f>SUM(OSRRefD21_3x_3)</f>
        <v>1531.8</v>
      </c>
      <c r="H50" s="1">
        <f>SUM(OSRRefE21_3x_0)</f>
        <v>0</v>
      </c>
      <c r="I50" s="1">
        <f>SUM(OSRRefE21_3x_1)</f>
        <v>0</v>
      </c>
      <c r="J50" s="1">
        <f>SUM(OSRRefE21_3x_2)</f>
        <v>0</v>
      </c>
      <c r="K50" s="1">
        <f>SUM(OSRRefE21_3x_3)</f>
        <v>0</v>
      </c>
      <c r="L50" s="1">
        <f>SUM(OSRRefE21_3x_4)</f>
        <v>0</v>
      </c>
      <c r="M50" s="1">
        <f>SUM(OSRRefE21_3x_5)</f>
        <v>0</v>
      </c>
      <c r="N50" s="1">
        <f>SUM(OSRRefE21_3x_6)</f>
        <v>0</v>
      </c>
      <c r="O50" s="1">
        <f>SUM(OSRRefE21_3x_7)</f>
        <v>0</v>
      </c>
      <c r="Q50" s="2">
        <f>SUM(OSRRefD20_3x)+IFERROR(SUM(OSRRefE20_3x),0)</f>
        <v>1338.28</v>
      </c>
    </row>
    <row r="51" spans="1:17" s="34" customFormat="1" hidden="1" outlineLevel="1" x14ac:dyDescent="0.25">
      <c r="A51" s="35"/>
      <c r="B51" s="13" t="str">
        <f>CONCATENATE("          ","6272", " - ","CASH (OVER/SHORT)")</f>
        <v xml:space="preserve">          6272 - CASH (OVER/SHORT)</v>
      </c>
      <c r="C51" s="15"/>
      <c r="D51" s="2"/>
      <c r="E51" s="2">
        <v>-0.14000000000000001</v>
      </c>
      <c r="F51" s="2">
        <v>-193.38</v>
      </c>
      <c r="G51" s="2">
        <v>1531.8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SUM(OSRRefD21_3_0x)+IFERROR(SUM(OSRRefE21_3_0x),0)</f>
        <v>1338.28</v>
      </c>
    </row>
    <row r="52" spans="1:17" s="34" customFormat="1" collapsed="1" x14ac:dyDescent="0.25">
      <c r="A52" s="35"/>
      <c r="B52" s="15" t="str">
        <f>CONCATENATE("     ","Bank/card Fees                                    ")</f>
        <v xml:space="preserve">     Bank/card Fees                                    </v>
      </c>
      <c r="C52" s="15"/>
      <c r="D52" s="1">
        <f>SUM(OSRRefD21_4x_0)</f>
        <v>282.82</v>
      </c>
      <c r="E52" s="1">
        <f>SUM(OSRRefD21_4x_1)</f>
        <v>333.07</v>
      </c>
      <c r="F52" s="1">
        <f>SUM(OSRRefD21_4x_2)</f>
        <v>493.43</v>
      </c>
      <c r="G52" s="1">
        <f>SUM(OSRRefD21_4x_3)</f>
        <v>758.49</v>
      </c>
      <c r="H52" s="1">
        <f>SUM(OSRRefE21_4x_0)</f>
        <v>386</v>
      </c>
      <c r="I52" s="1">
        <f>SUM(OSRRefE21_4x_1)</f>
        <v>349</v>
      </c>
      <c r="J52" s="1">
        <f>SUM(OSRRefE21_4x_2)</f>
        <v>293</v>
      </c>
      <c r="K52" s="1">
        <f>SUM(OSRRefE21_4x_3)</f>
        <v>319</v>
      </c>
      <c r="L52" s="1">
        <f>SUM(OSRRefE21_4x_4)</f>
        <v>486</v>
      </c>
      <c r="M52" s="1">
        <f>SUM(OSRRefE21_4x_5)</f>
        <v>615</v>
      </c>
      <c r="N52" s="1">
        <f>SUM(OSRRefE21_4x_6)</f>
        <v>398</v>
      </c>
      <c r="O52" s="1">
        <f>SUM(OSRRefE21_4x_7)</f>
        <v>413</v>
      </c>
      <c r="Q52" s="2">
        <f>SUM(OSRRefD20_4x)+IFERROR(SUM(OSRRefE20_4x),0)</f>
        <v>5126.8099999999995</v>
      </c>
    </row>
    <row r="53" spans="1:17" s="34" customFormat="1" hidden="1" outlineLevel="1" x14ac:dyDescent="0.25">
      <c r="A53" s="35"/>
      <c r="B53" s="13" t="str">
        <f>CONCATENATE("          ","6381", " - ","BANK/CREDIT CARD FEES")</f>
        <v xml:space="preserve">          6381 - BANK/CREDIT CARD FEES</v>
      </c>
      <c r="C53" s="15"/>
      <c r="D53" s="2">
        <v>282.82</v>
      </c>
      <c r="E53" s="2">
        <v>333.07</v>
      </c>
      <c r="F53" s="2">
        <v>493.43</v>
      </c>
      <c r="G53" s="2">
        <v>758.49</v>
      </c>
      <c r="H53" s="2">
        <v>386</v>
      </c>
      <c r="I53" s="2">
        <v>349</v>
      </c>
      <c r="J53" s="2">
        <v>293</v>
      </c>
      <c r="K53" s="2">
        <v>319</v>
      </c>
      <c r="L53" s="2">
        <v>486</v>
      </c>
      <c r="M53" s="2">
        <v>615</v>
      </c>
      <c r="N53" s="2">
        <v>398</v>
      </c>
      <c r="O53" s="2">
        <v>413</v>
      </c>
      <c r="P53" s="9"/>
      <c r="Q53" s="2">
        <f>SUM(OSRRefD21_4_0x)+IFERROR(SUM(OSRRefE21_4_0x),0)</f>
        <v>5126.8099999999995</v>
      </c>
    </row>
    <row r="54" spans="1:17" s="34" customFormat="1" collapsed="1" x14ac:dyDescent="0.25">
      <c r="A54" s="35"/>
      <c r="B54" s="15" t="str">
        <f>CONCATENATE("     ","Depreciation                                      ")</f>
        <v xml:space="preserve">     Depreciation                                      </v>
      </c>
      <c r="C54" s="15"/>
      <c r="D54" s="1">
        <f>SUM(OSRRefD21_5x_0)</f>
        <v>37556.01</v>
      </c>
      <c r="E54" s="1">
        <f>SUM(OSRRefD21_5x_1)</f>
        <v>37690.479999999996</v>
      </c>
      <c r="F54" s="1">
        <f>SUM(OSRRefD21_5x_2)</f>
        <v>37681.94</v>
      </c>
      <c r="G54" s="1">
        <f>SUM(OSRRefD21_5x_3)</f>
        <v>36778.129999999997</v>
      </c>
      <c r="H54" s="1">
        <f>SUM(OSRRefE21_5x_0)</f>
        <v>37717</v>
      </c>
      <c r="I54" s="1">
        <f>SUM(OSRRefE21_5x_1)</f>
        <v>37717</v>
      </c>
      <c r="J54" s="1">
        <f>SUM(OSRRefE21_5x_2)</f>
        <v>37717</v>
      </c>
      <c r="K54" s="1">
        <f>SUM(OSRRefE21_5x_3)</f>
        <v>37717</v>
      </c>
      <c r="L54" s="1">
        <f>SUM(OSRRefE21_5x_4)</f>
        <v>37717</v>
      </c>
      <c r="M54" s="1">
        <f>SUM(OSRRefE21_5x_5)</f>
        <v>37717</v>
      </c>
      <c r="N54" s="1">
        <f>SUM(OSRRefE21_5x_6)</f>
        <v>37717</v>
      </c>
      <c r="O54" s="1">
        <f>SUM(OSRRefE21_5x_7)</f>
        <v>35577</v>
      </c>
      <c r="Q54" s="2">
        <f>SUM(OSRRefD20_5x)+IFERROR(SUM(OSRRefE20_5x),0)</f>
        <v>449302.56</v>
      </c>
    </row>
    <row r="55" spans="1:17" s="34" customFormat="1" hidden="1" outlineLevel="1" x14ac:dyDescent="0.25">
      <c r="A55" s="35"/>
      <c r="B55" s="13" t="str">
        <f>CONCATENATE("          ","6321", " - ","BUILDING DEPRECIATION")</f>
        <v xml:space="preserve">          6321 - BUILDING DEPRECIATION</v>
      </c>
      <c r="C55" s="15"/>
      <c r="D55" s="2">
        <v>23844.89</v>
      </c>
      <c r="E55" s="2">
        <v>23844.89</v>
      </c>
      <c r="F55" s="2">
        <v>23844.880000000001</v>
      </c>
      <c r="G55" s="2">
        <v>23583.489999999998</v>
      </c>
      <c r="H55" s="2"/>
      <c r="I55" s="2"/>
      <c r="J55" s="2"/>
      <c r="K55" s="2"/>
      <c r="L55" s="2"/>
      <c r="M55" s="2"/>
      <c r="N55" s="2"/>
      <c r="O55" s="2"/>
      <c r="P55" s="9"/>
      <c r="Q55" s="2">
        <f>SUM(OSRRefD21_5_0x)+IFERROR(SUM(OSRRefE21_5_0x),0)</f>
        <v>95118.15</v>
      </c>
    </row>
    <row r="56" spans="1:17" s="34" customFormat="1" hidden="1" outlineLevel="1" x14ac:dyDescent="0.25">
      <c r="A56" s="35"/>
      <c r="B56" s="13" t="str">
        <f>CONCATENATE("          ","6322", " - ","EQUIPMENT DEPRECIATION EXPENSE")</f>
        <v xml:space="preserve">          6322 - EQUIPMENT DEPRECIATION EXPENSE</v>
      </c>
      <c r="C56" s="15"/>
      <c r="D56" s="2">
        <v>13711.12</v>
      </c>
      <c r="E56" s="2">
        <v>13845.59</v>
      </c>
      <c r="F56" s="2">
        <v>13837.06</v>
      </c>
      <c r="G56" s="2">
        <v>13194.64</v>
      </c>
      <c r="H56" s="2">
        <v>37167</v>
      </c>
      <c r="I56" s="2">
        <v>37167</v>
      </c>
      <c r="J56" s="2">
        <v>37167</v>
      </c>
      <c r="K56" s="2">
        <v>37167</v>
      </c>
      <c r="L56" s="2">
        <v>37167</v>
      </c>
      <c r="M56" s="2">
        <v>37167</v>
      </c>
      <c r="N56" s="2">
        <v>37167</v>
      </c>
      <c r="O56" s="2">
        <v>35027</v>
      </c>
      <c r="P56" s="9"/>
      <c r="Q56" s="2">
        <f>SUM(OSRRefD21_5_1x)+IFERROR(SUM(OSRRefE21_5_1x),0)</f>
        <v>349784.41</v>
      </c>
    </row>
    <row r="57" spans="1:17" s="34" customFormat="1" hidden="1" outlineLevel="1" x14ac:dyDescent="0.25">
      <c r="A57" s="35"/>
      <c r="B57" s="13" t="str">
        <f>CONCATENATE("          ","6326", " - ","VEHICLES DEPRECIATION EXPENSE")</f>
        <v xml:space="preserve">          6326 - VEHICLES DEPRECIATION EXPENSE</v>
      </c>
      <c r="C57" s="15"/>
      <c r="D57" s="2"/>
      <c r="E57" s="2"/>
      <c r="F57" s="2"/>
      <c r="G57" s="2"/>
      <c r="H57" s="2">
        <v>550</v>
      </c>
      <c r="I57" s="2">
        <v>550</v>
      </c>
      <c r="J57" s="2">
        <v>550</v>
      </c>
      <c r="K57" s="2">
        <v>550</v>
      </c>
      <c r="L57" s="2">
        <v>550</v>
      </c>
      <c r="M57" s="2">
        <v>550</v>
      </c>
      <c r="N57" s="2">
        <v>550</v>
      </c>
      <c r="O57" s="2">
        <v>550</v>
      </c>
      <c r="P57" s="9"/>
      <c r="Q57" s="2">
        <f>SUM(OSRRefD21_5_2x)+IFERROR(SUM(OSRRefE21_5_2x),0)</f>
        <v>4400</v>
      </c>
    </row>
    <row r="58" spans="1:17" s="34" customFormat="1" collapsed="1" x14ac:dyDescent="0.25">
      <c r="A58" s="35"/>
      <c r="B58" s="15" t="str">
        <f>CONCATENATE("     ","Employees' Appreciation                           ")</f>
        <v xml:space="preserve">     Employees' Appreciation                           </v>
      </c>
      <c r="C58" s="15"/>
      <c r="D58" s="1">
        <f>SUM(OSRRefD21_6x_0)</f>
        <v>0</v>
      </c>
      <c r="E58" s="1">
        <f>SUM(OSRRefD21_6x_1)</f>
        <v>0</v>
      </c>
      <c r="F58" s="1">
        <f>SUM(OSRRefD21_6x_2)</f>
        <v>0</v>
      </c>
      <c r="G58" s="1">
        <f>SUM(OSRRefD21_6x_3)</f>
        <v>0</v>
      </c>
      <c r="H58" s="1">
        <f>SUM(OSRRefE21_6x_0)</f>
        <v>0</v>
      </c>
      <c r="I58" s="1">
        <f>SUM(OSRRefE21_6x_1)</f>
        <v>0</v>
      </c>
      <c r="J58" s="1">
        <f>SUM(OSRRefE21_6x_2)</f>
        <v>0</v>
      </c>
      <c r="K58" s="1">
        <f>SUM(OSRRefE21_6x_3)</f>
        <v>0</v>
      </c>
      <c r="L58" s="1">
        <f>SUM(OSRRefE21_6x_4)</f>
        <v>0</v>
      </c>
      <c r="M58" s="1">
        <f>SUM(OSRRefE21_6x_5)</f>
        <v>0</v>
      </c>
      <c r="N58" s="1">
        <f>SUM(OSRRefE21_6x_6)</f>
        <v>0</v>
      </c>
      <c r="O58" s="1">
        <f>SUM(OSRRefE21_6x_7)</f>
        <v>0</v>
      </c>
      <c r="Q58" s="2">
        <f>SUM(OSRRefD20_6x)+IFERROR(SUM(OSRRefE20_6x),0)</f>
        <v>0</v>
      </c>
    </row>
    <row r="59" spans="1:17" s="34" customFormat="1" hidden="1" outlineLevel="1" x14ac:dyDescent="0.25">
      <c r="A59" s="35"/>
      <c r="B59" s="13" t="str">
        <f>CONCATENATE("          ","6277", " - ","EMPLOYEE APPRECIATION")</f>
        <v xml:space="preserve">          6277 - EMPLOYEE APPRECIATION</v>
      </c>
      <c r="C59" s="15"/>
      <c r="D59" s="2"/>
      <c r="E59" s="2"/>
      <c r="F59" s="2"/>
      <c r="G59" s="2"/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SUM(OSRRefD21_6_0x)+IFERROR(SUM(OSRRefE21_6_0x),0)</f>
        <v>0</v>
      </c>
    </row>
    <row r="60" spans="1:17" s="34" customFormat="1" collapsed="1" x14ac:dyDescent="0.25">
      <c r="A60" s="35"/>
      <c r="B60" s="15" t="str">
        <f>CONCATENATE("     ","Equipment Rental                                  ")</f>
        <v xml:space="preserve">     Equipment Rental                                  </v>
      </c>
      <c r="C60" s="15"/>
      <c r="D60" s="1">
        <f>SUM(OSRRefD21_7x_0)</f>
        <v>868.95</v>
      </c>
      <c r="E60" s="1">
        <f>SUM(OSRRefD21_7x_1)</f>
        <v>163.80000000000001</v>
      </c>
      <c r="F60" s="1">
        <f>SUM(OSRRefD21_7x_2)</f>
        <v>283.86</v>
      </c>
      <c r="G60" s="1">
        <f>SUM(OSRRefD21_7x_3)</f>
        <v>1984.06</v>
      </c>
      <c r="H60" s="1">
        <f>SUM(OSRRefE21_7x_0)</f>
        <v>101</v>
      </c>
      <c r="I60" s="1">
        <f>SUM(OSRRefE21_7x_1)</f>
        <v>95</v>
      </c>
      <c r="J60" s="1">
        <f>SUM(OSRRefE21_7x_2)</f>
        <v>166</v>
      </c>
      <c r="K60" s="1">
        <f>SUM(OSRRefE21_7x_3)</f>
        <v>103</v>
      </c>
      <c r="L60" s="1">
        <f>SUM(OSRRefE21_7x_4)</f>
        <v>120</v>
      </c>
      <c r="M60" s="1">
        <f>SUM(OSRRefE21_7x_5)</f>
        <v>146</v>
      </c>
      <c r="N60" s="1">
        <f>SUM(OSRRefE21_7x_6)</f>
        <v>146</v>
      </c>
      <c r="O60" s="1">
        <f>SUM(OSRRefE21_7x_7)</f>
        <v>95</v>
      </c>
      <c r="Q60" s="2">
        <f>SUM(OSRRefD20_7x)+IFERROR(SUM(OSRRefE20_7x),0)</f>
        <v>4272.67</v>
      </c>
    </row>
    <row r="61" spans="1:17" s="34" customFormat="1" hidden="1" outlineLevel="1" x14ac:dyDescent="0.25">
      <c r="A61" s="35"/>
      <c r="B61" s="13" t="str">
        <f>CONCATENATE("          ","6351", " - ","EQUIPMENT RENTAL")</f>
        <v xml:space="preserve">          6351 - EQUIPMENT RENTAL</v>
      </c>
      <c r="C61" s="15"/>
      <c r="D61" s="2">
        <v>868.95</v>
      </c>
      <c r="E61" s="2">
        <v>163.80000000000001</v>
      </c>
      <c r="F61" s="2">
        <v>283.86</v>
      </c>
      <c r="G61" s="2">
        <v>1984.06</v>
      </c>
      <c r="H61" s="2">
        <v>101</v>
      </c>
      <c r="I61" s="2">
        <v>95</v>
      </c>
      <c r="J61" s="2">
        <v>166</v>
      </c>
      <c r="K61" s="2">
        <v>103</v>
      </c>
      <c r="L61" s="2">
        <v>120</v>
      </c>
      <c r="M61" s="2">
        <v>146</v>
      </c>
      <c r="N61" s="2">
        <v>146</v>
      </c>
      <c r="O61" s="2">
        <v>95</v>
      </c>
      <c r="P61" s="9"/>
      <c r="Q61" s="2">
        <f>SUM(OSRRefD21_7_0x)+IFERROR(SUM(OSRRefE21_7_0x),0)</f>
        <v>4272.67</v>
      </c>
    </row>
    <row r="62" spans="1:17" s="34" customFormat="1" collapsed="1" x14ac:dyDescent="0.25">
      <c r="A62" s="35"/>
      <c r="B62" s="15" t="str">
        <f>CONCATENATE("     ","Freight out/Postage                               ")</f>
        <v xml:space="preserve">     Freight out/Postage                               </v>
      </c>
      <c r="C62" s="15"/>
      <c r="D62" s="1">
        <f>SUM(OSRRefD21_8x_0)</f>
        <v>0</v>
      </c>
      <c r="E62" s="1">
        <f>SUM(OSRRefD21_8x_1)</f>
        <v>0</v>
      </c>
      <c r="F62" s="1">
        <f>SUM(OSRRefD21_8x_2)</f>
        <v>-5.41</v>
      </c>
      <c r="G62" s="1">
        <f>SUM(OSRRefD21_8x_3)</f>
        <v>0</v>
      </c>
      <c r="H62" s="1">
        <f>SUM(OSRRefE21_8x_0)</f>
        <v>0</v>
      </c>
      <c r="I62" s="1">
        <f>SUM(OSRRefE21_8x_1)</f>
        <v>0</v>
      </c>
      <c r="J62" s="1">
        <f>SUM(OSRRefE21_8x_2)</f>
        <v>0</v>
      </c>
      <c r="K62" s="1">
        <f>SUM(OSRRefE21_8x_3)</f>
        <v>0</v>
      </c>
      <c r="L62" s="1">
        <f>SUM(OSRRefE21_8x_4)</f>
        <v>0</v>
      </c>
      <c r="M62" s="1">
        <f>SUM(OSRRefE21_8x_5)</f>
        <v>0</v>
      </c>
      <c r="N62" s="1">
        <f>SUM(OSRRefE21_8x_6)</f>
        <v>0</v>
      </c>
      <c r="O62" s="1">
        <f>SUM(OSRRefE21_8x_7)</f>
        <v>0</v>
      </c>
      <c r="Q62" s="2">
        <f>SUM(OSRRefD20_8x)+IFERROR(SUM(OSRRefE20_8x),0)</f>
        <v>-5.41</v>
      </c>
    </row>
    <row r="63" spans="1:17" s="34" customFormat="1" hidden="1" outlineLevel="1" x14ac:dyDescent="0.25">
      <c r="A63" s="35"/>
      <c r="B63" s="13" t="str">
        <f>CONCATENATE("          ","6307", " - ","POSTAGE")</f>
        <v xml:space="preserve">          6307 - POSTAGE</v>
      </c>
      <c r="C63" s="15"/>
      <c r="D63" s="2"/>
      <c r="E63" s="2"/>
      <c r="F63" s="2">
        <v>-5.41</v>
      </c>
      <c r="G63" s="2"/>
      <c r="H63" s="2"/>
      <c r="I63" s="2"/>
      <c r="J63" s="2"/>
      <c r="K63" s="2"/>
      <c r="L63" s="2"/>
      <c r="M63" s="2"/>
      <c r="N63" s="2"/>
      <c r="O63" s="2"/>
      <c r="P63" s="9"/>
      <c r="Q63" s="2">
        <f>SUM(OSRRefD21_8_0x)+IFERROR(SUM(OSRRefE21_8_0x),0)</f>
        <v>-5.41</v>
      </c>
    </row>
    <row r="64" spans="1:17" s="34" customFormat="1" collapsed="1" x14ac:dyDescent="0.25">
      <c r="A64" s="35"/>
      <c r="B64" s="15" t="str">
        <f>CONCATENATE("     ","General                                           ")</f>
        <v xml:space="preserve">     General                                           </v>
      </c>
      <c r="C64" s="15"/>
      <c r="D64" s="1">
        <f>SUM(OSRRefD21_9x_0)</f>
        <v>4323.2</v>
      </c>
      <c r="E64" s="1">
        <f>SUM(OSRRefD21_9x_1)</f>
        <v>-1107.27</v>
      </c>
      <c r="F64" s="1">
        <f>SUM(OSRRefD21_9x_2)</f>
        <v>550.52</v>
      </c>
      <c r="G64" s="1">
        <f>SUM(OSRRefD21_9x_3)</f>
        <v>0</v>
      </c>
      <c r="H64" s="1">
        <f>SUM(OSRRefE21_9x_0)</f>
        <v>0</v>
      </c>
      <c r="I64" s="1">
        <f>SUM(OSRRefE21_9x_1)</f>
        <v>455</v>
      </c>
      <c r="J64" s="1">
        <f>SUM(OSRRefE21_9x_2)</f>
        <v>0</v>
      </c>
      <c r="K64" s="1">
        <f>SUM(OSRRefE21_9x_3)</f>
        <v>1800</v>
      </c>
      <c r="L64" s="1">
        <f>SUM(OSRRefE21_9x_4)</f>
        <v>0</v>
      </c>
      <c r="M64" s="1">
        <f>SUM(OSRRefE21_9x_5)</f>
        <v>0</v>
      </c>
      <c r="N64" s="1">
        <f>SUM(OSRRefE21_9x_6)</f>
        <v>0</v>
      </c>
      <c r="O64" s="1">
        <f>SUM(OSRRefE21_9x_7)</f>
        <v>0</v>
      </c>
      <c r="Q64" s="2">
        <f>SUM(OSRRefD20_9x)+IFERROR(SUM(OSRRefE20_9x),0)</f>
        <v>6021.45</v>
      </c>
    </row>
    <row r="65" spans="1:17" s="34" customFormat="1" hidden="1" outlineLevel="1" x14ac:dyDescent="0.25">
      <c r="A65" s="35"/>
      <c r="B65" s="13" t="str">
        <f>CONCATENATE("          ","6279", " - ","GENERAL EXPENSE")</f>
        <v xml:space="preserve">          6279 - GENERAL EXPENSE</v>
      </c>
      <c r="C65" s="15"/>
      <c r="D65" s="2">
        <v>4323.2</v>
      </c>
      <c r="E65" s="2">
        <v>-1107.27</v>
      </c>
      <c r="F65" s="2">
        <v>550.52</v>
      </c>
      <c r="G65" s="2"/>
      <c r="H65" s="2">
        <v>0</v>
      </c>
      <c r="I65" s="2">
        <v>455</v>
      </c>
      <c r="J65" s="2">
        <v>0</v>
      </c>
      <c r="K65" s="2">
        <v>1800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SUM(OSRRefD21_9_0x)+IFERROR(SUM(OSRRefE21_9_0x),0)</f>
        <v>6021.45</v>
      </c>
    </row>
    <row r="66" spans="1:17" s="34" customFormat="1" collapsed="1" x14ac:dyDescent="0.25">
      <c r="A66" s="35"/>
      <c r="B66" s="15" t="str">
        <f>CONCATENATE("     ","Insurance                                         ")</f>
        <v xml:space="preserve">     Insurance                                         </v>
      </c>
      <c r="C66" s="15"/>
      <c r="D66" s="1">
        <f>SUM(OSRRefD21_10x_0)</f>
        <v>4240.13</v>
      </c>
      <c r="E66" s="1">
        <f>SUM(OSRRefD21_10x_1)</f>
        <v>4240.13</v>
      </c>
      <c r="F66" s="1">
        <f>SUM(OSRRefD21_10x_2)</f>
        <v>4240.13</v>
      </c>
      <c r="G66" s="1">
        <f>SUM(OSRRefD21_10x_3)</f>
        <v>10352.129999999999</v>
      </c>
      <c r="H66" s="1">
        <f>SUM(OSRRefE21_10x_0)</f>
        <v>4565</v>
      </c>
      <c r="I66" s="1">
        <f>SUM(OSRRefE21_10x_1)</f>
        <v>4565</v>
      </c>
      <c r="J66" s="1">
        <f>SUM(OSRRefE21_10x_2)</f>
        <v>4565</v>
      </c>
      <c r="K66" s="1">
        <f>SUM(OSRRefE21_10x_3)</f>
        <v>4565</v>
      </c>
      <c r="L66" s="1">
        <f>SUM(OSRRefE21_10x_4)</f>
        <v>4565</v>
      </c>
      <c r="M66" s="1">
        <f>SUM(OSRRefE21_10x_5)</f>
        <v>4565</v>
      </c>
      <c r="N66" s="1">
        <f>SUM(OSRRefE21_10x_6)</f>
        <v>4565</v>
      </c>
      <c r="O66" s="1">
        <f>SUM(OSRRefE21_10x_7)</f>
        <v>4565</v>
      </c>
      <c r="Q66" s="2">
        <f>SUM(OSRRefD20_10x)+IFERROR(SUM(OSRRefE20_10x),0)</f>
        <v>59592.52</v>
      </c>
    </row>
    <row r="67" spans="1:17" s="34" customFormat="1" hidden="1" outlineLevel="1" x14ac:dyDescent="0.25">
      <c r="A67" s="35"/>
      <c r="B67" s="13" t="str">
        <f>CONCATENATE("          ","6314", " - ","LIABILITY INSURANCE")</f>
        <v xml:space="preserve">          6314 - LIABILITY INSURANCE</v>
      </c>
      <c r="C67" s="15"/>
      <c r="D67" s="2">
        <v>4240.13</v>
      </c>
      <c r="E67" s="2">
        <v>4240.13</v>
      </c>
      <c r="F67" s="2">
        <v>4240.13</v>
      </c>
      <c r="G67" s="2">
        <v>10352.129999999999</v>
      </c>
      <c r="H67" s="2">
        <v>4565</v>
      </c>
      <c r="I67" s="2">
        <v>4565</v>
      </c>
      <c r="J67" s="2">
        <v>4565</v>
      </c>
      <c r="K67" s="2">
        <v>4565</v>
      </c>
      <c r="L67" s="2">
        <v>4565</v>
      </c>
      <c r="M67" s="2">
        <v>4565</v>
      </c>
      <c r="N67" s="2">
        <v>4565</v>
      </c>
      <c r="O67" s="2">
        <v>4565</v>
      </c>
      <c r="P67" s="9"/>
      <c r="Q67" s="2">
        <f>SUM(OSRRefD21_10_0x)+IFERROR(SUM(OSRRefE21_10_0x),0)</f>
        <v>59592.52</v>
      </c>
    </row>
    <row r="68" spans="1:17" s="34" customFormat="1" collapsed="1" x14ac:dyDescent="0.25">
      <c r="A68" s="35"/>
      <c r="B68" s="15" t="str">
        <f>CONCATENATE("     ","Interest                                          ")</f>
        <v xml:space="preserve">     Interest                                          </v>
      </c>
      <c r="C68" s="15"/>
      <c r="D68" s="1">
        <f>SUM(OSRRefD21_11x_0)</f>
        <v>7510</v>
      </c>
      <c r="E68" s="1">
        <f>SUM(OSRRefD21_11x_1)</f>
        <v>7510</v>
      </c>
      <c r="F68" s="1">
        <f>SUM(OSRRefD21_11x_2)</f>
        <v>7510</v>
      </c>
      <c r="G68" s="1">
        <f>SUM(OSRRefD21_11x_3)</f>
        <v>7023.15</v>
      </c>
      <c r="H68" s="1">
        <f>SUM(OSRRefE21_11x_0)</f>
        <v>7510</v>
      </c>
      <c r="I68" s="1">
        <f>SUM(OSRRefE21_11x_1)</f>
        <v>7510</v>
      </c>
      <c r="J68" s="1">
        <f>SUM(OSRRefE21_11x_2)</f>
        <v>7510</v>
      </c>
      <c r="K68" s="1">
        <f>SUM(OSRRefE21_11x_3)</f>
        <v>7510</v>
      </c>
      <c r="L68" s="1">
        <f>SUM(OSRRefE21_11x_4)</f>
        <v>7510</v>
      </c>
      <c r="M68" s="1">
        <f>SUM(OSRRefE21_11x_5)</f>
        <v>7510</v>
      </c>
      <c r="N68" s="1">
        <f>SUM(OSRRefE21_11x_6)</f>
        <v>7253</v>
      </c>
      <c r="O68" s="1">
        <f>SUM(OSRRefE21_11x_7)</f>
        <v>7253</v>
      </c>
      <c r="Q68" s="2">
        <f>SUM(OSRRefD20_11x)+IFERROR(SUM(OSRRefE20_11x),0)</f>
        <v>89119.15</v>
      </c>
    </row>
    <row r="69" spans="1:17" s="34" customFormat="1" hidden="1" outlineLevel="1" x14ac:dyDescent="0.25">
      <c r="A69" s="35"/>
      <c r="B69" s="13" t="str">
        <f>CONCATENATE("          ","6401", " - ","INTEREST EXPENSE")</f>
        <v xml:space="preserve">          6401 - INTEREST EXPENSE</v>
      </c>
      <c r="C69" s="15"/>
      <c r="D69" s="2">
        <v>7510</v>
      </c>
      <c r="E69" s="2">
        <v>7510</v>
      </c>
      <c r="F69" s="2">
        <v>7510</v>
      </c>
      <c r="G69" s="2">
        <v>7023.15</v>
      </c>
      <c r="H69" s="2">
        <v>7510</v>
      </c>
      <c r="I69" s="2">
        <v>7510</v>
      </c>
      <c r="J69" s="2">
        <v>7510</v>
      </c>
      <c r="K69" s="2">
        <v>7510</v>
      </c>
      <c r="L69" s="2">
        <v>7510</v>
      </c>
      <c r="M69" s="2">
        <v>7510</v>
      </c>
      <c r="N69" s="2">
        <v>7253</v>
      </c>
      <c r="O69" s="2">
        <v>7253</v>
      </c>
      <c r="P69" s="9"/>
      <c r="Q69" s="2">
        <f>SUM(OSRRefD21_11_0x)+IFERROR(SUM(OSRRefE21_11_0x),0)</f>
        <v>89119.15</v>
      </c>
    </row>
    <row r="70" spans="1:17" s="34" customFormat="1" collapsed="1" x14ac:dyDescent="0.25">
      <c r="A70" s="35"/>
      <c r="B70" s="15" t="str">
        <f>CONCATENATE("     ","R/H Commissions                                   ")</f>
        <v xml:space="preserve">     R/H Commissions                                   </v>
      </c>
      <c r="C70" s="15"/>
      <c r="D70" s="1">
        <f>SUM(OSRRefD21_12x_0)</f>
        <v>0</v>
      </c>
      <c r="E70" s="1">
        <f>SUM(OSRRefD21_12x_1)</f>
        <v>0</v>
      </c>
      <c r="F70" s="1">
        <f>SUM(OSRRefD21_12x_2)</f>
        <v>0</v>
      </c>
      <c r="G70" s="1">
        <f>SUM(OSRRefD21_12x_3)</f>
        <v>0</v>
      </c>
      <c r="H70" s="1">
        <f>SUM(OSRRefE21_12x_0)</f>
        <v>0</v>
      </c>
      <c r="I70" s="1">
        <f>SUM(OSRRefE21_12x_1)</f>
        <v>0</v>
      </c>
      <c r="J70" s="1">
        <f>SUM(OSRRefE21_12x_2)</f>
        <v>0</v>
      </c>
      <c r="K70" s="1">
        <f>SUM(OSRRefE21_12x_3)</f>
        <v>0</v>
      </c>
      <c r="L70" s="1">
        <f>SUM(OSRRefE21_12x_4)</f>
        <v>0</v>
      </c>
      <c r="M70" s="1">
        <f>SUM(OSRRefE21_12x_5)</f>
        <v>0</v>
      </c>
      <c r="N70" s="1">
        <f>SUM(OSRRefE21_12x_6)</f>
        <v>0</v>
      </c>
      <c r="O70" s="1">
        <f>SUM(OSRRefE21_12x_7)</f>
        <v>2000</v>
      </c>
      <c r="Q70" s="2">
        <f>SUM(OSRRefD20_12x)+IFERROR(SUM(OSRRefE20_12x),0)</f>
        <v>2000</v>
      </c>
    </row>
    <row r="71" spans="1:17" s="34" customFormat="1" hidden="1" outlineLevel="1" x14ac:dyDescent="0.25">
      <c r="A71" s="35"/>
      <c r="B71" s="13" t="str">
        <f>CONCATENATE("          ","6387", " - ","COMMISSION DUE HOUSING")</f>
        <v xml:space="preserve">          6387 - COMMISSION DUE HOUSING</v>
      </c>
      <c r="C71" s="15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>
        <v>2000</v>
      </c>
      <c r="P71" s="9"/>
      <c r="Q71" s="2">
        <f>SUM(OSRRefD21_12_0x)+IFERROR(SUM(OSRRefE21_12_0x),0)</f>
        <v>2000</v>
      </c>
    </row>
    <row r="72" spans="1:17" s="34" customFormat="1" collapsed="1" x14ac:dyDescent="0.25">
      <c r="A72" s="35"/>
      <c r="B72" s="15" t="str">
        <f>CONCATENATE("     ","Rent                                              ")</f>
        <v xml:space="preserve">     Rent                                              </v>
      </c>
      <c r="C72" s="15"/>
      <c r="D72" s="1">
        <f>SUM(OSRRefD21_13x_0)</f>
        <v>0</v>
      </c>
      <c r="E72" s="1">
        <f>SUM(OSRRefD21_13x_1)</f>
        <v>0</v>
      </c>
      <c r="F72" s="1">
        <f>SUM(OSRRefD21_13x_2)</f>
        <v>5550</v>
      </c>
      <c r="G72" s="1">
        <f>SUM(OSRRefD21_13x_3)</f>
        <v>0</v>
      </c>
      <c r="H72" s="1">
        <f>SUM(OSRRefE21_13x_0)</f>
        <v>1943</v>
      </c>
      <c r="I72" s="1">
        <f>SUM(OSRRefE21_13x_1)</f>
        <v>1943</v>
      </c>
      <c r="J72" s="1">
        <f>SUM(OSRRefE21_13x_2)</f>
        <v>1943</v>
      </c>
      <c r="K72" s="1">
        <f>SUM(OSRRefE21_13x_3)</f>
        <v>1943</v>
      </c>
      <c r="L72" s="1">
        <f>SUM(OSRRefE21_13x_4)</f>
        <v>1943</v>
      </c>
      <c r="M72" s="1">
        <f>SUM(OSRRefE21_13x_5)</f>
        <v>1943</v>
      </c>
      <c r="N72" s="1">
        <f>SUM(OSRRefE21_13x_6)</f>
        <v>1943</v>
      </c>
      <c r="O72" s="1">
        <f>SUM(OSRRefE21_13x_7)</f>
        <v>1943</v>
      </c>
      <c r="Q72" s="2">
        <f>SUM(OSRRefD20_13x)+IFERROR(SUM(OSRRefE20_13x),0)</f>
        <v>21094</v>
      </c>
    </row>
    <row r="73" spans="1:17" s="34" customFormat="1" hidden="1" outlineLevel="1" x14ac:dyDescent="0.25">
      <c r="A73" s="35"/>
      <c r="B73" s="13" t="str">
        <f>CONCATENATE("          ","6273", " - ","RENT")</f>
        <v xml:space="preserve">          6273 - RENT</v>
      </c>
      <c r="C73" s="15"/>
      <c r="D73" s="2"/>
      <c r="E73" s="2"/>
      <c r="F73" s="2">
        <v>5550</v>
      </c>
      <c r="G73" s="2"/>
      <c r="H73" s="2">
        <v>1943</v>
      </c>
      <c r="I73" s="2">
        <v>1943</v>
      </c>
      <c r="J73" s="2">
        <v>1943</v>
      </c>
      <c r="K73" s="2">
        <v>1943</v>
      </c>
      <c r="L73" s="2">
        <v>1943</v>
      </c>
      <c r="M73" s="2">
        <v>1943</v>
      </c>
      <c r="N73" s="2">
        <v>1943</v>
      </c>
      <c r="O73" s="2">
        <v>1943</v>
      </c>
      <c r="P73" s="9"/>
      <c r="Q73" s="2">
        <f>SUM(OSRRefD21_13_0x)+IFERROR(SUM(OSRRefE21_13_0x),0)</f>
        <v>21094</v>
      </c>
    </row>
    <row r="74" spans="1:17" s="34" customFormat="1" collapsed="1" x14ac:dyDescent="0.25">
      <c r="A74" s="35"/>
      <c r="B74" s="15" t="str">
        <f>CONCATENATE("     ","Repair and Maintenance                            ")</f>
        <v xml:space="preserve">     Repair and Maintenance                            </v>
      </c>
      <c r="C74" s="15"/>
      <c r="D74" s="1">
        <f>SUM(OSRRefD21_14x_0)</f>
        <v>4110.41</v>
      </c>
      <c r="E74" s="1">
        <f>SUM(OSRRefD21_14x_1)</f>
        <v>4288.76</v>
      </c>
      <c r="F74" s="1">
        <f>SUM(OSRRefD21_14x_2)</f>
        <v>2608.58</v>
      </c>
      <c r="G74" s="1">
        <f>SUM(OSRRefD21_14x_3)</f>
        <v>3999.3799999999997</v>
      </c>
      <c r="H74" s="1">
        <f>SUM(OSRRefE21_14x_0)</f>
        <v>1000</v>
      </c>
      <c r="I74" s="1">
        <f>SUM(OSRRefE21_14x_1)</f>
        <v>1000</v>
      </c>
      <c r="J74" s="1">
        <f>SUM(OSRRefE21_14x_2)</f>
        <v>1000</v>
      </c>
      <c r="K74" s="1">
        <f>SUM(OSRRefE21_14x_3)</f>
        <v>1000</v>
      </c>
      <c r="L74" s="1">
        <f>SUM(OSRRefE21_14x_4)</f>
        <v>1000</v>
      </c>
      <c r="M74" s="1">
        <f>SUM(OSRRefE21_14x_5)</f>
        <v>1000</v>
      </c>
      <c r="N74" s="1">
        <f>SUM(OSRRefE21_14x_6)</f>
        <v>1000</v>
      </c>
      <c r="O74" s="1">
        <f>SUM(OSRRefE21_14x_7)</f>
        <v>0</v>
      </c>
      <c r="Q74" s="2">
        <f>SUM(OSRRefD20_14x)+IFERROR(SUM(OSRRefE20_14x),0)</f>
        <v>22007.129999999997</v>
      </c>
    </row>
    <row r="75" spans="1:17" s="34" customFormat="1" hidden="1" outlineLevel="1" x14ac:dyDescent="0.25">
      <c r="A75" s="35"/>
      <c r="B75" s="13" t="str">
        <f>CONCATENATE("          ","6372", " - ","COMPUTER HARDWARE MAINTENANCE")</f>
        <v xml:space="preserve">          6372 - COMPUTER HARDWARE MAINTENANCE</v>
      </c>
      <c r="C75" s="15"/>
      <c r="D75" s="2"/>
      <c r="E75" s="2"/>
      <c r="F75" s="2"/>
      <c r="G75" s="2"/>
      <c r="H75" s="2"/>
      <c r="I75" s="2"/>
      <c r="J75" s="2">
        <v>0</v>
      </c>
      <c r="K75" s="2"/>
      <c r="L75" s="2"/>
      <c r="M75" s="2"/>
      <c r="N75" s="2"/>
      <c r="O75" s="2"/>
      <c r="P75" s="9"/>
      <c r="Q75" s="2">
        <f>SUM(OSRRefD21_14_0x)+IFERROR(SUM(OSRRefE21_14_0x),0)</f>
        <v>0</v>
      </c>
    </row>
    <row r="76" spans="1:17" s="34" customFormat="1" hidden="1" outlineLevel="1" x14ac:dyDescent="0.25">
      <c r="A76" s="35"/>
      <c r="B76" s="13" t="str">
        <f>CONCATENATE("          ","6373", " - ","MAINTENANCE CONTRACTS")</f>
        <v xml:space="preserve">          6373 - MAINTENANCE CONTRACTS</v>
      </c>
      <c r="C76" s="15"/>
      <c r="D76" s="2">
        <v>2353.59</v>
      </c>
      <c r="E76" s="2">
        <v>1687.36</v>
      </c>
      <c r="F76" s="2">
        <v>1656.76</v>
      </c>
      <c r="G76" s="2">
        <v>3179.47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SUM(OSRRefD21_14_1x)+IFERROR(SUM(OSRRefE21_14_1x),0)</f>
        <v>8877.18</v>
      </c>
    </row>
    <row r="77" spans="1:17" s="34" customFormat="1" hidden="1" outlineLevel="1" x14ac:dyDescent="0.25">
      <c r="A77" s="35"/>
      <c r="B77" s="13" t="str">
        <f>CONCATENATE("          ","6375", " - ","OUTSIDE REPAIRS &amp; MAINTENANCE")</f>
        <v xml:space="preserve">          6375 - OUTSIDE REPAIRS &amp; MAINTENANCE</v>
      </c>
      <c r="C77" s="15"/>
      <c r="D77" s="2">
        <v>1756.82</v>
      </c>
      <c r="E77" s="2">
        <v>2601.4</v>
      </c>
      <c r="F77" s="2">
        <v>951.82</v>
      </c>
      <c r="G77" s="2">
        <v>819.91</v>
      </c>
      <c r="H77" s="2">
        <v>1000</v>
      </c>
      <c r="I77" s="2">
        <v>1000</v>
      </c>
      <c r="J77" s="2">
        <v>1000</v>
      </c>
      <c r="K77" s="2">
        <v>1000</v>
      </c>
      <c r="L77" s="2">
        <v>1000</v>
      </c>
      <c r="M77" s="2">
        <v>1000</v>
      </c>
      <c r="N77" s="2">
        <v>1000</v>
      </c>
      <c r="O77" s="2">
        <v>0</v>
      </c>
      <c r="P77" s="9"/>
      <c r="Q77" s="2">
        <f>SUM(OSRRefD21_14_2x)+IFERROR(SUM(OSRRefE21_14_2x),0)</f>
        <v>13129.95</v>
      </c>
    </row>
    <row r="78" spans="1:17" s="34" customFormat="1" collapsed="1" x14ac:dyDescent="0.25">
      <c r="A78" s="35"/>
      <c r="B78" s="15" t="str">
        <f>CONCATENATE("     ","Royalty &amp; Commissions                             ")</f>
        <v xml:space="preserve">     Royalty &amp; Commissions                             </v>
      </c>
      <c r="C78" s="15"/>
      <c r="D78" s="1">
        <f>SUM(OSRRefD21_15x_0)</f>
        <v>0</v>
      </c>
      <c r="E78" s="1">
        <f>SUM(OSRRefD21_15x_1)</f>
        <v>0</v>
      </c>
      <c r="F78" s="1">
        <f>SUM(OSRRefD21_15x_2)</f>
        <v>0</v>
      </c>
      <c r="G78" s="1">
        <f>SUM(OSRRefD21_15x_3)</f>
        <v>0</v>
      </c>
      <c r="H78" s="1">
        <f>SUM(OSRRefE21_15x_0)</f>
        <v>0</v>
      </c>
      <c r="I78" s="1">
        <f>SUM(OSRRefE21_15x_1)</f>
        <v>0</v>
      </c>
      <c r="J78" s="1">
        <f>SUM(OSRRefE21_15x_2)</f>
        <v>0</v>
      </c>
      <c r="K78" s="1">
        <f>SUM(OSRRefE21_15x_3)</f>
        <v>0</v>
      </c>
      <c r="L78" s="1">
        <f>SUM(OSRRefE21_15x_4)</f>
        <v>0</v>
      </c>
      <c r="M78" s="1">
        <f>SUM(OSRRefE21_15x_5)</f>
        <v>0</v>
      </c>
      <c r="N78" s="1">
        <f>SUM(OSRRefE21_15x_6)</f>
        <v>0</v>
      </c>
      <c r="O78" s="1">
        <f>SUM(OSRRefE21_15x_7)</f>
        <v>0</v>
      </c>
      <c r="Q78" s="2">
        <f>SUM(OSRRefD20_15x)+IFERROR(SUM(OSRRefE20_15x),0)</f>
        <v>0</v>
      </c>
    </row>
    <row r="79" spans="1:17" s="34" customFormat="1" hidden="1" outlineLevel="1" x14ac:dyDescent="0.25">
      <c r="A79" s="35"/>
      <c r="B79" s="13" t="str">
        <f>CONCATENATE("          ","6254", " - ","ROYALTY &amp; COMMISSIONS")</f>
        <v xml:space="preserve">          6254 - ROYALTY &amp; COMMISSIONS</v>
      </c>
      <c r="C79" s="15"/>
      <c r="D79" s="2"/>
      <c r="E79" s="2"/>
      <c r="F79" s="2"/>
      <c r="G79" s="2"/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9"/>
      <c r="Q79" s="2">
        <f>SUM(OSRRefD21_15_0x)+IFERROR(SUM(OSRRefE21_15_0x),0)</f>
        <v>0</v>
      </c>
    </row>
    <row r="80" spans="1:17" s="34" customFormat="1" hidden="1" outlineLevel="1" x14ac:dyDescent="0.25">
      <c r="A80" s="35"/>
      <c r="B80" s="13" t="str">
        <f>CONCATENATE("          ","6259", " - ","ROYALTY &amp; COMMISSIONS")</f>
        <v xml:space="preserve">          6259 - ROYALTY &amp; COMMISSIONS</v>
      </c>
      <c r="C80" s="15"/>
      <c r="D80" s="2"/>
      <c r="E80" s="2"/>
      <c r="F80" s="2"/>
      <c r="G80" s="2"/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SUM(OSRRefD21_15_1x)+IFERROR(SUM(OSRRefE21_15_1x),0)</f>
        <v>0</v>
      </c>
    </row>
    <row r="81" spans="1:17" s="34" customFormat="1" collapsed="1" x14ac:dyDescent="0.25">
      <c r="A81" s="35"/>
      <c r="B81" s="15" t="str">
        <f>CONCATENATE("     ","Services                                          ")</f>
        <v xml:space="preserve">     Services                                          </v>
      </c>
      <c r="C81" s="15"/>
      <c r="D81" s="1">
        <f>SUM(OSRRefD21_16x_0)</f>
        <v>1607.1999999999998</v>
      </c>
      <c r="E81" s="1">
        <f>SUM(OSRRefD21_16x_1)</f>
        <v>4789.1799999999994</v>
      </c>
      <c r="F81" s="1">
        <f>SUM(OSRRefD21_16x_2)</f>
        <v>4131.68</v>
      </c>
      <c r="G81" s="1">
        <f>SUM(OSRRefD21_16x_3)</f>
        <v>6452.73</v>
      </c>
      <c r="H81" s="1">
        <f>SUM(OSRRefE21_16x_0)</f>
        <v>7119</v>
      </c>
      <c r="I81" s="1">
        <f>SUM(OSRRefE21_16x_1)</f>
        <v>7894</v>
      </c>
      <c r="J81" s="1">
        <f>SUM(OSRRefE21_16x_2)</f>
        <v>8127</v>
      </c>
      <c r="K81" s="1">
        <f>SUM(OSRRefE21_16x_3)</f>
        <v>7482</v>
      </c>
      <c r="L81" s="1">
        <f>SUM(OSRRefE21_16x_4)</f>
        <v>7119</v>
      </c>
      <c r="M81" s="1">
        <f>SUM(OSRRefE21_16x_5)</f>
        <v>7267</v>
      </c>
      <c r="N81" s="1">
        <f>SUM(OSRRefE21_16x_6)</f>
        <v>7119</v>
      </c>
      <c r="O81" s="1">
        <f>SUM(OSRRefE21_16x_7)</f>
        <v>7894</v>
      </c>
      <c r="Q81" s="2">
        <f>SUM(OSRRefD20_16x)+IFERROR(SUM(OSRRefE20_16x),0)</f>
        <v>77001.790000000008</v>
      </c>
    </row>
    <row r="82" spans="1:17" s="34" customFormat="1" hidden="1" outlineLevel="1" x14ac:dyDescent="0.25">
      <c r="A82" s="35"/>
      <c r="B82" s="13" t="str">
        <f>CONCATENATE("          ","6282", " - ","JANITORIAL/EXTERMINATOR EXPENS")</f>
        <v xml:space="preserve">          6282 - JANITORIAL/EXTERMINATOR EXPENS</v>
      </c>
      <c r="C82" s="15"/>
      <c r="D82" s="2">
        <v>286.62</v>
      </c>
      <c r="E82" s="2">
        <v>485.89</v>
      </c>
      <c r="F82" s="2">
        <v>8.36</v>
      </c>
      <c r="G82" s="2">
        <v>971.78</v>
      </c>
      <c r="H82" s="2">
        <v>955</v>
      </c>
      <c r="I82" s="2">
        <v>1582</v>
      </c>
      <c r="J82" s="2">
        <v>955</v>
      </c>
      <c r="K82" s="2">
        <v>955</v>
      </c>
      <c r="L82" s="2">
        <v>955</v>
      </c>
      <c r="M82" s="2">
        <v>955</v>
      </c>
      <c r="N82" s="2">
        <v>955</v>
      </c>
      <c r="O82" s="2">
        <v>1582</v>
      </c>
      <c r="P82" s="9"/>
      <c r="Q82" s="2">
        <f>SUM(OSRRefD21_16_0x)+IFERROR(SUM(OSRRefE21_16_0x),0)</f>
        <v>10646.65</v>
      </c>
    </row>
    <row r="83" spans="1:17" s="34" customFormat="1" hidden="1" outlineLevel="1" x14ac:dyDescent="0.25">
      <c r="A83" s="35"/>
      <c r="B83" s="13" t="str">
        <f>CONCATENATE("          ","6283", " - ","PLANT SERVICE")</f>
        <v xml:space="preserve">          6283 - PLANT SERVICE</v>
      </c>
      <c r="C83" s="15"/>
      <c r="D83" s="2"/>
      <c r="E83" s="2"/>
      <c r="F83" s="2"/>
      <c r="G83" s="2"/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9"/>
      <c r="Q83" s="2">
        <f>SUM(OSRRefD21_16_1x)+IFERROR(SUM(OSRRefE21_16_1x),0)</f>
        <v>0</v>
      </c>
    </row>
    <row r="84" spans="1:17" s="34" customFormat="1" hidden="1" outlineLevel="1" x14ac:dyDescent="0.25">
      <c r="A84" s="35"/>
      <c r="B84" s="13" t="str">
        <f>CONCATENATE("          ","6284", " - ","TRASH REMOVAL EXPENSE")</f>
        <v xml:space="preserve">          6284 - TRASH REMOVAL EXPENSE</v>
      </c>
      <c r="C84" s="15"/>
      <c r="D84" s="2">
        <v>1000</v>
      </c>
      <c r="E84" s="2">
        <v>1000</v>
      </c>
      <c r="F84" s="2">
        <v>761</v>
      </c>
      <c r="G84" s="2">
        <v>5369</v>
      </c>
      <c r="H84" s="2">
        <v>3123</v>
      </c>
      <c r="I84" s="2">
        <v>3123</v>
      </c>
      <c r="J84" s="2">
        <v>3123</v>
      </c>
      <c r="K84" s="2">
        <v>3123</v>
      </c>
      <c r="L84" s="2">
        <v>3123</v>
      </c>
      <c r="M84" s="2">
        <v>3123</v>
      </c>
      <c r="N84" s="2">
        <v>3123</v>
      </c>
      <c r="O84" s="2">
        <v>3123</v>
      </c>
      <c r="P84" s="9"/>
      <c r="Q84" s="2">
        <f>SUM(OSRRefD21_16_2x)+IFERROR(SUM(OSRRefE21_16_2x),0)</f>
        <v>33114</v>
      </c>
    </row>
    <row r="85" spans="1:17" s="34" customFormat="1" hidden="1" outlineLevel="1" x14ac:dyDescent="0.25">
      <c r="A85" s="35"/>
      <c r="B85" s="13" t="str">
        <f>CONCATENATE("          ","6285", " - ","JANITORIAL SERVICES")</f>
        <v xml:space="preserve">          6285 - JANITORIAL SERVICES</v>
      </c>
      <c r="C85" s="15"/>
      <c r="D85" s="2"/>
      <c r="E85" s="2">
        <v>3155.58</v>
      </c>
      <c r="F85" s="2">
        <v>3256.35</v>
      </c>
      <c r="G85" s="2"/>
      <c r="H85" s="2">
        <v>3041</v>
      </c>
      <c r="I85" s="2">
        <v>3041</v>
      </c>
      <c r="J85" s="2">
        <v>4049</v>
      </c>
      <c r="K85" s="2">
        <v>3256</v>
      </c>
      <c r="L85" s="2">
        <v>3041</v>
      </c>
      <c r="M85" s="2">
        <v>3041</v>
      </c>
      <c r="N85" s="2">
        <v>3041</v>
      </c>
      <c r="O85" s="2">
        <v>3041</v>
      </c>
      <c r="P85" s="9"/>
      <c r="Q85" s="2">
        <f>SUM(OSRRefD21_16_3x)+IFERROR(SUM(OSRRefE21_16_3x),0)</f>
        <v>31962.93</v>
      </c>
    </row>
    <row r="86" spans="1:17" s="34" customFormat="1" hidden="1" outlineLevel="1" x14ac:dyDescent="0.25">
      <c r="A86" s="35"/>
      <c r="B86" s="13" t="str">
        <f>CONCATENATE("          ","6286", " - ","LAUNDRY EXPENSE")</f>
        <v xml:space="preserve">          6286 - LAUNDRY EXPENSE</v>
      </c>
      <c r="C86" s="15"/>
      <c r="D86" s="2">
        <v>320.58</v>
      </c>
      <c r="E86" s="2">
        <v>147.71</v>
      </c>
      <c r="F86" s="2">
        <v>105.97</v>
      </c>
      <c r="G86" s="2">
        <v>111.95</v>
      </c>
      <c r="H86" s="2">
        <v>0</v>
      </c>
      <c r="I86" s="2">
        <v>148</v>
      </c>
      <c r="J86" s="2">
        <v>0</v>
      </c>
      <c r="K86" s="2">
        <v>148</v>
      </c>
      <c r="L86" s="2">
        <v>0</v>
      </c>
      <c r="M86" s="2">
        <v>148</v>
      </c>
      <c r="N86" s="2">
        <v>0</v>
      </c>
      <c r="O86" s="2">
        <v>148</v>
      </c>
      <c r="P86" s="9"/>
      <c r="Q86" s="2">
        <f>SUM(OSRRefD21_16_4x)+IFERROR(SUM(OSRRefE21_16_4x),0)</f>
        <v>1278.21</v>
      </c>
    </row>
    <row r="87" spans="1:17" s="34" customFormat="1" collapsed="1" x14ac:dyDescent="0.25">
      <c r="A87" s="35"/>
      <c r="B87" s="15" t="str">
        <f>CONCATENATE("     ","Subscriptions &amp; Dues                              ")</f>
        <v xml:space="preserve">     Subscriptions &amp; Dues                              </v>
      </c>
      <c r="C87" s="15"/>
      <c r="D87" s="1">
        <f>SUM(OSRRefD21_17x_0)</f>
        <v>9.32</v>
      </c>
      <c r="E87" s="1">
        <f>SUM(OSRRefD21_17x_1)</f>
        <v>0</v>
      </c>
      <c r="F87" s="1">
        <f>SUM(OSRRefD21_17x_2)</f>
        <v>131.34</v>
      </c>
      <c r="G87" s="1">
        <f>SUM(OSRRefD21_17x_3)</f>
        <v>130.66999999999999</v>
      </c>
      <c r="H87" s="1">
        <f>SUM(OSRRefE21_17x_0)</f>
        <v>197</v>
      </c>
      <c r="I87" s="1">
        <f>SUM(OSRRefE21_17x_1)</f>
        <v>1097</v>
      </c>
      <c r="J87" s="1">
        <f>SUM(OSRRefE21_17x_2)</f>
        <v>197</v>
      </c>
      <c r="K87" s="1">
        <f>SUM(OSRRefE21_17x_3)</f>
        <v>202</v>
      </c>
      <c r="L87" s="1">
        <f>SUM(OSRRefE21_17x_4)</f>
        <v>200</v>
      </c>
      <c r="M87" s="1">
        <f>SUM(OSRRefE21_17x_5)</f>
        <v>200</v>
      </c>
      <c r="N87" s="1">
        <f>SUM(OSRRefE21_17x_6)</f>
        <v>200</v>
      </c>
      <c r="O87" s="1">
        <f>SUM(OSRRefE21_17x_7)</f>
        <v>200</v>
      </c>
      <c r="Q87" s="2">
        <f>SUM(OSRRefD20_17x)+IFERROR(SUM(OSRRefE20_17x),0)</f>
        <v>2764.33</v>
      </c>
    </row>
    <row r="88" spans="1:17" s="34" customFormat="1" hidden="1" outlineLevel="1" x14ac:dyDescent="0.25">
      <c r="A88" s="35"/>
      <c r="B88" s="13" t="str">
        <f>CONCATENATE("          ","6258", " - ","MEMBERSHIP DUES")</f>
        <v xml:space="preserve">          6258 - MEMBERSHIP DUES</v>
      </c>
      <c r="C88" s="15"/>
      <c r="D88" s="2"/>
      <c r="E88" s="2"/>
      <c r="F88" s="2"/>
      <c r="G88" s="2"/>
      <c r="H88" s="2"/>
      <c r="I88" s="2">
        <v>900</v>
      </c>
      <c r="J88" s="2"/>
      <c r="K88" s="2"/>
      <c r="L88" s="2"/>
      <c r="M88" s="2"/>
      <c r="N88" s="2"/>
      <c r="O88" s="2"/>
      <c r="P88" s="9"/>
      <c r="Q88" s="2">
        <f>SUM(OSRRefD21_17_0x)+IFERROR(SUM(OSRRefE21_17_0x),0)</f>
        <v>900</v>
      </c>
    </row>
    <row r="89" spans="1:17" s="34" customFormat="1" hidden="1" outlineLevel="1" x14ac:dyDescent="0.25">
      <c r="A89" s="35"/>
      <c r="B89" s="13" t="str">
        <f>CONCATENATE("          ","6275", " - ","SUBSCRIPTIONS")</f>
        <v xml:space="preserve">          6275 - SUBSCRIPTIONS</v>
      </c>
      <c r="C89" s="15"/>
      <c r="D89" s="2">
        <v>9.32</v>
      </c>
      <c r="E89" s="2"/>
      <c r="F89" s="2">
        <v>131.34</v>
      </c>
      <c r="G89" s="2">
        <v>130.66999999999999</v>
      </c>
      <c r="H89" s="2">
        <v>197</v>
      </c>
      <c r="I89" s="2">
        <v>197</v>
      </c>
      <c r="J89" s="2">
        <v>197</v>
      </c>
      <c r="K89" s="2">
        <v>202</v>
      </c>
      <c r="L89" s="2">
        <v>200</v>
      </c>
      <c r="M89" s="2">
        <v>200</v>
      </c>
      <c r="N89" s="2">
        <v>200</v>
      </c>
      <c r="O89" s="2">
        <v>200</v>
      </c>
      <c r="P89" s="9"/>
      <c r="Q89" s="2">
        <f>SUM(OSRRefD21_17_1x)+IFERROR(SUM(OSRRefE21_17_1x),0)</f>
        <v>1864.33</v>
      </c>
    </row>
    <row r="90" spans="1:17" s="34" customFormat="1" collapsed="1" x14ac:dyDescent="0.25">
      <c r="A90" s="35"/>
      <c r="B90" s="15" t="str">
        <f>CONCATENATE("     ","Supplies                                          ")</f>
        <v xml:space="preserve">     Supplies                                          </v>
      </c>
      <c r="C90" s="15"/>
      <c r="D90" s="1">
        <f>SUM(OSRRefD21_18x_0)</f>
        <v>486.14000000000004</v>
      </c>
      <c r="E90" s="1">
        <f>SUM(OSRRefD21_18x_1)</f>
        <v>-28658.839999999997</v>
      </c>
      <c r="F90" s="1">
        <f>SUM(OSRRefD21_18x_2)</f>
        <v>137.26</v>
      </c>
      <c r="G90" s="1">
        <f>SUM(OSRRefD21_18x_3)</f>
        <v>6392.76</v>
      </c>
      <c r="H90" s="1">
        <f>SUM(OSRRefE21_18x_0)</f>
        <v>975</v>
      </c>
      <c r="I90" s="1">
        <f>SUM(OSRRefE21_18x_1)</f>
        <v>975</v>
      </c>
      <c r="J90" s="1">
        <f>SUM(OSRRefE21_18x_2)</f>
        <v>975</v>
      </c>
      <c r="K90" s="1">
        <f>SUM(OSRRefE21_18x_3)</f>
        <v>975</v>
      </c>
      <c r="L90" s="1">
        <f>SUM(OSRRefE21_18x_4)</f>
        <v>975</v>
      </c>
      <c r="M90" s="1">
        <f>SUM(OSRRefE21_18x_5)</f>
        <v>975</v>
      </c>
      <c r="N90" s="1">
        <f>SUM(OSRRefE21_18x_6)</f>
        <v>975</v>
      </c>
      <c r="O90" s="1">
        <f>SUM(OSRRefE21_18x_7)</f>
        <v>975</v>
      </c>
      <c r="Q90" s="2">
        <f>SUM(OSRRefD20_18x)+IFERROR(SUM(OSRRefE20_18x),0)</f>
        <v>-13842.68</v>
      </c>
    </row>
    <row r="91" spans="1:17" s="34" customFormat="1" hidden="1" outlineLevel="1" x14ac:dyDescent="0.25">
      <c r="A91" s="35"/>
      <c r="B91" s="13" t="str">
        <f>CONCATENATE("          ","6234", " - ","EXPENDABLE SUPPLIES &amp; EQUIPMEN")</f>
        <v xml:space="preserve">          6234 - EXPENDABLE SUPPLIES &amp; EQUIPMEN</v>
      </c>
      <c r="C91" s="15"/>
      <c r="D91" s="2"/>
      <c r="E91" s="2">
        <v>255.78</v>
      </c>
      <c r="F91" s="2"/>
      <c r="G91" s="2">
        <v>55.13</v>
      </c>
      <c r="H91" s="2">
        <v>500</v>
      </c>
      <c r="I91" s="2">
        <v>500</v>
      </c>
      <c r="J91" s="2">
        <v>500</v>
      </c>
      <c r="K91" s="2">
        <v>500</v>
      </c>
      <c r="L91" s="2">
        <v>500</v>
      </c>
      <c r="M91" s="2">
        <v>500</v>
      </c>
      <c r="N91" s="2">
        <v>500</v>
      </c>
      <c r="O91" s="2">
        <v>500</v>
      </c>
      <c r="P91" s="9"/>
      <c r="Q91" s="2">
        <f>SUM(OSRRefD21_18_0x)+IFERROR(SUM(OSRRefE21_18_0x),0)</f>
        <v>4310.91</v>
      </c>
    </row>
    <row r="92" spans="1:17" s="34" customFormat="1" hidden="1" outlineLevel="1" x14ac:dyDescent="0.25">
      <c r="A92" s="35"/>
      <c r="B92" s="13" t="str">
        <f>CONCATENATE("          ","6235", " - ","COVID-19 EXPENSES")</f>
        <v xml:space="preserve">          6235 - COVID-19 EXPENSES</v>
      </c>
      <c r="C92" s="15"/>
      <c r="D92" s="2">
        <v>535.82000000000005</v>
      </c>
      <c r="E92" s="2">
        <v>286.14999999999998</v>
      </c>
      <c r="F92" s="2">
        <v>127.89</v>
      </c>
      <c r="G92" s="2">
        <v>5932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9"/>
      <c r="Q92" s="2">
        <f>SUM(OSRRefD21_18_1x)+IFERROR(SUM(OSRRefE21_18_1x),0)</f>
        <v>6881.86</v>
      </c>
    </row>
    <row r="93" spans="1:17" s="34" customFormat="1" hidden="1" outlineLevel="1" x14ac:dyDescent="0.25">
      <c r="A93" s="35"/>
      <c r="B93" s="13" t="str">
        <f>CONCATENATE("          ","6237", " - ","JANITORIAL SUPPLIES")</f>
        <v xml:space="preserve">          6237 - JANITORIAL SUPPLIES</v>
      </c>
      <c r="C93" s="15"/>
      <c r="D93" s="2"/>
      <c r="E93" s="2"/>
      <c r="F93" s="2"/>
      <c r="G93" s="2">
        <v>268.05</v>
      </c>
      <c r="H93" s="2">
        <v>200</v>
      </c>
      <c r="I93" s="2">
        <v>200</v>
      </c>
      <c r="J93" s="2">
        <v>200</v>
      </c>
      <c r="K93" s="2">
        <v>200</v>
      </c>
      <c r="L93" s="2">
        <v>200</v>
      </c>
      <c r="M93" s="2">
        <v>200</v>
      </c>
      <c r="N93" s="2">
        <v>200</v>
      </c>
      <c r="O93" s="2">
        <v>200</v>
      </c>
      <c r="P93" s="9"/>
      <c r="Q93" s="2">
        <f>SUM(OSRRefD21_18_2x)+IFERROR(SUM(OSRRefE21_18_2x),0)</f>
        <v>1868.05</v>
      </c>
    </row>
    <row r="94" spans="1:17" s="34" customFormat="1" hidden="1" outlineLevel="1" x14ac:dyDescent="0.25">
      <c r="A94" s="35"/>
      <c r="B94" s="13" t="str">
        <f>CONCATENATE("          ","6239", " - ","KITCHEN SUPPLIES")</f>
        <v xml:space="preserve">          6239 - KITCHEN SUPPLIES</v>
      </c>
      <c r="C94" s="15"/>
      <c r="D94" s="2"/>
      <c r="E94" s="2"/>
      <c r="F94" s="2"/>
      <c r="G94" s="2">
        <v>19.829999999999998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9"/>
      <c r="Q94" s="2">
        <f>SUM(OSRRefD21_18_3x)+IFERROR(SUM(OSRRefE21_18_3x),0)</f>
        <v>19.829999999999998</v>
      </c>
    </row>
    <row r="95" spans="1:17" s="34" customFormat="1" hidden="1" outlineLevel="1" x14ac:dyDescent="0.25">
      <c r="A95" s="35"/>
      <c r="B95" s="13" t="str">
        <f>CONCATENATE("          ","6241", " - ","OFFICE EXPENSE")</f>
        <v xml:space="preserve">          6241 - OFFICE EXPENSE</v>
      </c>
      <c r="C95" s="15"/>
      <c r="D95" s="2">
        <v>-49.68</v>
      </c>
      <c r="E95" s="2">
        <v>-29200.769999999997</v>
      </c>
      <c r="F95" s="2">
        <v>9.3699999999999992</v>
      </c>
      <c r="G95" s="2">
        <v>117.75</v>
      </c>
      <c r="H95" s="2">
        <v>25</v>
      </c>
      <c r="I95" s="2">
        <v>25</v>
      </c>
      <c r="J95" s="2">
        <v>25</v>
      </c>
      <c r="K95" s="2">
        <v>25</v>
      </c>
      <c r="L95" s="2">
        <v>25</v>
      </c>
      <c r="M95" s="2">
        <v>25</v>
      </c>
      <c r="N95" s="2">
        <v>25</v>
      </c>
      <c r="O95" s="2">
        <v>25</v>
      </c>
      <c r="P95" s="9"/>
      <c r="Q95" s="2">
        <f>SUM(OSRRefD21_18_4x)+IFERROR(SUM(OSRRefE21_18_4x),0)</f>
        <v>-28923.329999999998</v>
      </c>
    </row>
    <row r="96" spans="1:17" s="34" customFormat="1" hidden="1" outlineLevel="1" x14ac:dyDescent="0.25">
      <c r="A96" s="35"/>
      <c r="B96" s="13" t="str">
        <f>CONCATENATE("          ","6243", " - ","PAPER SUPPLIES")</f>
        <v xml:space="preserve">          6243 - PAPER SUPPLIES</v>
      </c>
      <c r="C96" s="15"/>
      <c r="D96" s="2"/>
      <c r="E96" s="2"/>
      <c r="F96" s="2"/>
      <c r="G96" s="2"/>
      <c r="H96" s="2">
        <v>250</v>
      </c>
      <c r="I96" s="2">
        <v>250</v>
      </c>
      <c r="J96" s="2">
        <v>250</v>
      </c>
      <c r="K96" s="2">
        <v>250</v>
      </c>
      <c r="L96" s="2">
        <v>250</v>
      </c>
      <c r="M96" s="2">
        <v>250</v>
      </c>
      <c r="N96" s="2">
        <v>250</v>
      </c>
      <c r="O96" s="2">
        <v>250</v>
      </c>
      <c r="P96" s="9"/>
      <c r="Q96" s="2">
        <f>SUM(OSRRefD21_18_5x)+IFERROR(SUM(OSRRefE21_18_5x),0)</f>
        <v>2000</v>
      </c>
    </row>
    <row r="97" spans="1:17" s="34" customFormat="1" hidden="1" outlineLevel="1" x14ac:dyDescent="0.25">
      <c r="A97" s="35"/>
      <c r="B97" s="13" t="str">
        <f>CONCATENATE("          ","6244", " - ","SAFETY SUPPLY EXPENSE")</f>
        <v xml:space="preserve">          6244 - SAFETY SUPPLY EXPENSE</v>
      </c>
      <c r="C97" s="15"/>
      <c r="D97" s="2"/>
      <c r="E97" s="2"/>
      <c r="F97" s="2"/>
      <c r="G97" s="2"/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9"/>
      <c r="Q97" s="2">
        <f>SUM(OSRRefD21_18_6x)+IFERROR(SUM(OSRRefE21_18_6x),0)</f>
        <v>0</v>
      </c>
    </row>
    <row r="98" spans="1:17" s="34" customFormat="1" hidden="1" outlineLevel="1" x14ac:dyDescent="0.25">
      <c r="A98" s="35"/>
      <c r="B98" s="13" t="str">
        <f>CONCATENATE("          ","6245", " - ","PRINTING")</f>
        <v xml:space="preserve">          6245 - PRINTING</v>
      </c>
      <c r="C98" s="15"/>
      <c r="D98" s="2"/>
      <c r="E98" s="2"/>
      <c r="F98" s="2"/>
      <c r="G98" s="2"/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9"/>
      <c r="Q98" s="2">
        <f>SUM(OSRRefD21_18_7x)+IFERROR(SUM(OSRRefE21_18_7x),0)</f>
        <v>0</v>
      </c>
    </row>
    <row r="99" spans="1:17" s="34" customFormat="1" hidden="1" outlineLevel="1" x14ac:dyDescent="0.25">
      <c r="A99" s="35"/>
      <c r="B99" s="13" t="str">
        <f>CONCATENATE("          ","6246", " - ","REPLACEMENTS")</f>
        <v xml:space="preserve">          6246 - REPLACEMENTS</v>
      </c>
      <c r="C99" s="15"/>
      <c r="D99" s="2"/>
      <c r="E99" s="2"/>
      <c r="F99" s="2"/>
      <c r="G99" s="2"/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9"/>
      <c r="Q99" s="2">
        <f>SUM(OSRRefD21_18_8x)+IFERROR(SUM(OSRRefE21_18_8x),0)</f>
        <v>0</v>
      </c>
    </row>
    <row r="100" spans="1:17" s="34" customFormat="1" hidden="1" outlineLevel="1" x14ac:dyDescent="0.25">
      <c r="A100" s="35"/>
      <c r="B100" s="13" t="str">
        <f>CONCATENATE("          ","6247", " - ","STORE SUPPLIES")</f>
        <v xml:space="preserve">          6247 - STORE SUPPLIES</v>
      </c>
      <c r="C100" s="15"/>
      <c r="D100" s="2"/>
      <c r="E100" s="2"/>
      <c r="F100" s="2"/>
      <c r="G100" s="2"/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9"/>
      <c r="Q100" s="2">
        <f>SUM(OSRRefD21_18_9x)+IFERROR(SUM(OSRRefE21_18_9x),0)</f>
        <v>0</v>
      </c>
    </row>
    <row r="101" spans="1:17" s="34" customFormat="1" hidden="1" outlineLevel="1" x14ac:dyDescent="0.25">
      <c r="A101" s="35"/>
      <c r="B101" s="13" t="str">
        <f>CONCATENATE("          ","6248", " - ","UNIFORMS")</f>
        <v xml:space="preserve">          6248 - UNIFORMS</v>
      </c>
      <c r="C101" s="15"/>
      <c r="D101" s="2"/>
      <c r="E101" s="2"/>
      <c r="F101" s="2"/>
      <c r="G101" s="2"/>
      <c r="H101" s="2"/>
      <c r="I101" s="2">
        <v>0</v>
      </c>
      <c r="J101" s="2">
        <v>0</v>
      </c>
      <c r="K101" s="2">
        <v>0</v>
      </c>
      <c r="L101" s="2"/>
      <c r="M101" s="2">
        <v>0</v>
      </c>
      <c r="N101" s="2"/>
      <c r="O101" s="2"/>
      <c r="P101" s="9"/>
      <c r="Q101" s="2">
        <f>SUM(OSRRefD21_18_10x)+IFERROR(SUM(OSRRefE21_18_10x),0)</f>
        <v>0</v>
      </c>
    </row>
    <row r="102" spans="1:17" s="34" customFormat="1" collapsed="1" x14ac:dyDescent="0.25">
      <c r="A102" s="35"/>
      <c r="B102" s="15" t="str">
        <f>CONCATENATE("     ","Telephone/Data Lines                              ")</f>
        <v xml:space="preserve">     Telephone/Data Lines                              </v>
      </c>
      <c r="C102" s="15"/>
      <c r="D102" s="1">
        <f>SUM(OSRRefD21_19x_0)</f>
        <v>1203.82</v>
      </c>
      <c r="E102" s="1">
        <f>SUM(OSRRefD21_19x_1)</f>
        <v>1228.96</v>
      </c>
      <c r="F102" s="1">
        <f>SUM(OSRRefD21_19x_2)</f>
        <v>638.63</v>
      </c>
      <c r="G102" s="1">
        <f>SUM(OSRRefD21_19x_3)</f>
        <v>364.66</v>
      </c>
      <c r="H102" s="1">
        <f>SUM(OSRRefE21_19x_0)</f>
        <v>238</v>
      </c>
      <c r="I102" s="1">
        <f>SUM(OSRRefE21_19x_1)</f>
        <v>384</v>
      </c>
      <c r="J102" s="1">
        <f>SUM(OSRRefE21_19x_2)</f>
        <v>385</v>
      </c>
      <c r="K102" s="1">
        <f>SUM(OSRRefE21_19x_3)</f>
        <v>235</v>
      </c>
      <c r="L102" s="1">
        <f>SUM(OSRRefE21_19x_4)</f>
        <v>385</v>
      </c>
      <c r="M102" s="1">
        <f>SUM(OSRRefE21_19x_5)</f>
        <v>385</v>
      </c>
      <c r="N102" s="1">
        <f>SUM(OSRRefE21_19x_6)</f>
        <v>235</v>
      </c>
      <c r="O102" s="1">
        <f>SUM(OSRRefE21_19x_7)</f>
        <v>385</v>
      </c>
      <c r="Q102" s="2">
        <f>SUM(OSRRefD20_19x)+IFERROR(SUM(OSRRefE20_19x),0)</f>
        <v>6068.07</v>
      </c>
    </row>
    <row r="103" spans="1:17" s="34" customFormat="1" hidden="1" outlineLevel="1" x14ac:dyDescent="0.25">
      <c r="A103" s="35"/>
      <c r="B103" s="13" t="str">
        <f>CONCATENATE("          ","6303", " - ","DATA PHONE LINES")</f>
        <v xml:space="preserve">          6303 - DATA PHONE LINES</v>
      </c>
      <c r="C103" s="15"/>
      <c r="D103" s="2"/>
      <c r="E103" s="2"/>
      <c r="F103" s="2"/>
      <c r="G103" s="2"/>
      <c r="H103" s="2">
        <v>138</v>
      </c>
      <c r="I103" s="2">
        <v>134</v>
      </c>
      <c r="J103" s="2">
        <v>135</v>
      </c>
      <c r="K103" s="2">
        <v>135</v>
      </c>
      <c r="L103" s="2">
        <v>135</v>
      </c>
      <c r="M103" s="2">
        <v>135</v>
      </c>
      <c r="N103" s="2">
        <v>135</v>
      </c>
      <c r="O103" s="2">
        <v>135</v>
      </c>
      <c r="P103" s="9"/>
      <c r="Q103" s="2">
        <f>SUM(OSRRefD21_19_0x)+IFERROR(SUM(OSRRefE21_19_0x),0)</f>
        <v>1082</v>
      </c>
    </row>
    <row r="104" spans="1:17" s="34" customFormat="1" hidden="1" outlineLevel="1" x14ac:dyDescent="0.25">
      <c r="A104" s="35"/>
      <c r="B104" s="13" t="str">
        <f>CONCATENATE("          ","6309", " - ","TELEPHONE")</f>
        <v xml:space="preserve">          6309 - TELEPHONE</v>
      </c>
      <c r="C104" s="15"/>
      <c r="D104" s="2">
        <v>1203.82</v>
      </c>
      <c r="E104" s="2">
        <v>1228.96</v>
      </c>
      <c r="F104" s="2">
        <v>638.63</v>
      </c>
      <c r="G104" s="2">
        <v>364.66</v>
      </c>
      <c r="H104" s="2">
        <v>100</v>
      </c>
      <c r="I104" s="2">
        <v>250</v>
      </c>
      <c r="J104" s="2">
        <v>250</v>
      </c>
      <c r="K104" s="2">
        <v>100</v>
      </c>
      <c r="L104" s="2">
        <v>250</v>
      </c>
      <c r="M104" s="2">
        <v>250</v>
      </c>
      <c r="N104" s="2">
        <v>100</v>
      </c>
      <c r="O104" s="2">
        <v>250</v>
      </c>
      <c r="P104" s="9"/>
      <c r="Q104" s="2">
        <f>SUM(OSRRefD21_19_1x)+IFERROR(SUM(OSRRefE21_19_1x),0)</f>
        <v>4986.07</v>
      </c>
    </row>
    <row r="105" spans="1:17" s="34" customFormat="1" collapsed="1" x14ac:dyDescent="0.25">
      <c r="A105" s="35"/>
      <c r="B105" s="15" t="str">
        <f>CONCATENATE("     ","Training                                          ")</f>
        <v xml:space="preserve">     Training                                          </v>
      </c>
      <c r="C105" s="15"/>
      <c r="D105" s="1">
        <f>SUM(OSRRefD21_20x_0)</f>
        <v>0</v>
      </c>
      <c r="E105" s="1">
        <f>SUM(OSRRefD21_20x_1)</f>
        <v>0</v>
      </c>
      <c r="F105" s="1">
        <f>SUM(OSRRefD21_20x_2)</f>
        <v>0</v>
      </c>
      <c r="G105" s="1">
        <f>SUM(OSRRefD21_20x_3)</f>
        <v>0</v>
      </c>
      <c r="H105" s="1">
        <f>SUM(OSRRefE21_20x_0)</f>
        <v>0</v>
      </c>
      <c r="I105" s="1">
        <f>SUM(OSRRefE21_20x_1)</f>
        <v>0</v>
      </c>
      <c r="J105" s="1">
        <f>SUM(OSRRefE21_20x_2)</f>
        <v>0</v>
      </c>
      <c r="K105" s="1">
        <f>SUM(OSRRefE21_20x_3)</f>
        <v>0</v>
      </c>
      <c r="L105" s="1">
        <f>SUM(OSRRefE21_20x_4)</f>
        <v>0</v>
      </c>
      <c r="M105" s="1">
        <f>SUM(OSRRefE21_20x_5)</f>
        <v>0</v>
      </c>
      <c r="N105" s="1">
        <f>SUM(OSRRefE21_20x_6)</f>
        <v>0</v>
      </c>
      <c r="O105" s="1">
        <f>SUM(OSRRefE21_20x_7)</f>
        <v>0</v>
      </c>
      <c r="Q105" s="2">
        <f>SUM(OSRRefD20_20x)+IFERROR(SUM(OSRRefE20_20x),0)</f>
        <v>0</v>
      </c>
    </row>
    <row r="106" spans="1:17" s="34" customFormat="1" hidden="1" outlineLevel="1" x14ac:dyDescent="0.25">
      <c r="A106" s="35"/>
      <c r="B106" s="13" t="str">
        <f>CONCATENATE("          ","6376", " - ","TRAINING")</f>
        <v xml:space="preserve">          6376 - TRAINING</v>
      </c>
      <c r="C106" s="15"/>
      <c r="D106" s="2"/>
      <c r="E106" s="2"/>
      <c r="F106" s="2"/>
      <c r="G106" s="2"/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9"/>
      <c r="Q106" s="2">
        <f>SUM(OSRRefD21_20_0x)+IFERROR(SUM(OSRRefE21_20_0x),0)</f>
        <v>0</v>
      </c>
    </row>
    <row r="107" spans="1:17" s="34" customFormat="1" collapsed="1" x14ac:dyDescent="0.25">
      <c r="A107" s="35"/>
      <c r="B107" s="15" t="str">
        <f>CONCATENATE("     ","Travel                                            ")</f>
        <v xml:space="preserve">     Travel                                            </v>
      </c>
      <c r="C107" s="15"/>
      <c r="D107" s="1">
        <f>SUM(OSRRefD21_21x_0)</f>
        <v>179.69</v>
      </c>
      <c r="E107" s="1">
        <f>SUM(OSRRefD21_21x_1)</f>
        <v>0</v>
      </c>
      <c r="F107" s="1">
        <f>SUM(OSRRefD21_21x_2)</f>
        <v>152.52000000000001</v>
      </c>
      <c r="G107" s="1">
        <f>SUM(OSRRefD21_21x_3)</f>
        <v>0</v>
      </c>
      <c r="H107" s="1">
        <f>SUM(OSRRefE21_21x_0)</f>
        <v>0</v>
      </c>
      <c r="I107" s="1">
        <f>SUM(OSRRefE21_21x_1)</f>
        <v>0</v>
      </c>
      <c r="J107" s="1">
        <f>SUM(OSRRefE21_21x_2)</f>
        <v>0</v>
      </c>
      <c r="K107" s="1">
        <f>SUM(OSRRefE21_21x_3)</f>
        <v>0</v>
      </c>
      <c r="L107" s="1">
        <f>SUM(OSRRefE21_21x_4)</f>
        <v>0</v>
      </c>
      <c r="M107" s="1">
        <f>SUM(OSRRefE21_21x_5)</f>
        <v>0</v>
      </c>
      <c r="N107" s="1">
        <f>SUM(OSRRefE21_21x_6)</f>
        <v>0</v>
      </c>
      <c r="O107" s="1">
        <f>SUM(OSRRefE21_21x_7)</f>
        <v>0</v>
      </c>
      <c r="Q107" s="2">
        <f>SUM(OSRRefD20_21x)+IFERROR(SUM(OSRRefE20_21x),0)</f>
        <v>332.21000000000004</v>
      </c>
    </row>
    <row r="108" spans="1:17" s="34" customFormat="1" hidden="1" outlineLevel="1" x14ac:dyDescent="0.25">
      <c r="A108" s="35"/>
      <c r="B108" s="13" t="str">
        <f>CONCATENATE("          ","6298", " - ","VEHICLE MILEAGE")</f>
        <v xml:space="preserve">          6298 - VEHICLE MILEAGE</v>
      </c>
      <c r="C108" s="15"/>
      <c r="D108" s="2">
        <v>179.69</v>
      </c>
      <c r="E108" s="2"/>
      <c r="F108" s="2">
        <v>152.52000000000001</v>
      </c>
      <c r="G108" s="2"/>
      <c r="H108" s="2"/>
      <c r="I108" s="2"/>
      <c r="J108" s="2"/>
      <c r="K108" s="2"/>
      <c r="L108" s="2"/>
      <c r="M108" s="2"/>
      <c r="N108" s="2"/>
      <c r="O108" s="2"/>
      <c r="P108" s="9"/>
      <c r="Q108" s="2">
        <f>SUM(OSRRefD21_21_0x)+IFERROR(SUM(OSRRefE21_21_0x),0)</f>
        <v>332.21000000000004</v>
      </c>
    </row>
    <row r="109" spans="1:17" s="34" customFormat="1" collapsed="1" x14ac:dyDescent="0.25">
      <c r="A109" s="35"/>
      <c r="B109" s="15" t="str">
        <f>CONCATENATE("     ","Utilities                                         ")</f>
        <v xml:space="preserve">     Utilities                                         </v>
      </c>
      <c r="C109" s="15"/>
      <c r="D109" s="1">
        <f>SUM(OSRRefD21_22x_0)</f>
        <v>2300</v>
      </c>
      <c r="E109" s="1">
        <f>SUM(OSRRefD21_22x_1)</f>
        <v>2300</v>
      </c>
      <c r="F109" s="1">
        <f>SUM(OSRRefD21_22x_2)</f>
        <v>2300</v>
      </c>
      <c r="G109" s="1">
        <f>SUM(OSRRefD21_22x_3)</f>
        <v>-13228</v>
      </c>
      <c r="H109" s="1">
        <f>SUM(OSRRefE21_22x_0)</f>
        <v>3300</v>
      </c>
      <c r="I109" s="1">
        <f>SUM(OSRRefE21_22x_1)</f>
        <v>3300</v>
      </c>
      <c r="J109" s="1">
        <f>SUM(OSRRefE21_22x_2)</f>
        <v>3300</v>
      </c>
      <c r="K109" s="1">
        <f>SUM(OSRRefE21_22x_3)</f>
        <v>3300</v>
      </c>
      <c r="L109" s="1">
        <f>SUM(OSRRefE21_22x_4)</f>
        <v>3300</v>
      </c>
      <c r="M109" s="1">
        <f>SUM(OSRRefE21_22x_5)</f>
        <v>3300</v>
      </c>
      <c r="N109" s="1">
        <f>SUM(OSRRefE21_22x_6)</f>
        <v>3300</v>
      </c>
      <c r="O109" s="1">
        <f>SUM(OSRRefE21_22x_7)</f>
        <v>3300</v>
      </c>
      <c r="Q109" s="2">
        <f>SUM(OSRRefD20_22x)+IFERROR(SUM(OSRRefE20_22x),0)</f>
        <v>20072</v>
      </c>
    </row>
    <row r="110" spans="1:17" s="34" customFormat="1" hidden="1" outlineLevel="1" x14ac:dyDescent="0.25">
      <c r="A110" s="35"/>
      <c r="B110" s="13" t="str">
        <f>CONCATENATE("          ","6274", " - ","UTILITIES")</f>
        <v xml:space="preserve">          6274 - UTILITIES</v>
      </c>
      <c r="C110" s="15"/>
      <c r="D110" s="2">
        <v>2300</v>
      </c>
      <c r="E110" s="2">
        <v>2300</v>
      </c>
      <c r="F110" s="2">
        <v>2300</v>
      </c>
      <c r="G110" s="2">
        <v>-13228</v>
      </c>
      <c r="H110" s="2">
        <v>3300</v>
      </c>
      <c r="I110" s="2">
        <v>3300</v>
      </c>
      <c r="J110" s="2">
        <v>3300</v>
      </c>
      <c r="K110" s="2">
        <v>3300</v>
      </c>
      <c r="L110" s="2">
        <v>3300</v>
      </c>
      <c r="M110" s="2">
        <v>3300</v>
      </c>
      <c r="N110" s="2">
        <v>3300</v>
      </c>
      <c r="O110" s="2">
        <v>3300</v>
      </c>
      <c r="P110" s="9"/>
      <c r="Q110" s="2">
        <f>SUM(OSRRefD21_22_0x)+IFERROR(SUM(OSRRefE21_22_0x),0)</f>
        <v>20072</v>
      </c>
    </row>
    <row r="111" spans="1:17" s="28" customFormat="1" x14ac:dyDescent="0.25">
      <c r="A111" s="20"/>
      <c r="B111" s="20"/>
      <c r="C111" s="20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Q111" s="1"/>
    </row>
    <row r="112" spans="1:17" s="9" customFormat="1" x14ac:dyDescent="0.25">
      <c r="A112" s="22"/>
      <c r="B112" s="16" t="s">
        <v>0</v>
      </c>
      <c r="C112" s="23"/>
      <c r="D112" s="3">
        <f>--2076.54</f>
        <v>2076.54</v>
      </c>
      <c r="E112" s="3">
        <f>--737.85</f>
        <v>737.85</v>
      </c>
      <c r="F112" s="3">
        <f>--805.53</f>
        <v>805.53</v>
      </c>
      <c r="G112" s="3">
        <f>--457.28</f>
        <v>457.28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12000</v>
      </c>
      <c r="Q112" s="2">
        <f>SUM(OSRRefD23_0x)+IFERROR(SUM(OSRRefE23_0x),0)</f>
        <v>16077.2</v>
      </c>
    </row>
    <row r="113" spans="1:17" x14ac:dyDescent="0.25">
      <c r="A113" s="5"/>
      <c r="B113" s="8"/>
      <c r="C113" s="8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s="14" customFormat="1" x14ac:dyDescent="0.25">
      <c r="A114" s="8"/>
      <c r="B114" s="17" t="s">
        <v>3</v>
      </c>
      <c r="C114" s="17"/>
      <c r="D114" s="6">
        <f t="shared" ref="D114:O114" si="7">IFERROR(+D23-D26+D112, 0)</f>
        <v>-124073.70000000003</v>
      </c>
      <c r="E114" s="6">
        <f t="shared" si="7"/>
        <v>-83625.709999999992</v>
      </c>
      <c r="F114" s="6">
        <f t="shared" si="7"/>
        <v>-110107.33000000002</v>
      </c>
      <c r="G114" s="6">
        <f t="shared" si="7"/>
        <v>-79392.160000000003</v>
      </c>
      <c r="H114" s="6">
        <f t="shared" si="7"/>
        <v>-98461.064052784612</v>
      </c>
      <c r="I114" s="6">
        <f t="shared" si="7"/>
        <v>-90549.200821538456</v>
      </c>
      <c r="J114" s="6">
        <f t="shared" si="7"/>
        <v>-108151.90510259615</v>
      </c>
      <c r="K114" s="6">
        <f t="shared" si="7"/>
        <v>-101079.06405278461</v>
      </c>
      <c r="L114" s="6">
        <f t="shared" si="7"/>
        <v>-97493.139089400007</v>
      </c>
      <c r="M114" s="6">
        <f t="shared" si="7"/>
        <v>-105077.83006598076</v>
      </c>
      <c r="N114" s="6">
        <f t="shared" si="7"/>
        <v>-97876.139089400007</v>
      </c>
      <c r="O114" s="6">
        <f t="shared" si="7"/>
        <v>-85619.100266169233</v>
      </c>
      <c r="Q114" s="6">
        <f>IFERROR(+Q23-Q26+Q112, 0)</f>
        <v>-1181506.3425406539</v>
      </c>
    </row>
    <row r="115" spans="1:17" s="8" customFormat="1" x14ac:dyDescent="0.25">
      <c r="B115" s="16"/>
      <c r="C115" s="16"/>
      <c r="D115" s="4">
        <f t="shared" ref="D115:O115" si="8">IFERROR(D114/D10, 0)</f>
        <v>-127.26682462996587</v>
      </c>
      <c r="E115" s="4">
        <f t="shared" si="8"/>
        <v>-17.721291222181254</v>
      </c>
      <c r="F115" s="4">
        <f t="shared" si="8"/>
        <v>-12.688611548057368</v>
      </c>
      <c r="G115" s="4">
        <f t="shared" si="8"/>
        <v>-1.8242306569946853</v>
      </c>
      <c r="H115" s="4">
        <f t="shared" si="8"/>
        <v>-19.118653214132934</v>
      </c>
      <c r="I115" s="4">
        <f t="shared" si="8"/>
        <v>-19.472946413234077</v>
      </c>
      <c r="J115" s="4">
        <f t="shared" si="8"/>
        <v>-27.731257718614398</v>
      </c>
      <c r="K115" s="4">
        <f t="shared" si="8"/>
        <v>-23.783309188890495</v>
      </c>
      <c r="L115" s="4">
        <f t="shared" si="8"/>
        <v>-15.056855457822396</v>
      </c>
      <c r="M115" s="4">
        <f t="shared" si="8"/>
        <v>-12.814369520241556</v>
      </c>
      <c r="N115" s="4">
        <f t="shared" si="8"/>
        <v>-18.467196054603775</v>
      </c>
      <c r="O115" s="4">
        <f t="shared" si="8"/>
        <v>-15.567109139303497</v>
      </c>
      <c r="P115" s="18"/>
      <c r="Q115" s="4">
        <f>IFERROR(Q114/Q10, 0)</f>
        <v>-11.661435671865384</v>
      </c>
    </row>
    <row r="116" spans="1:17" x14ac:dyDescent="0.25">
      <c r="A116" s="5"/>
      <c r="B116" s="8"/>
      <c r="C116" s="5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s="14" customFormat="1" x14ac:dyDescent="0.25">
      <c r="A117" s="25"/>
      <c r="B117" s="8" t="s">
        <v>8</v>
      </c>
      <c r="C117" s="8"/>
      <c r="D117" s="3">
        <v>468.88</v>
      </c>
      <c r="E117" s="3">
        <v>492.45</v>
      </c>
      <c r="F117" s="3">
        <v>1701.07</v>
      </c>
      <c r="G117" s="3">
        <v>9878.35</v>
      </c>
      <c r="H117" s="3">
        <v>3695</v>
      </c>
      <c r="I117" s="3">
        <v>3142</v>
      </c>
      <c r="J117" s="3">
        <v>2652</v>
      </c>
      <c r="K117" s="3">
        <v>8532</v>
      </c>
      <c r="L117" s="3">
        <v>6259</v>
      </c>
      <c r="M117" s="3">
        <v>3635</v>
      </c>
      <c r="N117" s="3">
        <v>3145</v>
      </c>
      <c r="O117" s="3">
        <v>-1644</v>
      </c>
      <c r="Q117" s="2">
        <f>SUM(OSRRefD28_0x)+IFERROR(SUM(OSRRefE28_0x),0)</f>
        <v>41956.75</v>
      </c>
    </row>
    <row r="118" spans="1:17" x14ac:dyDescent="0.25">
      <c r="A118" s="5"/>
      <c r="B118" s="8"/>
      <c r="C118" s="8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Q118" s="3"/>
    </row>
    <row r="119" spans="1:17" s="14" customFormat="1" ht="15.75" thickBot="1" x14ac:dyDescent="0.3">
      <c r="A119" s="8"/>
      <c r="B119" s="17" t="s">
        <v>4</v>
      </c>
      <c r="C119" s="17"/>
      <c r="D119" s="7">
        <f t="shared" ref="D119:O119" si="9">IFERROR(+D114-D117, 0)</f>
        <v>-124542.58000000003</v>
      </c>
      <c r="E119" s="7">
        <f t="shared" si="9"/>
        <v>-84118.159999999989</v>
      </c>
      <c r="F119" s="7">
        <f t="shared" si="9"/>
        <v>-111808.40000000002</v>
      </c>
      <c r="G119" s="7">
        <f t="shared" si="9"/>
        <v>-89270.510000000009</v>
      </c>
      <c r="H119" s="7">
        <f t="shared" si="9"/>
        <v>-102156.06405278461</v>
      </c>
      <c r="I119" s="7">
        <f t="shared" si="9"/>
        <v>-93691.200821538456</v>
      </c>
      <c r="J119" s="7">
        <f t="shared" si="9"/>
        <v>-110803.90510259615</v>
      </c>
      <c r="K119" s="7">
        <f t="shared" si="9"/>
        <v>-109611.06405278461</v>
      </c>
      <c r="L119" s="7">
        <f t="shared" si="9"/>
        <v>-103752.13908940001</v>
      </c>
      <c r="M119" s="7">
        <f t="shared" si="9"/>
        <v>-108712.83006598076</v>
      </c>
      <c r="N119" s="7">
        <f t="shared" si="9"/>
        <v>-101021.13908940001</v>
      </c>
      <c r="O119" s="7">
        <f t="shared" si="9"/>
        <v>-83975.100266169233</v>
      </c>
      <c r="Q119" s="7">
        <f>IFERROR(+Q114-Q117, 0)</f>
        <v>-1223463.0925406539</v>
      </c>
    </row>
    <row r="120" spans="1:17" ht="15.75" thickTop="1" x14ac:dyDescent="0.25">
      <c r="A120" s="5"/>
      <c r="B120" s="5"/>
      <c r="C120" s="5"/>
      <c r="D120" s="4">
        <f t="shared" ref="D120:O120" si="10">IFERROR(D119/D10, 0)</f>
        <v>-127.74777158917237</v>
      </c>
      <c r="E120" s="4">
        <f t="shared" si="10"/>
        <v>-17.825647285195402</v>
      </c>
      <c r="F120" s="4">
        <f t="shared" si="10"/>
        <v>-12.884640426843676</v>
      </c>
      <c r="G120" s="4">
        <f t="shared" si="10"/>
        <v>-2.0512101082468424</v>
      </c>
      <c r="H120" s="4">
        <f t="shared" si="10"/>
        <v>-19.836128942288273</v>
      </c>
      <c r="I120" s="4">
        <f t="shared" si="10"/>
        <v>-20.148645337965259</v>
      </c>
      <c r="J120" s="4">
        <f t="shared" si="10"/>
        <v>-28.411257718614397</v>
      </c>
      <c r="K120" s="4">
        <f t="shared" si="10"/>
        <v>-25.790838600655203</v>
      </c>
      <c r="L120" s="4">
        <f t="shared" si="10"/>
        <v>-16.023496384463321</v>
      </c>
      <c r="M120" s="4">
        <f t="shared" si="10"/>
        <v>-13.257662203168385</v>
      </c>
      <c r="N120" s="4">
        <f t="shared" si="10"/>
        <v>-19.06059228101887</v>
      </c>
      <c r="O120" s="4">
        <f t="shared" si="10"/>
        <v>-15.268200048394405</v>
      </c>
      <c r="P120" s="18"/>
      <c r="Q120" s="4">
        <f>IFERROR(Q119/Q10, 0)</f>
        <v>-12.075547660526759</v>
      </c>
    </row>
    <row r="121" spans="1:17" x14ac:dyDescent="0.25">
      <c r="A121" s="5"/>
      <c r="B121" s="5"/>
      <c r="C121" s="5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x14ac:dyDescent="0.25">
      <c r="A122" s="5"/>
      <c r="B122" s="5"/>
      <c r="C122" s="5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s="14" customFormat="1" ht="15.75" thickBot="1" x14ac:dyDescent="0.3">
      <c r="A123" s="8"/>
      <c r="B123" s="17" t="s">
        <v>5</v>
      </c>
      <c r="C123" s="17"/>
      <c r="D123" s="7">
        <f t="shared" ref="D123:O123" si="11">IFERROR(SUM(D119:D122), 0)</f>
        <v>-124670.3277715892</v>
      </c>
      <c r="E123" s="7">
        <f t="shared" si="11"/>
        <v>-84135.985647285182</v>
      </c>
      <c r="F123" s="7">
        <f t="shared" si="11"/>
        <v>-111821.28464042686</v>
      </c>
      <c r="G123" s="7">
        <f t="shared" si="11"/>
        <v>-89272.561210108252</v>
      </c>
      <c r="H123" s="7">
        <f t="shared" si="11"/>
        <v>-102175.9001817269</v>
      </c>
      <c r="I123" s="7">
        <f t="shared" si="11"/>
        <v>-93711.349466876418</v>
      </c>
      <c r="J123" s="7">
        <f t="shared" si="11"/>
        <v>-110832.31636031477</v>
      </c>
      <c r="K123" s="7">
        <f t="shared" si="11"/>
        <v>-109636.85489138527</v>
      </c>
      <c r="L123" s="7">
        <f t="shared" si="11"/>
        <v>-103768.16258578448</v>
      </c>
      <c r="M123" s="7">
        <f t="shared" si="11"/>
        <v>-108726.08772818392</v>
      </c>
      <c r="N123" s="7">
        <f t="shared" si="11"/>
        <v>-101040.19968168103</v>
      </c>
      <c r="O123" s="7">
        <f t="shared" si="11"/>
        <v>-83990.368466217624</v>
      </c>
      <c r="Q123" s="7">
        <f>IFERROR(SUM(Q119:Q122), 0)</f>
        <v>-1223475.1680883144</v>
      </c>
    </row>
    <row r="124" spans="1:17" ht="15.75" thickTop="1" x14ac:dyDescent="0.25">
      <c r="A124" s="5"/>
      <c r="C124" s="5"/>
      <c r="D124" s="4">
        <f t="shared" ref="D124:O124" si="12">IFERROR(D123/D10, 0)</f>
        <v>-127.87880704022854</v>
      </c>
      <c r="E124" s="4">
        <f t="shared" si="12"/>
        <v>-17.82942475371274</v>
      </c>
      <c r="F124" s="4">
        <f t="shared" si="12"/>
        <v>-12.886125234415639</v>
      </c>
      <c r="G124" s="4">
        <f t="shared" si="12"/>
        <v>-2.0512572398573616</v>
      </c>
      <c r="H124" s="4">
        <f t="shared" si="12"/>
        <v>-19.839980617811047</v>
      </c>
      <c r="I124" s="4">
        <f t="shared" si="12"/>
        <v>-20.152978379973423</v>
      </c>
      <c r="J124" s="4">
        <f t="shared" si="12"/>
        <v>-28.418542656490967</v>
      </c>
      <c r="K124" s="4">
        <f t="shared" si="12"/>
        <v>-25.796907033267122</v>
      </c>
      <c r="L124" s="4">
        <f t="shared" si="12"/>
        <v>-16.025971055719609</v>
      </c>
      <c r="M124" s="4">
        <f t="shared" si="12"/>
        <v>-13.259278991241942</v>
      </c>
      <c r="N124" s="4">
        <f t="shared" si="12"/>
        <v>-19.064188619185099</v>
      </c>
      <c r="O124" s="4">
        <f t="shared" si="12"/>
        <v>-15.27097608476684</v>
      </c>
      <c r="P124" s="18"/>
      <c r="Q124" s="4">
        <f>IFERROR(Q123/Q10, 0)</f>
        <v>-12.075666845855837</v>
      </c>
    </row>
    <row r="125" spans="1:17" x14ac:dyDescent="0.25">
      <c r="A125" s="5"/>
      <c r="B125" s="26">
        <v>44151.564666932871</v>
      </c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Q125" s="12"/>
    </row>
    <row r="126" spans="1:17" x14ac:dyDescent="0.25">
      <c r="A126" s="5"/>
      <c r="B126" s="30" t="s">
        <v>311</v>
      </c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Q126" s="12"/>
    </row>
    <row r="127" spans="1:17" x14ac:dyDescent="0.25">
      <c r="A127" s="5"/>
      <c r="B127" s="31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Q127" s="12"/>
    </row>
    <row r="128" spans="1:17" x14ac:dyDescent="0.25"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Q128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0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","405", " - ", "Library Starbucks")</f>
        <v>Department 405 - Library Starbucks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SUM(OSRRefE11x_0)</f>
        <v>0</v>
      </c>
      <c r="I10" s="3">
        <f>SUM(OSRRefE11x_1)</f>
        <v>0</v>
      </c>
      <c r="J10" s="3">
        <f>SUM(OSRRefE11x_2)</f>
        <v>0</v>
      </c>
      <c r="K10" s="3">
        <f>SUM(OSRRefE11x_3)</f>
        <v>0</v>
      </c>
      <c r="L10" s="3">
        <f>SUM(OSRRefE11x_4)</f>
        <v>0</v>
      </c>
      <c r="M10" s="3">
        <f>SUM(OSRRefE11x_5)</f>
        <v>0</v>
      </c>
      <c r="N10" s="3">
        <f>SUM(OSRRefE11x_6)</f>
        <v>0</v>
      </c>
      <c r="O10" s="3">
        <f>SUM(OSRRefE11x_7)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G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2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Q12" s="2">
        <f>SUM(OSRRefD11_1x)+IFERROR(SUM(OSRRefE11_1x),0)</f>
        <v>0</v>
      </c>
    </row>
    <row r="13" spans="1:18" x14ac:dyDescent="0.2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290</v>
      </c>
      <c r="C14" s="23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SUM(OSRRefE14x_0)</f>
        <v>0</v>
      </c>
      <c r="I14" s="3">
        <f>SUM(OSRRefE14x_1)</f>
        <v>0</v>
      </c>
      <c r="J14" s="3">
        <f>SUM(OSRRefE14x_2)</f>
        <v>0</v>
      </c>
      <c r="K14" s="3">
        <f>SUM(OSRRefE14x_3)</f>
        <v>0</v>
      </c>
      <c r="L14" s="3">
        <f>SUM(OSRRefE14x_4)</f>
        <v>0</v>
      </c>
      <c r="M14" s="3">
        <f>SUM(OSRRefE14x_5)</f>
        <v>0</v>
      </c>
      <c r="N14" s="3">
        <f>SUM(OSRRefE14x_6)</f>
        <v>0</v>
      </c>
      <c r="O14" s="3">
        <f>SUM(OSRRefE14x_7)</f>
        <v>0</v>
      </c>
      <c r="Q14" s="3">
        <f>SUM(OSRRefG14x)</f>
        <v>0</v>
      </c>
    </row>
    <row r="15" spans="1:18" s="9" customFormat="1" hidden="1" outlineLevel="1" x14ac:dyDescent="0.25">
      <c r="A15" s="22"/>
      <c r="B15" s="13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Q15" s="2">
        <f>SUM(OSRRefD14_0x)+IFERROR(SUM(OSRRefE14_0x),0)</f>
        <v>0</v>
      </c>
    </row>
    <row r="16" spans="1:18" x14ac:dyDescent="0.25">
      <c r="A16" s="5"/>
      <c r="B16" s="8"/>
      <c r="C16" s="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4" customFormat="1" x14ac:dyDescent="0.25">
      <c r="A17" s="8"/>
      <c r="B17" s="17" t="s">
        <v>6</v>
      </c>
      <c r="C17" s="17"/>
      <c r="D17" s="6">
        <f t="shared" ref="D17:O17" si="1">IFERROR(+D10-D14, 0)</f>
        <v>0</v>
      </c>
      <c r="E17" s="6">
        <f t="shared" si="1"/>
        <v>0</v>
      </c>
      <c r="F17" s="6">
        <f t="shared" si="1"/>
        <v>0</v>
      </c>
      <c r="G17" s="6">
        <f t="shared" si="1"/>
        <v>0</v>
      </c>
      <c r="H17" s="6">
        <f t="shared" si="1"/>
        <v>0</v>
      </c>
      <c r="I17" s="6">
        <f t="shared" si="1"/>
        <v>0</v>
      </c>
      <c r="J17" s="6">
        <f t="shared" si="1"/>
        <v>0</v>
      </c>
      <c r="K17" s="6">
        <f t="shared" si="1"/>
        <v>0</v>
      </c>
      <c r="L17" s="6">
        <f t="shared" si="1"/>
        <v>0</v>
      </c>
      <c r="M17" s="6">
        <f t="shared" si="1"/>
        <v>0</v>
      </c>
      <c r="N17" s="6">
        <f t="shared" si="1"/>
        <v>0</v>
      </c>
      <c r="O17" s="6">
        <f t="shared" si="1"/>
        <v>0</v>
      </c>
      <c r="Q17" s="6">
        <f>IFERROR(+Q10-Q14, 0)</f>
        <v>0</v>
      </c>
    </row>
    <row r="18" spans="1:17" s="8" customFormat="1" x14ac:dyDescent="0.25">
      <c r="B18" s="16"/>
      <c r="C18" s="16"/>
      <c r="D18" s="4">
        <f t="shared" ref="D18:O18" si="2">IFERROR(D17/D10, 0)</f>
        <v>0</v>
      </c>
      <c r="E18" s="4">
        <f t="shared" si="2"/>
        <v>0</v>
      </c>
      <c r="F18" s="4">
        <f t="shared" si="2"/>
        <v>0</v>
      </c>
      <c r="G18" s="4">
        <f t="shared" si="2"/>
        <v>0</v>
      </c>
      <c r="H18" s="4">
        <f t="shared" si="2"/>
        <v>0</v>
      </c>
      <c r="I18" s="4">
        <f t="shared" si="2"/>
        <v>0</v>
      </c>
      <c r="J18" s="4">
        <f t="shared" si="2"/>
        <v>0</v>
      </c>
      <c r="K18" s="4">
        <f t="shared" si="2"/>
        <v>0</v>
      </c>
      <c r="L18" s="4">
        <f t="shared" si="2"/>
        <v>0</v>
      </c>
      <c r="M18" s="4">
        <f t="shared" si="2"/>
        <v>0</v>
      </c>
      <c r="N18" s="4">
        <f t="shared" si="2"/>
        <v>0</v>
      </c>
      <c r="O18" s="4">
        <f t="shared" si="2"/>
        <v>0</v>
      </c>
      <c r="P18" s="18"/>
      <c r="Q18" s="4">
        <f>IFERROR(Q17/Q10, 0)</f>
        <v>0</v>
      </c>
    </row>
    <row r="19" spans="1:17" x14ac:dyDescent="0.25">
      <c r="A19" s="5"/>
      <c r="B19" s="8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4" customFormat="1" x14ac:dyDescent="0.25">
      <c r="A20" s="8"/>
      <c r="B20" s="16" t="s">
        <v>291</v>
      </c>
      <c r="C20" s="8"/>
      <c r="D20" s="10">
        <f>SUM(OSRRefD20x_0)</f>
        <v>6467.6</v>
      </c>
      <c r="E20" s="10">
        <f>SUM(OSRRefD20x_1)</f>
        <v>4682.1000000000004</v>
      </c>
      <c r="F20" s="10">
        <f>SUM(OSRRefD20x_2)</f>
        <v>11248.7</v>
      </c>
      <c r="G20" s="10">
        <f>SUM(OSRRefD20x_3)</f>
        <v>5704.4400000000005</v>
      </c>
      <c r="H20" s="10">
        <f>SUM(OSRRefE20x_0)</f>
        <v>7176</v>
      </c>
      <c r="I20" s="10">
        <f>SUM(OSRRefE20x_1)</f>
        <v>7176</v>
      </c>
      <c r="J20" s="10">
        <f>SUM(OSRRefE20x_2)</f>
        <v>7176</v>
      </c>
      <c r="K20" s="10">
        <f>SUM(OSRRefE20x_3)</f>
        <v>7176</v>
      </c>
      <c r="L20" s="10">
        <f>SUM(OSRRefE20x_4)</f>
        <v>7176</v>
      </c>
      <c r="M20" s="10">
        <f>SUM(OSRRefE20x_5)</f>
        <v>7176</v>
      </c>
      <c r="N20" s="10">
        <f>SUM(OSRRefE20x_6)</f>
        <v>7176</v>
      </c>
      <c r="O20" s="10">
        <f>SUM(OSRRefE20x_7)</f>
        <v>7176</v>
      </c>
      <c r="Q20" s="10">
        <f>SUM(OSRRefG20x)</f>
        <v>85510.84</v>
      </c>
    </row>
    <row r="21" spans="1:17" s="34" customFormat="1" collapsed="1" x14ac:dyDescent="0.25">
      <c r="A21" s="35"/>
      <c r="B21" s="15" t="str">
        <f>CONCATENATE("     ","*Benefits                                         ")</f>
        <v xml:space="preserve">     *Benefits                                         </v>
      </c>
      <c r="C21" s="15"/>
      <c r="D21" s="1">
        <f>SUM(OSRRefD21_0x_0)</f>
        <v>0</v>
      </c>
      <c r="E21" s="1">
        <f>SUM(OSRRefD21_0x_1)</f>
        <v>0</v>
      </c>
      <c r="F21" s="1">
        <f>SUM(OSRRefD21_0x_2)</f>
        <v>0</v>
      </c>
      <c r="G21" s="1">
        <f>SUM(OSRRefD21_0x_3)</f>
        <v>0</v>
      </c>
      <c r="H21" s="1">
        <f>SUM(OSRRefE21_0x_0)</f>
        <v>0</v>
      </c>
      <c r="I21" s="1">
        <f>SUM(OSRRefE21_0x_1)</f>
        <v>0</v>
      </c>
      <c r="J21" s="1">
        <f>SUM(OSRRefE21_0x_2)</f>
        <v>0</v>
      </c>
      <c r="K21" s="1">
        <f>SUM(OSRRefE21_0x_3)</f>
        <v>0</v>
      </c>
      <c r="L21" s="1">
        <f>SUM(OSRRefE21_0x_4)</f>
        <v>0</v>
      </c>
      <c r="M21" s="1">
        <f>SUM(OSRRefE21_0x_5)</f>
        <v>0</v>
      </c>
      <c r="N21" s="1">
        <f>SUM(OSRRefE21_0x_6)</f>
        <v>0</v>
      </c>
      <c r="O21" s="1">
        <f>SUM(OSRRefE21_0x_7)</f>
        <v>0</v>
      </c>
      <c r="Q21" s="2">
        <f>SUM(OSRRefD20_0x)+IFERROR(SUM(OSRRefE20_0x),0)</f>
        <v>0</v>
      </c>
    </row>
    <row r="22" spans="1:17" s="34" customFormat="1" hidden="1" outlineLevel="1" x14ac:dyDescent="0.25">
      <c r="A22" s="35"/>
      <c r="B22" s="13" t="str">
        <f>CONCATENATE("          ","6111", " - ","F.I.C.A.")</f>
        <v xml:space="preserve">          6111 - F.I.C.A.</v>
      </c>
      <c r="C22" s="15"/>
      <c r="D22" s="2"/>
      <c r="E22" s="2"/>
      <c r="F22" s="2"/>
      <c r="G22" s="2"/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SUM(OSRRefD21_0_0x)+IFERROR(SUM(OSRRefE21_0_0x),0)</f>
        <v>0</v>
      </c>
    </row>
    <row r="23" spans="1:17" s="34" customFormat="1" hidden="1" outlineLevel="1" x14ac:dyDescent="0.25">
      <c r="A23" s="35"/>
      <c r="B23" s="13" t="str">
        <f>CONCATENATE("          ","6112", " - ","COMPENSATION INSURANCE")</f>
        <v xml:space="preserve">          6112 - COMPENSATION INSURANCE</v>
      </c>
      <c r="C23" s="15"/>
      <c r="D23" s="2"/>
      <c r="E23" s="2"/>
      <c r="F23" s="2"/>
      <c r="G23" s="2"/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SUM(OSRRefD21_0_1x)+IFERROR(SUM(OSRRefE21_0_1x),0)</f>
        <v>0</v>
      </c>
    </row>
    <row r="24" spans="1:17" s="34" customFormat="1" hidden="1" outlineLevel="1" x14ac:dyDescent="0.25">
      <c r="A24" s="35"/>
      <c r="B24" s="13" t="str">
        <f>CONCATENATE("          ","6113", " - ","GROUP INSURANCE")</f>
        <v xml:space="preserve">          6113 - GROUP INSURANCE</v>
      </c>
      <c r="C24" s="15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SUM(OSRRefD21_0_2x)+IFERROR(SUM(OSRRefE21_0_2x),0)</f>
        <v>0</v>
      </c>
    </row>
    <row r="25" spans="1:17" s="34" customFormat="1" hidden="1" outlineLevel="1" x14ac:dyDescent="0.25">
      <c r="A25" s="35"/>
      <c r="B25" s="13" t="str">
        <f>CONCATENATE("          ","6114", " - ","STATE UNEMPLOYMENT INSURANCE")</f>
        <v xml:space="preserve">          6114 - STATE UNEMPLOYMENT INSURANCE</v>
      </c>
      <c r="C25" s="15"/>
      <c r="D25" s="2"/>
      <c r="E25" s="2"/>
      <c r="F25" s="2"/>
      <c r="G25" s="2"/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SUM(OSRRefD21_0_3x)+IFERROR(SUM(OSRRefE21_0_3x),0)</f>
        <v>0</v>
      </c>
    </row>
    <row r="26" spans="1:17" s="34" customFormat="1" hidden="1" outlineLevel="1" x14ac:dyDescent="0.25">
      <c r="A26" s="35"/>
      <c r="B26" s="13" t="str">
        <f>CONCATENATE("          ","6115", " - ","P.E.R.S.")</f>
        <v xml:space="preserve">          6115 - P.E.R.S.</v>
      </c>
      <c r="C26" s="15"/>
      <c r="D26" s="2"/>
      <c r="E26" s="2"/>
      <c r="F26" s="2"/>
      <c r="G26" s="2"/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SUM(OSRRefD21_0_4x)+IFERROR(SUM(OSRRefE21_0_4x),0)</f>
        <v>0</v>
      </c>
    </row>
    <row r="27" spans="1:17" s="34" customFormat="1" hidden="1" outlineLevel="1" x14ac:dyDescent="0.25">
      <c r="A27" s="35"/>
      <c r="B27" s="13" t="str">
        <f>CONCATENATE("          ","6116", " - ","EDUCATIONAL BENEFITS")</f>
        <v xml:space="preserve">          6116 - EDUCATIONAL BENEFITS</v>
      </c>
      <c r="C27" s="15"/>
      <c r="D27" s="2"/>
      <c r="E27" s="2"/>
      <c r="F27" s="2"/>
      <c r="G27" s="2"/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4" customFormat="1" hidden="1" outlineLevel="1" x14ac:dyDescent="0.25">
      <c r="A28" s="35"/>
      <c r="B28" s="13" t="str">
        <f>CONCATENATE("          ","6118", " - ","VACATION")</f>
        <v xml:space="preserve">          6118 - VACATION</v>
      </c>
      <c r="C28" s="15"/>
      <c r="D28" s="2"/>
      <c r="E28" s="2"/>
      <c r="F28" s="2"/>
      <c r="G28" s="2"/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SUM(OSRRefD21_0_6x)+IFERROR(SUM(OSRRefE21_0_6x),0)</f>
        <v>0</v>
      </c>
    </row>
    <row r="29" spans="1:17" s="34" customFormat="1" hidden="1" outlineLevel="1" x14ac:dyDescent="0.25">
      <c r="A29" s="35"/>
      <c r="B29" s="13" t="str">
        <f>CONCATENATE("          ","6119", " - ","SICK LEAVE")</f>
        <v xml:space="preserve">          6119 - SICK LEAVE</v>
      </c>
      <c r="C29" s="15"/>
      <c r="D29" s="2"/>
      <c r="E29" s="2"/>
      <c r="F29" s="2"/>
      <c r="G29" s="2"/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SUM(OSRRefD21_0_7x)+IFERROR(SUM(OSRRefE21_0_7x),0)</f>
        <v>0</v>
      </c>
    </row>
    <row r="30" spans="1:17" s="34" customFormat="1" collapsed="1" x14ac:dyDescent="0.25">
      <c r="A30" s="35"/>
      <c r="B30" s="15" t="str">
        <f>CONCATENATE("     ","*Payroll                                          ")</f>
        <v xml:space="preserve">     *Payroll                                          </v>
      </c>
      <c r="C30" s="15"/>
      <c r="D30" s="1">
        <f>SUM(OSRRefD21_1x_0)</f>
        <v>0</v>
      </c>
      <c r="E30" s="1">
        <f>SUM(OSRRefD21_1x_1)</f>
        <v>0</v>
      </c>
      <c r="F30" s="1">
        <f>SUM(OSRRefD21_1x_2)</f>
        <v>0</v>
      </c>
      <c r="G30" s="1">
        <f>SUM(OSRRefD21_1x_3)</f>
        <v>0</v>
      </c>
      <c r="H30" s="1">
        <f>SUM(OSRRefE21_1x_0)</f>
        <v>0</v>
      </c>
      <c r="I30" s="1">
        <f>SUM(OSRRefE21_1x_1)</f>
        <v>0</v>
      </c>
      <c r="J30" s="1">
        <f>SUM(OSRRefE21_1x_2)</f>
        <v>0</v>
      </c>
      <c r="K30" s="1">
        <f>SUM(OSRRefE21_1x_3)</f>
        <v>0</v>
      </c>
      <c r="L30" s="1">
        <f>SUM(OSRRefE21_1x_4)</f>
        <v>0</v>
      </c>
      <c r="M30" s="1">
        <f>SUM(OSRRefE21_1x_5)</f>
        <v>0</v>
      </c>
      <c r="N30" s="1">
        <f>SUM(OSRRefE21_1x_6)</f>
        <v>0</v>
      </c>
      <c r="O30" s="1">
        <f>SUM(OSRRefE21_1x_7)</f>
        <v>0</v>
      </c>
      <c r="Q30" s="2">
        <f>SUM(OSRRefD20_1x)+IFERROR(SUM(OSRRefE20_1x),0)</f>
        <v>0</v>
      </c>
    </row>
    <row r="31" spans="1:17" s="34" customFormat="1" hidden="1" outlineLevel="1" x14ac:dyDescent="0.25">
      <c r="A31" s="35"/>
      <c r="B31" s="13" t="str">
        <f>CONCATENATE("          ","6001", " - ","ADMINISTRATIVE SALARIES")</f>
        <v xml:space="preserve">          6001 - ADMINISTRATIVE SALARIES</v>
      </c>
      <c r="C31" s="15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SUM(OSRRefD21_1_0x)+IFERROR(SUM(OSRRefE21_1_0x),0)</f>
        <v>0</v>
      </c>
    </row>
    <row r="32" spans="1:17" s="34" customFormat="1" hidden="1" outlineLevel="1" x14ac:dyDescent="0.25">
      <c r="A32" s="35"/>
      <c r="B32" s="13" t="str">
        <f>CONCATENATE("          ","6002", " - ","STAFF SALARIES")</f>
        <v xml:space="preserve">          6002 - STAFF SALARIES</v>
      </c>
      <c r="C32" s="15"/>
      <c r="D32" s="2"/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SUM(OSRRefD21_1_1x)+IFERROR(SUM(OSRRefE21_1_1x),0)</f>
        <v>0</v>
      </c>
    </row>
    <row r="33" spans="1:17" s="34" customFormat="1" hidden="1" outlineLevel="1" x14ac:dyDescent="0.25">
      <c r="A33" s="35"/>
      <c r="B33" s="13" t="str">
        <f>CONCATENATE("          ","6003", " - ","STAFF HOURLY-9 MONTH")</f>
        <v xml:space="preserve">          6003 - STAFF HOURLY-9 MONTH</v>
      </c>
      <c r="C33" s="15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4" customFormat="1" hidden="1" outlineLevel="1" x14ac:dyDescent="0.25">
      <c r="A34" s="35"/>
      <c r="B34" s="13" t="str">
        <f>CONCATENATE("          ","6004", " - ","STAFF HOURLY")</f>
        <v xml:space="preserve">          6004 - STAFF HOURLY</v>
      </c>
      <c r="C34" s="15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SUM(OSRRefD21_1_3x)+IFERROR(SUM(OSRRefE21_1_3x),0)</f>
        <v>0</v>
      </c>
    </row>
    <row r="35" spans="1:17" s="34" customFormat="1" hidden="1" outlineLevel="1" x14ac:dyDescent="0.25">
      <c r="A35" s="35"/>
      <c r="B35" s="13" t="str">
        <f>CONCATENATE("          ","6005", " - ","TEMPORARY WAGES-HOURLY")</f>
        <v xml:space="preserve">          6005 - TEMPORARY WAGES-HOURLY</v>
      </c>
      <c r="C35" s="15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0</v>
      </c>
    </row>
    <row r="36" spans="1:17" s="34" customFormat="1" hidden="1" outlineLevel="1" x14ac:dyDescent="0.25">
      <c r="A36" s="35"/>
      <c r="B36" s="13" t="str">
        <f>CONCATENATE("          ","6006", " - ","TEMPORARY PART TIME")</f>
        <v xml:space="preserve">          6006 - TEMPORARY PART TIME</v>
      </c>
      <c r="C36" s="15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4" customFormat="1" hidden="1" outlineLevel="1" x14ac:dyDescent="0.25">
      <c r="A37" s="35"/>
      <c r="B37" s="13" t="str">
        <f>CONCATENATE("          ","6007", " - ","STUDENT HOURLY")</f>
        <v xml:space="preserve">          6007 - STUDENT HOURLY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SUM(OSRRefD21_1_6x)+IFERROR(SUM(OSRRefE21_1_6x),0)</f>
        <v>0</v>
      </c>
    </row>
    <row r="38" spans="1:17" s="34" customFormat="1" hidden="1" outlineLevel="1" x14ac:dyDescent="0.25">
      <c r="A38" s="35"/>
      <c r="B38" s="13" t="str">
        <f>CONCATENATE("          ","6008", " - ","STUDENT HOURLY-FICA EXEMPT")</f>
        <v xml:space="preserve">          6008 - STUDENT HOURLY-FICA EXEMPT</v>
      </c>
      <c r="C38" s="15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SUM(OSRRefD21_1_7x)+IFERROR(SUM(OSRRefE21_1_7x),0)</f>
        <v>0</v>
      </c>
    </row>
    <row r="39" spans="1:17" s="34" customFormat="1" hidden="1" outlineLevel="1" x14ac:dyDescent="0.25">
      <c r="A39" s="35"/>
      <c r="B39" s="13" t="str">
        <f>CONCATENATE("          ","6009", " - ","TEMPORARY-SEASONAL")</f>
        <v xml:space="preserve">          6009 - TEMPORARY-SEASONAL</v>
      </c>
      <c r="C39" s="15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4" customFormat="1" hidden="1" outlineLevel="1" x14ac:dyDescent="0.25">
      <c r="A40" s="35"/>
      <c r="B40" s="13" t="str">
        <f>CONCATENATE("          ","6010", " - ","GRATUITY")</f>
        <v xml:space="preserve">          6010 - GRATUITY</v>
      </c>
      <c r="C40" s="15"/>
      <c r="D40" s="2"/>
      <c r="E40" s="2"/>
      <c r="F40" s="2"/>
      <c r="G40" s="2"/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4" customFormat="1" collapsed="1" x14ac:dyDescent="0.25">
      <c r="A41" s="35"/>
      <c r="B41" s="15" t="str">
        <f>CONCATENATE("     ","Bad Debts/Over/Short                              ")</f>
        <v xml:space="preserve">     Bad Debts/Over/Short                              </v>
      </c>
      <c r="C41" s="15"/>
      <c r="D41" s="1">
        <f>SUM(OSRRefD21_2x_0)</f>
        <v>0</v>
      </c>
      <c r="E41" s="1">
        <f>SUM(OSRRefD21_2x_1)</f>
        <v>0</v>
      </c>
      <c r="F41" s="1">
        <f>SUM(OSRRefD21_2x_2)</f>
        <v>0</v>
      </c>
      <c r="G41" s="1">
        <f>SUM(OSRRefD21_2x_3)</f>
        <v>0</v>
      </c>
      <c r="H41" s="1">
        <f>SUM(OSRRefE21_2x_0)</f>
        <v>0</v>
      </c>
      <c r="I41" s="1">
        <f>SUM(OSRRefE21_2x_1)</f>
        <v>0</v>
      </c>
      <c r="J41" s="1">
        <f>SUM(OSRRefE21_2x_2)</f>
        <v>0</v>
      </c>
      <c r="K41" s="1">
        <f>SUM(OSRRefE21_2x_3)</f>
        <v>0</v>
      </c>
      <c r="L41" s="1">
        <f>SUM(OSRRefE21_2x_4)</f>
        <v>0</v>
      </c>
      <c r="M41" s="1">
        <f>SUM(OSRRefE21_2x_5)</f>
        <v>0</v>
      </c>
      <c r="N41" s="1">
        <f>SUM(OSRRefE21_2x_6)</f>
        <v>0</v>
      </c>
      <c r="O41" s="1">
        <f>SUM(OSRRefE21_2x_7)</f>
        <v>0</v>
      </c>
      <c r="Q41" s="2">
        <f>SUM(OSRRefD20_2x)+IFERROR(SUM(OSRRefE20_2x),0)</f>
        <v>0</v>
      </c>
    </row>
    <row r="42" spans="1:17" s="34" customFormat="1" hidden="1" outlineLevel="1" x14ac:dyDescent="0.25">
      <c r="A42" s="35"/>
      <c r="B42" s="13" t="str">
        <f>CONCATENATE("          ","6272", " - ","CASH (OVER/SHORT)")</f>
        <v xml:space="preserve">          6272 - CASH (OVER/SHORT)</v>
      </c>
      <c r="C42" s="15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SUM(OSRRefD21_2_0x)+IFERROR(SUM(OSRRefE21_2_0x),0)</f>
        <v>0</v>
      </c>
    </row>
    <row r="43" spans="1:17" s="34" customFormat="1" collapsed="1" x14ac:dyDescent="0.25">
      <c r="A43" s="35"/>
      <c r="B43" s="15" t="str">
        <f>CONCATENATE("     ","Bank/card Fees                                    ")</f>
        <v xml:space="preserve">     Bank/card Fees                                    </v>
      </c>
      <c r="C43" s="15"/>
      <c r="D43" s="1">
        <f>SUM(OSRRefD21_3x_0)</f>
        <v>0</v>
      </c>
      <c r="E43" s="1">
        <f>SUM(OSRRefD21_3x_1)</f>
        <v>0</v>
      </c>
      <c r="F43" s="1">
        <f>SUM(OSRRefD21_3x_2)</f>
        <v>0</v>
      </c>
      <c r="G43" s="1">
        <f>SUM(OSRRefD21_3x_3)</f>
        <v>0</v>
      </c>
      <c r="H43" s="1">
        <f>SUM(OSRRefE21_3x_0)</f>
        <v>0</v>
      </c>
      <c r="I43" s="1">
        <f>SUM(OSRRefE21_3x_1)</f>
        <v>0</v>
      </c>
      <c r="J43" s="1">
        <f>SUM(OSRRefE21_3x_2)</f>
        <v>0</v>
      </c>
      <c r="K43" s="1">
        <f>SUM(OSRRefE21_3x_3)</f>
        <v>0</v>
      </c>
      <c r="L43" s="1">
        <f>SUM(OSRRefE21_3x_4)</f>
        <v>0</v>
      </c>
      <c r="M43" s="1">
        <f>SUM(OSRRefE21_3x_5)</f>
        <v>0</v>
      </c>
      <c r="N43" s="1">
        <f>SUM(OSRRefE21_3x_6)</f>
        <v>0</v>
      </c>
      <c r="O43" s="1">
        <f>SUM(OSRRefE21_3x_7)</f>
        <v>0</v>
      </c>
      <c r="Q43" s="2">
        <f>SUM(OSRRefD20_3x)+IFERROR(SUM(OSRRefE20_3x),0)</f>
        <v>0</v>
      </c>
    </row>
    <row r="44" spans="1:17" s="34" customFormat="1" hidden="1" outlineLevel="1" x14ac:dyDescent="0.25">
      <c r="A44" s="35"/>
      <c r="B44" s="13" t="str">
        <f>CONCATENATE("          ","6381", " - ","BANK/CREDIT CARD FEES")</f>
        <v xml:space="preserve">          6381 - BANK/CREDIT CARD FEES</v>
      </c>
      <c r="C44" s="15"/>
      <c r="D44" s="2"/>
      <c r="E44" s="2"/>
      <c r="F44" s="2"/>
      <c r="G44" s="2"/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SUM(OSRRefD21_3_0x)+IFERROR(SUM(OSRRefE21_3_0x),0)</f>
        <v>0</v>
      </c>
    </row>
    <row r="45" spans="1:17" s="34" customFormat="1" collapsed="1" x14ac:dyDescent="0.25">
      <c r="A45" s="35"/>
      <c r="B45" s="15" t="str">
        <f>CONCATENATE("     ","Depreciation                                      ")</f>
        <v xml:space="preserve">     Depreciation                                      </v>
      </c>
      <c r="C45" s="15"/>
      <c r="D45" s="1">
        <f>SUM(OSRRefD21_4x_0)</f>
        <v>5330.05</v>
      </c>
      <c r="E45" s="1">
        <f>SUM(OSRRefD21_4x_1)</f>
        <v>5330.05</v>
      </c>
      <c r="F45" s="1">
        <f>SUM(OSRRefD21_4x_2)</f>
        <v>5330.05</v>
      </c>
      <c r="G45" s="1">
        <f>SUM(OSRRefD21_4x_3)</f>
        <v>5233.01</v>
      </c>
      <c r="H45" s="1">
        <f>SUM(OSRRefE21_4x_0)</f>
        <v>5233</v>
      </c>
      <c r="I45" s="1">
        <f>SUM(OSRRefE21_4x_1)</f>
        <v>5233</v>
      </c>
      <c r="J45" s="1">
        <f>SUM(OSRRefE21_4x_2)</f>
        <v>5233</v>
      </c>
      <c r="K45" s="1">
        <f>SUM(OSRRefE21_4x_3)</f>
        <v>5233</v>
      </c>
      <c r="L45" s="1">
        <f>SUM(OSRRefE21_4x_4)</f>
        <v>5233</v>
      </c>
      <c r="M45" s="1">
        <f>SUM(OSRRefE21_4x_5)</f>
        <v>5233</v>
      </c>
      <c r="N45" s="1">
        <f>SUM(OSRRefE21_4x_6)</f>
        <v>5233</v>
      </c>
      <c r="O45" s="1">
        <f>SUM(OSRRefE21_4x_7)</f>
        <v>5233</v>
      </c>
      <c r="Q45" s="2">
        <f>SUM(OSRRefD20_4x)+IFERROR(SUM(OSRRefE20_4x),0)</f>
        <v>63087.16</v>
      </c>
    </row>
    <row r="46" spans="1:17" s="34" customFormat="1" hidden="1" outlineLevel="1" x14ac:dyDescent="0.25">
      <c r="A46" s="35"/>
      <c r="B46" s="13" t="str">
        <f>CONCATENATE("          ","6321", " - ","BUILDING DEPRECIATION")</f>
        <v xml:space="preserve">          6321 - BUILDING DEPRECIATION</v>
      </c>
      <c r="C46" s="15"/>
      <c r="D46" s="2">
        <v>4626.5</v>
      </c>
      <c r="E46" s="2">
        <v>4626.5</v>
      </c>
      <c r="F46" s="2">
        <v>4626.5</v>
      </c>
      <c r="G46" s="2">
        <v>4626.5</v>
      </c>
      <c r="H46" s="2"/>
      <c r="I46" s="2"/>
      <c r="J46" s="2"/>
      <c r="K46" s="2"/>
      <c r="L46" s="2"/>
      <c r="M46" s="2"/>
      <c r="N46" s="2"/>
      <c r="O46" s="2"/>
      <c r="P46" s="9"/>
      <c r="Q46" s="2">
        <f>SUM(OSRRefD21_4_0x)+IFERROR(SUM(OSRRefE21_4_0x),0)</f>
        <v>18506</v>
      </c>
    </row>
    <row r="47" spans="1:17" s="34" customFormat="1" hidden="1" outlineLevel="1" x14ac:dyDescent="0.25">
      <c r="A47" s="35"/>
      <c r="B47" s="13" t="str">
        <f>CONCATENATE("          ","6322", " - ","EQUIPMENT DEPRECIATION EXPENSE")</f>
        <v xml:space="preserve">          6322 - EQUIPMENT DEPRECIATION EXPENSE</v>
      </c>
      <c r="C47" s="15"/>
      <c r="D47" s="2">
        <v>703.55</v>
      </c>
      <c r="E47" s="2">
        <v>703.55</v>
      </c>
      <c r="F47" s="2">
        <v>703.55</v>
      </c>
      <c r="G47" s="2">
        <v>606.51</v>
      </c>
      <c r="H47" s="2">
        <v>5233</v>
      </c>
      <c r="I47" s="2">
        <v>5233</v>
      </c>
      <c r="J47" s="2">
        <v>5233</v>
      </c>
      <c r="K47" s="2">
        <v>5233</v>
      </c>
      <c r="L47" s="2">
        <v>5233</v>
      </c>
      <c r="M47" s="2">
        <v>5233</v>
      </c>
      <c r="N47" s="2">
        <v>5233</v>
      </c>
      <c r="O47" s="2">
        <v>5233</v>
      </c>
      <c r="P47" s="9"/>
      <c r="Q47" s="2">
        <f>SUM(OSRRefD21_4_1x)+IFERROR(SUM(OSRRefE21_4_1x),0)</f>
        <v>44581.16</v>
      </c>
    </row>
    <row r="48" spans="1:17" s="34" customFormat="1" collapsed="1" x14ac:dyDescent="0.25">
      <c r="A48" s="35"/>
      <c r="B48" s="15" t="str">
        <f>CONCATENATE("     ","Employees' Appreciation                           ")</f>
        <v xml:space="preserve">     Employees' Appreciation                           </v>
      </c>
      <c r="C48" s="15"/>
      <c r="D48" s="1">
        <f>SUM(OSRRefD21_5x_0)</f>
        <v>0</v>
      </c>
      <c r="E48" s="1">
        <f>SUM(OSRRefD21_5x_1)</f>
        <v>0</v>
      </c>
      <c r="F48" s="1">
        <f>SUM(OSRRefD21_5x_2)</f>
        <v>0</v>
      </c>
      <c r="G48" s="1">
        <f>SUM(OSRRefD21_5x_3)</f>
        <v>0</v>
      </c>
      <c r="H48" s="1">
        <f>SUM(OSRRefE21_5x_0)</f>
        <v>0</v>
      </c>
      <c r="I48" s="1">
        <f>SUM(OSRRefE21_5x_1)</f>
        <v>0</v>
      </c>
      <c r="J48" s="1">
        <f>SUM(OSRRefE21_5x_2)</f>
        <v>0</v>
      </c>
      <c r="K48" s="1">
        <f>SUM(OSRRefE21_5x_3)</f>
        <v>0</v>
      </c>
      <c r="L48" s="1">
        <f>SUM(OSRRefE21_5x_4)</f>
        <v>0</v>
      </c>
      <c r="M48" s="1">
        <f>SUM(OSRRefE21_5x_5)</f>
        <v>0</v>
      </c>
      <c r="N48" s="1">
        <f>SUM(OSRRefE21_5x_6)</f>
        <v>0</v>
      </c>
      <c r="O48" s="1">
        <f>SUM(OSRRefE21_5x_7)</f>
        <v>0</v>
      </c>
      <c r="Q48" s="2">
        <f>SUM(OSRRefD20_5x)+IFERROR(SUM(OSRRefE20_5x),0)</f>
        <v>0</v>
      </c>
    </row>
    <row r="49" spans="1:17" s="34" customFormat="1" hidden="1" outlineLevel="1" x14ac:dyDescent="0.25">
      <c r="A49" s="35"/>
      <c r="B49" s="13" t="str">
        <f>CONCATENATE("          ","6277", " - ","EMPLOYEE APPRECIATION")</f>
        <v xml:space="preserve">          6277 - EMPLOYEE APPRECIATION</v>
      </c>
      <c r="C49" s="15"/>
      <c r="D49" s="2"/>
      <c r="E49" s="2"/>
      <c r="F49" s="2"/>
      <c r="G49" s="2"/>
      <c r="H49" s="2"/>
      <c r="I49" s="2">
        <v>0</v>
      </c>
      <c r="J49" s="2"/>
      <c r="K49" s="2"/>
      <c r="L49" s="2">
        <v>0</v>
      </c>
      <c r="M49" s="2"/>
      <c r="N49" s="2">
        <v>0</v>
      </c>
      <c r="O49" s="2"/>
      <c r="P49" s="9"/>
      <c r="Q49" s="2">
        <f>SUM(OSRRefD21_5_0x)+IFERROR(SUM(OSRRefE21_5_0x),0)</f>
        <v>0</v>
      </c>
    </row>
    <row r="50" spans="1:17" s="34" customFormat="1" collapsed="1" x14ac:dyDescent="0.25">
      <c r="A50" s="35"/>
      <c r="B50" s="15" t="str">
        <f>CONCATENATE("     ","Equipment Rental                                  ")</f>
        <v xml:space="preserve">     Equipment Rental                                  </v>
      </c>
      <c r="C50" s="15"/>
      <c r="D50" s="1">
        <f>SUM(OSRRefD21_6x_0)</f>
        <v>0</v>
      </c>
      <c r="E50" s="1">
        <f>SUM(OSRRefD21_6x_1)</f>
        <v>0</v>
      </c>
      <c r="F50" s="1">
        <f>SUM(OSRRefD21_6x_2)</f>
        <v>96.3</v>
      </c>
      <c r="G50" s="1">
        <f>SUM(OSRRefD21_6x_3)</f>
        <v>0</v>
      </c>
      <c r="H50" s="1">
        <f>SUM(OSRRefE21_6x_0)</f>
        <v>0</v>
      </c>
      <c r="I50" s="1">
        <f>SUM(OSRRefE21_6x_1)</f>
        <v>0</v>
      </c>
      <c r="J50" s="1">
        <f>SUM(OSRRefE21_6x_2)</f>
        <v>0</v>
      </c>
      <c r="K50" s="1">
        <f>SUM(OSRRefE21_6x_3)</f>
        <v>0</v>
      </c>
      <c r="L50" s="1">
        <f>SUM(OSRRefE21_6x_4)</f>
        <v>0</v>
      </c>
      <c r="M50" s="1">
        <f>SUM(OSRRefE21_6x_5)</f>
        <v>0</v>
      </c>
      <c r="N50" s="1">
        <f>SUM(OSRRefE21_6x_6)</f>
        <v>0</v>
      </c>
      <c r="O50" s="1">
        <f>SUM(OSRRefE21_6x_7)</f>
        <v>0</v>
      </c>
      <c r="Q50" s="2">
        <f>SUM(OSRRefD20_6x)+IFERROR(SUM(OSRRefE20_6x),0)</f>
        <v>96.3</v>
      </c>
    </row>
    <row r="51" spans="1:17" s="34" customFormat="1" hidden="1" outlineLevel="1" x14ac:dyDescent="0.25">
      <c r="A51" s="35"/>
      <c r="B51" s="13" t="str">
        <f>CONCATENATE("          ","6351", " - ","EQUIPMENT RENTAL")</f>
        <v xml:space="preserve">          6351 - EQUIPMENT RENTAL</v>
      </c>
      <c r="C51" s="15"/>
      <c r="D51" s="2"/>
      <c r="E51" s="2"/>
      <c r="F51" s="2">
        <v>96.3</v>
      </c>
      <c r="G51" s="2"/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SUM(OSRRefD21_6_0x)+IFERROR(SUM(OSRRefE21_6_0x),0)</f>
        <v>96.3</v>
      </c>
    </row>
    <row r="52" spans="1:17" s="34" customFormat="1" collapsed="1" x14ac:dyDescent="0.25">
      <c r="A52" s="35"/>
      <c r="B52" s="15" t="str">
        <f>CONCATENATE("     ","General                                           ")</f>
        <v xml:space="preserve">     General                                           </v>
      </c>
      <c r="C52" s="15"/>
      <c r="D52" s="1">
        <f>SUM(OSRRefD21_7x_0)</f>
        <v>1114.55</v>
      </c>
      <c r="E52" s="1">
        <f>SUM(OSRRefD21_7x_1)</f>
        <v>-1114.55</v>
      </c>
      <c r="F52" s="1">
        <f>SUM(OSRRefD21_7x_2)</f>
        <v>0</v>
      </c>
      <c r="G52" s="1">
        <f>SUM(OSRRefD21_7x_3)</f>
        <v>0</v>
      </c>
      <c r="H52" s="1">
        <f>SUM(OSRRefE21_7x_0)</f>
        <v>0</v>
      </c>
      <c r="I52" s="1">
        <f>SUM(OSRRefE21_7x_1)</f>
        <v>0</v>
      </c>
      <c r="J52" s="1">
        <f>SUM(OSRRefE21_7x_2)</f>
        <v>0</v>
      </c>
      <c r="K52" s="1">
        <f>SUM(OSRRefE21_7x_3)</f>
        <v>0</v>
      </c>
      <c r="L52" s="1">
        <f>SUM(OSRRefE21_7x_4)</f>
        <v>0</v>
      </c>
      <c r="M52" s="1">
        <f>SUM(OSRRefE21_7x_5)</f>
        <v>0</v>
      </c>
      <c r="N52" s="1">
        <f>SUM(OSRRefE21_7x_6)</f>
        <v>0</v>
      </c>
      <c r="O52" s="1">
        <f>SUM(OSRRefE21_7x_7)</f>
        <v>0</v>
      </c>
      <c r="Q52" s="2">
        <f>SUM(OSRRefD20_7x)+IFERROR(SUM(OSRRefE20_7x),0)</f>
        <v>0</v>
      </c>
    </row>
    <row r="53" spans="1:17" s="34" customFormat="1" hidden="1" outlineLevel="1" x14ac:dyDescent="0.25">
      <c r="A53" s="35"/>
      <c r="B53" s="13" t="str">
        <f>CONCATENATE("          ","6279", " - ","GENERAL EXPENSE")</f>
        <v xml:space="preserve">          6279 - GENERAL EXPENSE</v>
      </c>
      <c r="C53" s="15"/>
      <c r="D53" s="2">
        <v>1114.55</v>
      </c>
      <c r="E53" s="2">
        <v>-1114.55</v>
      </c>
      <c r="F53" s="2"/>
      <c r="G53" s="2"/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SUM(OSRRefD21_7_0x)+IFERROR(SUM(OSRRefE21_7_0x),0)</f>
        <v>0</v>
      </c>
    </row>
    <row r="54" spans="1:17" s="34" customFormat="1" collapsed="1" x14ac:dyDescent="0.25">
      <c r="A54" s="35"/>
      <c r="B54" s="15" t="str">
        <f>CONCATENATE("     ","Rent                                              ")</f>
        <v xml:space="preserve">     Rent                                              </v>
      </c>
      <c r="C54" s="15"/>
      <c r="D54" s="1">
        <f>SUM(OSRRefD21_8x_0)</f>
        <v>0</v>
      </c>
      <c r="E54" s="1">
        <f>SUM(OSRRefD21_8x_1)</f>
        <v>0</v>
      </c>
      <c r="F54" s="1">
        <f>SUM(OSRRefD21_8x_2)</f>
        <v>5550</v>
      </c>
      <c r="G54" s="1">
        <f>SUM(OSRRefD21_8x_3)</f>
        <v>0</v>
      </c>
      <c r="H54" s="1">
        <f>SUM(OSRRefE21_8x_0)</f>
        <v>1943</v>
      </c>
      <c r="I54" s="1">
        <f>SUM(OSRRefE21_8x_1)</f>
        <v>1943</v>
      </c>
      <c r="J54" s="1">
        <f>SUM(OSRRefE21_8x_2)</f>
        <v>1943</v>
      </c>
      <c r="K54" s="1">
        <f>SUM(OSRRefE21_8x_3)</f>
        <v>1943</v>
      </c>
      <c r="L54" s="1">
        <f>SUM(OSRRefE21_8x_4)</f>
        <v>1943</v>
      </c>
      <c r="M54" s="1">
        <f>SUM(OSRRefE21_8x_5)</f>
        <v>1943</v>
      </c>
      <c r="N54" s="1">
        <f>SUM(OSRRefE21_8x_6)</f>
        <v>1943</v>
      </c>
      <c r="O54" s="1">
        <f>SUM(OSRRefE21_8x_7)</f>
        <v>1943</v>
      </c>
      <c r="Q54" s="2">
        <f>SUM(OSRRefD20_8x)+IFERROR(SUM(OSRRefE20_8x),0)</f>
        <v>21094</v>
      </c>
    </row>
    <row r="55" spans="1:17" s="34" customFormat="1" hidden="1" outlineLevel="1" x14ac:dyDescent="0.25">
      <c r="A55" s="35"/>
      <c r="B55" s="13" t="str">
        <f>CONCATENATE("          ","6273", " - ","RENT")</f>
        <v xml:space="preserve">          6273 - RENT</v>
      </c>
      <c r="C55" s="15"/>
      <c r="D55" s="2"/>
      <c r="E55" s="2"/>
      <c r="F55" s="2">
        <v>5550</v>
      </c>
      <c r="G55" s="2"/>
      <c r="H55" s="2">
        <v>1943</v>
      </c>
      <c r="I55" s="2">
        <v>1943</v>
      </c>
      <c r="J55" s="2">
        <v>1943</v>
      </c>
      <c r="K55" s="2">
        <v>1943</v>
      </c>
      <c r="L55" s="2">
        <v>1943</v>
      </c>
      <c r="M55" s="2">
        <v>1943</v>
      </c>
      <c r="N55" s="2">
        <v>1943</v>
      </c>
      <c r="O55" s="2">
        <v>1943</v>
      </c>
      <c r="P55" s="9"/>
      <c r="Q55" s="2">
        <f>SUM(OSRRefD21_8_0x)+IFERROR(SUM(OSRRefE21_8_0x),0)</f>
        <v>21094</v>
      </c>
    </row>
    <row r="56" spans="1:17" s="34" customFormat="1" collapsed="1" x14ac:dyDescent="0.25">
      <c r="A56" s="35"/>
      <c r="B56" s="15" t="str">
        <f>CONCATENATE("     ","Repair and Maintenance                            ")</f>
        <v xml:space="preserve">     Repair and Maintenance                            </v>
      </c>
      <c r="C56" s="15"/>
      <c r="D56" s="1">
        <f>SUM(OSRRefD21_9x_0)</f>
        <v>0</v>
      </c>
      <c r="E56" s="1">
        <f>SUM(OSRRefD21_9x_1)</f>
        <v>420.6</v>
      </c>
      <c r="F56" s="1">
        <f>SUM(OSRRefD21_9x_2)</f>
        <v>272.35000000000002</v>
      </c>
      <c r="G56" s="1">
        <f>SUM(OSRRefD21_9x_3)</f>
        <v>0</v>
      </c>
      <c r="H56" s="1">
        <f>SUM(OSRRefE21_9x_0)</f>
        <v>0</v>
      </c>
      <c r="I56" s="1">
        <f>SUM(OSRRefE21_9x_1)</f>
        <v>0</v>
      </c>
      <c r="J56" s="1">
        <f>SUM(OSRRefE21_9x_2)</f>
        <v>0</v>
      </c>
      <c r="K56" s="1">
        <f>SUM(OSRRefE21_9x_3)</f>
        <v>0</v>
      </c>
      <c r="L56" s="1">
        <f>SUM(OSRRefE21_9x_4)</f>
        <v>0</v>
      </c>
      <c r="M56" s="1">
        <f>SUM(OSRRefE21_9x_5)</f>
        <v>0</v>
      </c>
      <c r="N56" s="1">
        <f>SUM(OSRRefE21_9x_6)</f>
        <v>0</v>
      </c>
      <c r="O56" s="1">
        <f>SUM(OSRRefE21_9x_7)</f>
        <v>0</v>
      </c>
      <c r="Q56" s="2">
        <f>SUM(OSRRefD20_9x)+IFERROR(SUM(OSRRefE20_9x),0)</f>
        <v>692.95</v>
      </c>
    </row>
    <row r="57" spans="1:17" s="34" customFormat="1" hidden="1" outlineLevel="1" x14ac:dyDescent="0.25">
      <c r="A57" s="35"/>
      <c r="B57" s="13" t="str">
        <f>CONCATENATE("          ","6373", " - ","MAINTENANCE CONTRACTS")</f>
        <v xml:space="preserve">          6373 - MAINTENANCE CONTRACTS</v>
      </c>
      <c r="C57" s="15"/>
      <c r="D57" s="2"/>
      <c r="E57" s="2">
        <v>78.599999999999994</v>
      </c>
      <c r="F57" s="2">
        <v>72.349999999999994</v>
      </c>
      <c r="G57" s="2"/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SUM(OSRRefD21_9_0x)+IFERROR(SUM(OSRRefE21_9_0x),0)</f>
        <v>150.94999999999999</v>
      </c>
    </row>
    <row r="58" spans="1:17" s="34" customFormat="1" hidden="1" outlineLevel="1" x14ac:dyDescent="0.25">
      <c r="A58" s="35"/>
      <c r="B58" s="13" t="str">
        <f>CONCATENATE("          ","6375", " - ","OUTSIDE REPAIRS &amp; MAINTENANCE")</f>
        <v xml:space="preserve">          6375 - OUTSIDE REPAIRS &amp; MAINTENANCE</v>
      </c>
      <c r="C58" s="15"/>
      <c r="D58" s="2"/>
      <c r="E58" s="2">
        <v>342</v>
      </c>
      <c r="F58" s="2">
        <v>200</v>
      </c>
      <c r="G58" s="2"/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SUM(OSRRefD21_9_1x)+IFERROR(SUM(OSRRefE21_9_1x),0)</f>
        <v>542</v>
      </c>
    </row>
    <row r="59" spans="1:17" s="34" customFormat="1" collapsed="1" x14ac:dyDescent="0.25">
      <c r="A59" s="35"/>
      <c r="B59" s="15" t="str">
        <f>CONCATENATE("     ","Royalty &amp; Commissions                             ")</f>
        <v xml:space="preserve">     Royalty &amp; Commissions                             </v>
      </c>
      <c r="C59" s="15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0</v>
      </c>
      <c r="H59" s="1">
        <f>SUM(OSRRefE21_10x_0)</f>
        <v>0</v>
      </c>
      <c r="I59" s="1">
        <f>SUM(OSRRefE21_10x_1)</f>
        <v>0</v>
      </c>
      <c r="J59" s="1">
        <f>SUM(OSRRefE21_10x_2)</f>
        <v>0</v>
      </c>
      <c r="K59" s="1">
        <f>SUM(OSRRefE21_10x_3)</f>
        <v>0</v>
      </c>
      <c r="L59" s="1">
        <f>SUM(OSRRefE21_10x_4)</f>
        <v>0</v>
      </c>
      <c r="M59" s="1">
        <f>SUM(OSRRefE21_10x_5)</f>
        <v>0</v>
      </c>
      <c r="N59" s="1">
        <f>SUM(OSRRefE21_10x_6)</f>
        <v>0</v>
      </c>
      <c r="O59" s="1">
        <f>SUM(OSRRefE21_10x_7)</f>
        <v>0</v>
      </c>
      <c r="Q59" s="2">
        <f>SUM(OSRRefD20_10x)+IFERROR(SUM(OSRRefE20_10x),0)</f>
        <v>0</v>
      </c>
    </row>
    <row r="60" spans="1:17" s="34" customFormat="1" hidden="1" outlineLevel="1" x14ac:dyDescent="0.25">
      <c r="A60" s="35"/>
      <c r="B60" s="13" t="str">
        <f>CONCATENATE("          ","6259", " - ","ROYALTY &amp; COMMISSIONS")</f>
        <v xml:space="preserve">          6259 - ROYALTY &amp; COMMISSIONS</v>
      </c>
      <c r="C60" s="15"/>
      <c r="D60" s="2"/>
      <c r="E60" s="2"/>
      <c r="F60" s="2"/>
      <c r="G60" s="2"/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SUM(OSRRefD21_10_0x)+IFERROR(SUM(OSRRefE21_10_0x),0)</f>
        <v>0</v>
      </c>
    </row>
    <row r="61" spans="1:17" s="34" customFormat="1" collapsed="1" x14ac:dyDescent="0.25">
      <c r="A61" s="35"/>
      <c r="B61" s="15" t="str">
        <f>CONCATENATE("     ","Services                                          ")</f>
        <v xml:space="preserve">     Services                                          </v>
      </c>
      <c r="C61" s="15"/>
      <c r="D61" s="1">
        <f>SUM(OSRRefD21_11x_0)</f>
        <v>0</v>
      </c>
      <c r="E61" s="1">
        <f>SUM(OSRRefD21_11x_1)</f>
        <v>0</v>
      </c>
      <c r="F61" s="1">
        <f>SUM(OSRRefD21_11x_2)</f>
        <v>0</v>
      </c>
      <c r="G61" s="1">
        <f>SUM(OSRRefD21_11x_3)</f>
        <v>115</v>
      </c>
      <c r="H61" s="1">
        <f>SUM(OSRRefE21_11x_0)</f>
        <v>0</v>
      </c>
      <c r="I61" s="1">
        <f>SUM(OSRRefE21_11x_1)</f>
        <v>0</v>
      </c>
      <c r="J61" s="1">
        <f>SUM(OSRRefE21_11x_2)</f>
        <v>0</v>
      </c>
      <c r="K61" s="1">
        <f>SUM(OSRRefE21_11x_3)</f>
        <v>0</v>
      </c>
      <c r="L61" s="1">
        <f>SUM(OSRRefE21_11x_4)</f>
        <v>0</v>
      </c>
      <c r="M61" s="1">
        <f>SUM(OSRRefE21_11x_5)</f>
        <v>0</v>
      </c>
      <c r="N61" s="1">
        <f>SUM(OSRRefE21_11x_6)</f>
        <v>0</v>
      </c>
      <c r="O61" s="1">
        <f>SUM(OSRRefE21_11x_7)</f>
        <v>0</v>
      </c>
      <c r="Q61" s="2">
        <f>SUM(OSRRefD20_11x)+IFERROR(SUM(OSRRefE20_11x),0)</f>
        <v>115</v>
      </c>
    </row>
    <row r="62" spans="1:17" s="34" customFormat="1" hidden="1" outlineLevel="1" x14ac:dyDescent="0.25">
      <c r="A62" s="35"/>
      <c r="B62" s="13" t="str">
        <f>CONCATENATE("          ","6282", " - ","JANITORIAL/EXTERMINATOR EXPENS")</f>
        <v xml:space="preserve">          6282 - JANITORIAL/EXTERMINATOR EXPENS</v>
      </c>
      <c r="C62" s="15"/>
      <c r="D62" s="2"/>
      <c r="E62" s="2"/>
      <c r="F62" s="2"/>
      <c r="G62" s="2"/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SUM(OSRRefD21_11_0x)+IFERROR(SUM(OSRRefE21_11_0x),0)</f>
        <v>0</v>
      </c>
    </row>
    <row r="63" spans="1:17" s="34" customFormat="1" hidden="1" outlineLevel="1" x14ac:dyDescent="0.25">
      <c r="A63" s="35"/>
      <c r="B63" s="13" t="str">
        <f>CONCATENATE("          ","6284", " - ","TRASH REMOVAL EXPENSE")</f>
        <v xml:space="preserve">          6284 - TRASH REMOVAL EXPENSE</v>
      </c>
      <c r="C63" s="15"/>
      <c r="D63" s="2"/>
      <c r="E63" s="2"/>
      <c r="F63" s="2"/>
      <c r="G63" s="2">
        <v>115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SUM(OSRRefD21_11_1x)+IFERROR(SUM(OSRRefE21_11_1x),0)</f>
        <v>115</v>
      </c>
    </row>
    <row r="64" spans="1:17" s="34" customFormat="1" hidden="1" outlineLevel="1" x14ac:dyDescent="0.25">
      <c r="A64" s="35"/>
      <c r="B64" s="13" t="str">
        <f>CONCATENATE("          ","6285", " - ","JANITORIAL SERVICES")</f>
        <v xml:space="preserve">          6285 - JANITORIAL SERVICES</v>
      </c>
      <c r="C64" s="15"/>
      <c r="D64" s="2"/>
      <c r="E64" s="2"/>
      <c r="F64" s="2"/>
      <c r="G64" s="2"/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SUM(OSRRefD21_11_2x)+IFERROR(SUM(OSRRefE21_11_2x),0)</f>
        <v>0</v>
      </c>
    </row>
    <row r="65" spans="1:17" s="34" customFormat="1" hidden="1" outlineLevel="1" x14ac:dyDescent="0.25">
      <c r="A65" s="35"/>
      <c r="B65" s="13" t="str">
        <f>CONCATENATE("          ","6286", " - ","LAUNDRY EXPENSE")</f>
        <v xml:space="preserve">          6286 - LAUNDRY EXPENSE</v>
      </c>
      <c r="C65" s="15"/>
      <c r="D65" s="2"/>
      <c r="E65" s="2"/>
      <c r="F65" s="2"/>
      <c r="G65" s="2"/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SUM(OSRRefD21_11_3x)+IFERROR(SUM(OSRRefE21_11_3x),0)</f>
        <v>0</v>
      </c>
    </row>
    <row r="66" spans="1:17" s="34" customFormat="1" collapsed="1" x14ac:dyDescent="0.25">
      <c r="A66" s="35"/>
      <c r="B66" s="15" t="str">
        <f>CONCATENATE("     ","Subscriptions &amp; Dues                              ")</f>
        <v xml:space="preserve">     Subscriptions &amp; Dues                              </v>
      </c>
      <c r="C66" s="15"/>
      <c r="D66" s="1">
        <f>SUM(OSRRefD21_12x_0)</f>
        <v>0</v>
      </c>
      <c r="E66" s="1">
        <f>SUM(OSRRefD21_12x_1)</f>
        <v>0</v>
      </c>
      <c r="F66" s="1">
        <f>SUM(OSRRefD21_12x_2)</f>
        <v>0</v>
      </c>
      <c r="G66" s="1">
        <f>SUM(OSRRefD21_12x_3)</f>
        <v>0</v>
      </c>
      <c r="H66" s="1">
        <f>SUM(OSRRefE21_12x_0)</f>
        <v>0</v>
      </c>
      <c r="I66" s="1">
        <f>SUM(OSRRefE21_12x_1)</f>
        <v>0</v>
      </c>
      <c r="J66" s="1">
        <f>SUM(OSRRefE21_12x_2)</f>
        <v>0</v>
      </c>
      <c r="K66" s="1">
        <f>SUM(OSRRefE21_12x_3)</f>
        <v>0</v>
      </c>
      <c r="L66" s="1">
        <f>SUM(OSRRefE21_12x_4)</f>
        <v>0</v>
      </c>
      <c r="M66" s="1">
        <f>SUM(OSRRefE21_12x_5)</f>
        <v>0</v>
      </c>
      <c r="N66" s="1">
        <f>SUM(OSRRefE21_12x_6)</f>
        <v>0</v>
      </c>
      <c r="O66" s="1">
        <f>SUM(OSRRefE21_12x_7)</f>
        <v>0</v>
      </c>
      <c r="Q66" s="2">
        <f>SUM(OSRRefD20_12x)+IFERROR(SUM(OSRRefE20_12x),0)</f>
        <v>0</v>
      </c>
    </row>
    <row r="67" spans="1:17" s="34" customFormat="1" hidden="1" outlineLevel="1" x14ac:dyDescent="0.25">
      <c r="A67" s="35"/>
      <c r="B67" s="13" t="str">
        <f>CONCATENATE("          ","6275", " - ","SUBSCRIPTIONS")</f>
        <v xml:space="preserve">          6275 - SUBSCRIPTIONS</v>
      </c>
      <c r="C67" s="15"/>
      <c r="D67" s="2"/>
      <c r="E67" s="2"/>
      <c r="F67" s="2"/>
      <c r="G67" s="2"/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SUM(OSRRefD21_12_0x)+IFERROR(SUM(OSRRefE21_12_0x),0)</f>
        <v>0</v>
      </c>
    </row>
    <row r="68" spans="1:17" s="34" customFormat="1" collapsed="1" x14ac:dyDescent="0.25">
      <c r="A68" s="35"/>
      <c r="B68" s="15" t="str">
        <f>CONCATENATE("     ","Supplies                                          ")</f>
        <v xml:space="preserve">     Supplies                                          </v>
      </c>
      <c r="C68" s="15"/>
      <c r="D68" s="1">
        <f>SUM(OSRRefD21_13x_0)</f>
        <v>0</v>
      </c>
      <c r="E68" s="1">
        <f>SUM(OSRRefD21_13x_1)</f>
        <v>0</v>
      </c>
      <c r="F68" s="1">
        <f>SUM(OSRRefD21_13x_2)</f>
        <v>0</v>
      </c>
      <c r="G68" s="1">
        <f>SUM(OSRRefD21_13x_3)</f>
        <v>0</v>
      </c>
      <c r="H68" s="1">
        <f>SUM(OSRRefE21_13x_0)</f>
        <v>0</v>
      </c>
      <c r="I68" s="1">
        <f>SUM(OSRRefE21_13x_1)</f>
        <v>0</v>
      </c>
      <c r="J68" s="1">
        <f>SUM(OSRRefE21_13x_2)</f>
        <v>0</v>
      </c>
      <c r="K68" s="1">
        <f>SUM(OSRRefE21_13x_3)</f>
        <v>0</v>
      </c>
      <c r="L68" s="1">
        <f>SUM(OSRRefE21_13x_4)</f>
        <v>0</v>
      </c>
      <c r="M68" s="1">
        <f>SUM(OSRRefE21_13x_5)</f>
        <v>0</v>
      </c>
      <c r="N68" s="1">
        <f>SUM(OSRRefE21_13x_6)</f>
        <v>0</v>
      </c>
      <c r="O68" s="1">
        <f>SUM(OSRRefE21_13x_7)</f>
        <v>0</v>
      </c>
      <c r="Q68" s="2">
        <f>SUM(OSRRefD20_13x)+IFERROR(SUM(OSRRefE20_13x),0)</f>
        <v>0</v>
      </c>
    </row>
    <row r="69" spans="1:17" s="34" customFormat="1" hidden="1" outlineLevel="1" x14ac:dyDescent="0.25">
      <c r="A69" s="35"/>
      <c r="B69" s="13" t="str">
        <f>CONCATENATE("          ","6235", " - ","COVID-19 EXPENSES")</f>
        <v xml:space="preserve">          6235 - COVID-19 EXPENSES</v>
      </c>
      <c r="C69" s="15"/>
      <c r="D69" s="2"/>
      <c r="E69" s="2"/>
      <c r="F69" s="2"/>
      <c r="G69" s="2"/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SUM(OSRRefD21_13_0x)+IFERROR(SUM(OSRRefE21_13_0x),0)</f>
        <v>0</v>
      </c>
    </row>
    <row r="70" spans="1:17" s="34" customFormat="1" hidden="1" outlineLevel="1" x14ac:dyDescent="0.25">
      <c r="A70" s="35"/>
      <c r="B70" s="13" t="str">
        <f>CONCATENATE("          ","6237", " - ","JANITORIAL SUPPLIES")</f>
        <v xml:space="preserve">          6237 - JANITORIAL SUPPLIES</v>
      </c>
      <c r="C70" s="15"/>
      <c r="D70" s="2"/>
      <c r="E70" s="2"/>
      <c r="F70" s="2"/>
      <c r="G70" s="2"/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9"/>
      <c r="Q70" s="2">
        <f>SUM(OSRRefD21_13_1x)+IFERROR(SUM(OSRRefE21_13_1x),0)</f>
        <v>0</v>
      </c>
    </row>
    <row r="71" spans="1:17" s="34" customFormat="1" hidden="1" outlineLevel="1" x14ac:dyDescent="0.25">
      <c r="A71" s="35"/>
      <c r="B71" s="13" t="str">
        <f>CONCATENATE("          ","6239", " - ","KITCHEN SUPPLIES")</f>
        <v xml:space="preserve">          6239 - KITCHEN SUPPLIES</v>
      </c>
      <c r="C71" s="15"/>
      <c r="D71" s="2"/>
      <c r="E71" s="2"/>
      <c r="F71" s="2"/>
      <c r="G71" s="2"/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9"/>
      <c r="Q71" s="2">
        <f>SUM(OSRRefD21_13_2x)+IFERROR(SUM(OSRRefE21_13_2x),0)</f>
        <v>0</v>
      </c>
    </row>
    <row r="72" spans="1:17" s="34" customFormat="1" hidden="1" outlineLevel="1" x14ac:dyDescent="0.25">
      <c r="A72" s="35"/>
      <c r="B72" s="13" t="str">
        <f>CONCATENATE("          ","6241", " - ","OFFICE EXPENSE")</f>
        <v xml:space="preserve">          6241 - OFFICE EXPENSE</v>
      </c>
      <c r="C72" s="15"/>
      <c r="D72" s="2"/>
      <c r="E72" s="2"/>
      <c r="F72" s="2"/>
      <c r="G72" s="2"/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9"/>
      <c r="Q72" s="2">
        <f>SUM(OSRRefD21_13_3x)+IFERROR(SUM(OSRRefE21_13_3x),0)</f>
        <v>0</v>
      </c>
    </row>
    <row r="73" spans="1:17" s="34" customFormat="1" hidden="1" outlineLevel="1" x14ac:dyDescent="0.25">
      <c r="A73" s="35"/>
      <c r="B73" s="13" t="str">
        <f>CONCATENATE("          ","6243", " - ","PAPER SUPPLIES")</f>
        <v xml:space="preserve">          6243 - PAPER SUPPLIES</v>
      </c>
      <c r="C73" s="15"/>
      <c r="D73" s="2"/>
      <c r="E73" s="2"/>
      <c r="F73" s="2"/>
      <c r="G73" s="2"/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SUM(OSRRefD21_13_4x)+IFERROR(SUM(OSRRefE21_13_4x),0)</f>
        <v>0</v>
      </c>
    </row>
    <row r="74" spans="1:17" s="34" customFormat="1" hidden="1" outlineLevel="1" x14ac:dyDescent="0.25">
      <c r="A74" s="35"/>
      <c r="B74" s="13" t="str">
        <f>CONCATENATE("          ","6245", " - ","PRINTING")</f>
        <v xml:space="preserve">          6245 - PRINTING</v>
      </c>
      <c r="C74" s="15"/>
      <c r="D74" s="2"/>
      <c r="E74" s="2"/>
      <c r="F74" s="2"/>
      <c r="G74" s="2"/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9"/>
      <c r="Q74" s="2">
        <f>SUM(OSRRefD21_13_5x)+IFERROR(SUM(OSRRefE21_13_5x),0)</f>
        <v>0</v>
      </c>
    </row>
    <row r="75" spans="1:17" s="34" customFormat="1" hidden="1" outlineLevel="1" x14ac:dyDescent="0.25">
      <c r="A75" s="35"/>
      <c r="B75" s="13" t="str">
        <f>CONCATENATE("          ","6246", " - ","REPLACEMENTS")</f>
        <v xml:space="preserve">          6246 - REPLACEMENTS</v>
      </c>
      <c r="C75" s="15"/>
      <c r="D75" s="2"/>
      <c r="E75" s="2"/>
      <c r="F75" s="2"/>
      <c r="G75" s="2"/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9"/>
      <c r="Q75" s="2">
        <f>SUM(OSRRefD21_13_6x)+IFERROR(SUM(OSRRefE21_13_6x),0)</f>
        <v>0</v>
      </c>
    </row>
    <row r="76" spans="1:17" s="34" customFormat="1" hidden="1" outlineLevel="1" x14ac:dyDescent="0.25">
      <c r="A76" s="35"/>
      <c r="B76" s="13" t="str">
        <f>CONCATENATE("          ","6247", " - ","STORE SUPPLIES")</f>
        <v xml:space="preserve">          6247 - STORE SUPPLIES</v>
      </c>
      <c r="C76" s="15"/>
      <c r="D76" s="2"/>
      <c r="E76" s="2"/>
      <c r="F76" s="2"/>
      <c r="G76" s="2"/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SUM(OSRRefD21_13_7x)+IFERROR(SUM(OSRRefE21_13_7x),0)</f>
        <v>0</v>
      </c>
    </row>
    <row r="77" spans="1:17" s="34" customFormat="1" collapsed="1" x14ac:dyDescent="0.25">
      <c r="A77" s="35"/>
      <c r="B77" s="15" t="str">
        <f>CONCATENATE("     ","Telephone/Data Lines                              ")</f>
        <v xml:space="preserve">     Telephone/Data Lines                              </v>
      </c>
      <c r="C77" s="15"/>
      <c r="D77" s="1">
        <f>SUM(OSRRefD21_14x_0)</f>
        <v>23</v>
      </c>
      <c r="E77" s="1">
        <f>SUM(OSRRefD21_14x_1)</f>
        <v>46</v>
      </c>
      <c r="F77" s="1">
        <f>SUM(OSRRefD21_14x_2)</f>
        <v>0</v>
      </c>
      <c r="G77" s="1">
        <f>SUM(OSRRefD21_14x_3)</f>
        <v>8.43</v>
      </c>
      <c r="H77" s="1">
        <f>SUM(OSRRefE21_14x_0)</f>
        <v>0</v>
      </c>
      <c r="I77" s="1">
        <f>SUM(OSRRefE21_14x_1)</f>
        <v>0</v>
      </c>
      <c r="J77" s="1">
        <f>SUM(OSRRefE21_14x_2)</f>
        <v>0</v>
      </c>
      <c r="K77" s="1">
        <f>SUM(OSRRefE21_14x_3)</f>
        <v>0</v>
      </c>
      <c r="L77" s="1">
        <f>SUM(OSRRefE21_14x_4)</f>
        <v>0</v>
      </c>
      <c r="M77" s="1">
        <f>SUM(OSRRefE21_14x_5)</f>
        <v>0</v>
      </c>
      <c r="N77" s="1">
        <f>SUM(OSRRefE21_14x_6)</f>
        <v>0</v>
      </c>
      <c r="O77" s="1">
        <f>SUM(OSRRefE21_14x_7)</f>
        <v>0</v>
      </c>
      <c r="Q77" s="2">
        <f>SUM(OSRRefD20_14x)+IFERROR(SUM(OSRRefE20_14x),0)</f>
        <v>77.430000000000007</v>
      </c>
    </row>
    <row r="78" spans="1:17" s="34" customFormat="1" hidden="1" outlineLevel="1" x14ac:dyDescent="0.25">
      <c r="A78" s="35"/>
      <c r="B78" s="13" t="str">
        <f>CONCATENATE("          ","6309", " - ","TELEPHONE")</f>
        <v xml:space="preserve">          6309 - TELEPHONE</v>
      </c>
      <c r="C78" s="15"/>
      <c r="D78" s="2">
        <v>23</v>
      </c>
      <c r="E78" s="2">
        <v>46</v>
      </c>
      <c r="F78" s="2"/>
      <c r="G78" s="2">
        <v>8.43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SUM(OSRRefD21_14_0x)+IFERROR(SUM(OSRRefE21_14_0x),0)</f>
        <v>77.430000000000007</v>
      </c>
    </row>
    <row r="79" spans="1:17" s="34" customFormat="1" collapsed="1" x14ac:dyDescent="0.25">
      <c r="A79" s="35"/>
      <c r="B79" s="15" t="str">
        <f>CONCATENATE("     ","Training                                          ")</f>
        <v xml:space="preserve">     Training                                          </v>
      </c>
      <c r="C79" s="15"/>
      <c r="D79" s="1">
        <f>SUM(OSRRefD21_15x_0)</f>
        <v>0</v>
      </c>
      <c r="E79" s="1">
        <f>SUM(OSRRefD21_15x_1)</f>
        <v>0</v>
      </c>
      <c r="F79" s="1">
        <f>SUM(OSRRefD21_15x_2)</f>
        <v>0</v>
      </c>
      <c r="G79" s="1">
        <f>SUM(OSRRefD21_15x_3)</f>
        <v>0</v>
      </c>
      <c r="H79" s="1">
        <f>SUM(OSRRefE21_15x_0)</f>
        <v>0</v>
      </c>
      <c r="I79" s="1">
        <f>SUM(OSRRefE21_15x_1)</f>
        <v>0</v>
      </c>
      <c r="J79" s="1">
        <f>SUM(OSRRefE21_15x_2)</f>
        <v>0</v>
      </c>
      <c r="K79" s="1">
        <f>SUM(OSRRefE21_15x_3)</f>
        <v>0</v>
      </c>
      <c r="L79" s="1">
        <f>SUM(OSRRefE21_15x_4)</f>
        <v>0</v>
      </c>
      <c r="M79" s="1">
        <f>SUM(OSRRefE21_15x_5)</f>
        <v>0</v>
      </c>
      <c r="N79" s="1">
        <f>SUM(OSRRefE21_15x_6)</f>
        <v>0</v>
      </c>
      <c r="O79" s="1">
        <f>SUM(OSRRefE21_15x_7)</f>
        <v>0</v>
      </c>
      <c r="Q79" s="2">
        <f>SUM(OSRRefD20_15x)+IFERROR(SUM(OSRRefE20_15x),0)</f>
        <v>0</v>
      </c>
    </row>
    <row r="80" spans="1:17" s="34" customFormat="1" hidden="1" outlineLevel="1" x14ac:dyDescent="0.25">
      <c r="A80" s="35"/>
      <c r="B80" s="13" t="str">
        <f>CONCATENATE("          ","6376", " - ","TRAINING")</f>
        <v xml:space="preserve">          6376 - TRAINING</v>
      </c>
      <c r="C80" s="15"/>
      <c r="D80" s="2"/>
      <c r="E80" s="2"/>
      <c r="F80" s="2"/>
      <c r="G80" s="2"/>
      <c r="H80" s="2"/>
      <c r="I80" s="2"/>
      <c r="J80" s="2">
        <v>0</v>
      </c>
      <c r="K80" s="2"/>
      <c r="L80" s="2"/>
      <c r="M80" s="2"/>
      <c r="N80" s="2"/>
      <c r="O80" s="2"/>
      <c r="P80" s="9"/>
      <c r="Q80" s="2">
        <f>SUM(OSRRefD21_15_0x)+IFERROR(SUM(OSRRefE21_15_0x),0)</f>
        <v>0</v>
      </c>
    </row>
    <row r="81" spans="1:17" s="34" customFormat="1" collapsed="1" x14ac:dyDescent="0.25">
      <c r="A81" s="35"/>
      <c r="B81" s="15" t="str">
        <f>CONCATENATE("     ","Utilities                                         ")</f>
        <v xml:space="preserve">     Utilities                                         </v>
      </c>
      <c r="C81" s="15"/>
      <c r="D81" s="1">
        <f>SUM(OSRRefD21_16x_0)</f>
        <v>0</v>
      </c>
      <c r="E81" s="1">
        <f>SUM(OSRRefD21_16x_1)</f>
        <v>0</v>
      </c>
      <c r="F81" s="1">
        <f>SUM(OSRRefD21_16x_2)</f>
        <v>0</v>
      </c>
      <c r="G81" s="1">
        <f>SUM(OSRRefD21_16x_3)</f>
        <v>348</v>
      </c>
      <c r="H81" s="1">
        <f>SUM(OSRRefE21_16x_0)</f>
        <v>0</v>
      </c>
      <c r="I81" s="1">
        <f>SUM(OSRRefE21_16x_1)</f>
        <v>0</v>
      </c>
      <c r="J81" s="1">
        <f>SUM(OSRRefE21_16x_2)</f>
        <v>0</v>
      </c>
      <c r="K81" s="1">
        <f>SUM(OSRRefE21_16x_3)</f>
        <v>0</v>
      </c>
      <c r="L81" s="1">
        <f>SUM(OSRRefE21_16x_4)</f>
        <v>0</v>
      </c>
      <c r="M81" s="1">
        <f>SUM(OSRRefE21_16x_5)</f>
        <v>0</v>
      </c>
      <c r="N81" s="1">
        <f>SUM(OSRRefE21_16x_6)</f>
        <v>0</v>
      </c>
      <c r="O81" s="1">
        <f>SUM(OSRRefE21_16x_7)</f>
        <v>0</v>
      </c>
      <c r="Q81" s="2">
        <f>SUM(OSRRefD20_16x)+IFERROR(SUM(OSRRefE20_16x),0)</f>
        <v>348</v>
      </c>
    </row>
    <row r="82" spans="1:17" s="34" customFormat="1" hidden="1" outlineLevel="1" x14ac:dyDescent="0.25">
      <c r="A82" s="35"/>
      <c r="B82" s="13" t="str">
        <f>CONCATENATE("          ","6274", " - ","UTILITIES")</f>
        <v xml:space="preserve">          6274 - UTILITIES</v>
      </c>
      <c r="C82" s="15"/>
      <c r="D82" s="2"/>
      <c r="E82" s="2"/>
      <c r="F82" s="2"/>
      <c r="G82" s="2">
        <v>348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9"/>
      <c r="Q82" s="2">
        <f>SUM(OSRRefD21_16_0x)+IFERROR(SUM(OSRRefE21_16_0x),0)</f>
        <v>348</v>
      </c>
    </row>
    <row r="83" spans="1:17" s="28" customFormat="1" x14ac:dyDescent="0.25">
      <c r="A83" s="20"/>
      <c r="B83" s="20"/>
      <c r="C83" s="20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Q83" s="1"/>
    </row>
    <row r="84" spans="1:17" s="9" customFormat="1" x14ac:dyDescent="0.25">
      <c r="A84" s="22"/>
      <c r="B84" s="16" t="s">
        <v>0</v>
      </c>
      <c r="C84" s="23"/>
      <c r="D84" s="3">
        <f t="shared" ref="D84:G84" si="3">0</f>
        <v>0</v>
      </c>
      <c r="E84" s="3">
        <f t="shared" si="3"/>
        <v>0</v>
      </c>
      <c r="F84" s="3">
        <f t="shared" si="3"/>
        <v>0</v>
      </c>
      <c r="G84" s="3">
        <f t="shared" si="3"/>
        <v>0</v>
      </c>
      <c r="H84" s="3"/>
      <c r="I84" s="3"/>
      <c r="J84" s="3"/>
      <c r="K84" s="3"/>
      <c r="L84" s="3"/>
      <c r="M84" s="3"/>
      <c r="N84" s="3"/>
      <c r="O84" s="3"/>
      <c r="Q84" s="2">
        <f>SUM(OSRRefD23_0x)+IFERROR(SUM(OSRRefE23_0x),0)</f>
        <v>0</v>
      </c>
    </row>
    <row r="85" spans="1:17" x14ac:dyDescent="0.25">
      <c r="A85" s="5"/>
      <c r="B85" s="8"/>
      <c r="C85" s="8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s="14" customFormat="1" x14ac:dyDescent="0.25">
      <c r="A86" s="8"/>
      <c r="B86" s="17" t="s">
        <v>3</v>
      </c>
      <c r="C86" s="17"/>
      <c r="D86" s="6">
        <f t="shared" ref="D86:O86" si="4">IFERROR(+D17-D20+D84, 0)</f>
        <v>-6467.6</v>
      </c>
      <c r="E86" s="6">
        <f t="shared" si="4"/>
        <v>-4682.1000000000004</v>
      </c>
      <c r="F86" s="6">
        <f t="shared" si="4"/>
        <v>-11248.7</v>
      </c>
      <c r="G86" s="6">
        <f t="shared" si="4"/>
        <v>-5704.4400000000005</v>
      </c>
      <c r="H86" s="6">
        <f t="shared" si="4"/>
        <v>-7176</v>
      </c>
      <c r="I86" s="6">
        <f t="shared" si="4"/>
        <v>-7176</v>
      </c>
      <c r="J86" s="6">
        <f t="shared" si="4"/>
        <v>-7176</v>
      </c>
      <c r="K86" s="6">
        <f t="shared" si="4"/>
        <v>-7176</v>
      </c>
      <c r="L86" s="6">
        <f t="shared" si="4"/>
        <v>-7176</v>
      </c>
      <c r="M86" s="6">
        <f t="shared" si="4"/>
        <v>-7176</v>
      </c>
      <c r="N86" s="6">
        <f t="shared" si="4"/>
        <v>-7176</v>
      </c>
      <c r="O86" s="6">
        <f t="shared" si="4"/>
        <v>-7176</v>
      </c>
      <c r="Q86" s="6">
        <f>IFERROR(+Q17-Q20+Q84, 0)</f>
        <v>-85510.84</v>
      </c>
    </row>
    <row r="87" spans="1:17" s="8" customFormat="1" x14ac:dyDescent="0.25">
      <c r="B87" s="16"/>
      <c r="C87" s="16"/>
      <c r="D87" s="4">
        <f t="shared" ref="D87:O87" si="5">IFERROR(D86/D10, 0)</f>
        <v>0</v>
      </c>
      <c r="E87" s="4">
        <f t="shared" si="5"/>
        <v>0</v>
      </c>
      <c r="F87" s="4">
        <f t="shared" si="5"/>
        <v>0</v>
      </c>
      <c r="G87" s="4">
        <f t="shared" si="5"/>
        <v>0</v>
      </c>
      <c r="H87" s="4">
        <f t="shared" si="5"/>
        <v>0</v>
      </c>
      <c r="I87" s="4">
        <f t="shared" si="5"/>
        <v>0</v>
      </c>
      <c r="J87" s="4">
        <f t="shared" si="5"/>
        <v>0</v>
      </c>
      <c r="K87" s="4">
        <f t="shared" si="5"/>
        <v>0</v>
      </c>
      <c r="L87" s="4">
        <f t="shared" si="5"/>
        <v>0</v>
      </c>
      <c r="M87" s="4">
        <f t="shared" si="5"/>
        <v>0</v>
      </c>
      <c r="N87" s="4">
        <f t="shared" si="5"/>
        <v>0</v>
      </c>
      <c r="O87" s="4">
        <f t="shared" si="5"/>
        <v>0</v>
      </c>
      <c r="P87" s="18"/>
      <c r="Q87" s="4">
        <f>IFERROR(Q86/Q10, 0)</f>
        <v>0</v>
      </c>
    </row>
    <row r="88" spans="1:17" x14ac:dyDescent="0.25">
      <c r="A88" s="5"/>
      <c r="B88" s="8"/>
      <c r="C88" s="5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4" customFormat="1" x14ac:dyDescent="0.25">
      <c r="A89" s="25"/>
      <c r="B89" s="8" t="s">
        <v>8</v>
      </c>
      <c r="C89" s="8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2">
        <f>SUM(OSRRefD28_0x)+IFERROR(SUM(OSRRefE28_0x),0)</f>
        <v>0</v>
      </c>
    </row>
    <row r="90" spans="1:17" x14ac:dyDescent="0.25">
      <c r="A90" s="5"/>
      <c r="B90" s="8"/>
      <c r="C90" s="8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4" customFormat="1" ht="15.75" thickBot="1" x14ac:dyDescent="0.3">
      <c r="A91" s="8"/>
      <c r="B91" s="17" t="s">
        <v>4</v>
      </c>
      <c r="C91" s="17"/>
      <c r="D91" s="7">
        <f t="shared" ref="D91:O91" si="6">IFERROR(+D86-D89, 0)</f>
        <v>-6467.6</v>
      </c>
      <c r="E91" s="7">
        <f t="shared" si="6"/>
        <v>-4682.1000000000004</v>
      </c>
      <c r="F91" s="7">
        <f t="shared" si="6"/>
        <v>-11248.7</v>
      </c>
      <c r="G91" s="7">
        <f t="shared" si="6"/>
        <v>-5704.4400000000005</v>
      </c>
      <c r="H91" s="7">
        <f t="shared" si="6"/>
        <v>-7176</v>
      </c>
      <c r="I91" s="7">
        <f t="shared" si="6"/>
        <v>-7176</v>
      </c>
      <c r="J91" s="7">
        <f t="shared" si="6"/>
        <v>-7176</v>
      </c>
      <c r="K91" s="7">
        <f t="shared" si="6"/>
        <v>-7176</v>
      </c>
      <c r="L91" s="7">
        <f t="shared" si="6"/>
        <v>-7176</v>
      </c>
      <c r="M91" s="7">
        <f t="shared" si="6"/>
        <v>-7176</v>
      </c>
      <c r="N91" s="7">
        <f t="shared" si="6"/>
        <v>-7176</v>
      </c>
      <c r="O91" s="7">
        <f t="shared" si="6"/>
        <v>-7176</v>
      </c>
      <c r="Q91" s="7">
        <f>IFERROR(+Q86-Q89, 0)</f>
        <v>-85510.84</v>
      </c>
    </row>
    <row r="92" spans="1:17" ht="15.75" thickTop="1" x14ac:dyDescent="0.25">
      <c r="A92" s="5"/>
      <c r="B92" s="5"/>
      <c r="C92" s="5"/>
      <c r="D92" s="4">
        <f t="shared" ref="D92:O92" si="7">IFERROR(D91/D10, 0)</f>
        <v>0</v>
      </c>
      <c r="E92" s="4">
        <f t="shared" si="7"/>
        <v>0</v>
      </c>
      <c r="F92" s="4">
        <f t="shared" si="7"/>
        <v>0</v>
      </c>
      <c r="G92" s="4">
        <f t="shared" si="7"/>
        <v>0</v>
      </c>
      <c r="H92" s="4">
        <f t="shared" si="7"/>
        <v>0</v>
      </c>
      <c r="I92" s="4">
        <f t="shared" si="7"/>
        <v>0</v>
      </c>
      <c r="J92" s="4">
        <f t="shared" si="7"/>
        <v>0</v>
      </c>
      <c r="K92" s="4">
        <f t="shared" si="7"/>
        <v>0</v>
      </c>
      <c r="L92" s="4">
        <f t="shared" si="7"/>
        <v>0</v>
      </c>
      <c r="M92" s="4">
        <f t="shared" si="7"/>
        <v>0</v>
      </c>
      <c r="N92" s="4">
        <f t="shared" si="7"/>
        <v>0</v>
      </c>
      <c r="O92" s="4">
        <f t="shared" si="7"/>
        <v>0</v>
      </c>
      <c r="P92" s="18"/>
      <c r="Q92" s="4">
        <f>IFERROR(Q91/Q10, 0)</f>
        <v>0</v>
      </c>
    </row>
    <row r="93" spans="1:17" x14ac:dyDescent="0.25">
      <c r="A93" s="5"/>
      <c r="B93" s="5"/>
      <c r="C93" s="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x14ac:dyDescent="0.25">
      <c r="A94" s="5"/>
      <c r="B94" s="5"/>
      <c r="C94" s="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4" customFormat="1" ht="15.75" thickBot="1" x14ac:dyDescent="0.3">
      <c r="A95" s="8"/>
      <c r="B95" s="17" t="s">
        <v>5</v>
      </c>
      <c r="C95" s="17"/>
      <c r="D95" s="7">
        <f t="shared" ref="D95:O95" si="8">IFERROR(SUM(D91:D94), 0)</f>
        <v>-6467.6</v>
      </c>
      <c r="E95" s="7">
        <f t="shared" si="8"/>
        <v>-4682.1000000000004</v>
      </c>
      <c r="F95" s="7">
        <f t="shared" si="8"/>
        <v>-11248.7</v>
      </c>
      <c r="G95" s="7">
        <f t="shared" si="8"/>
        <v>-5704.4400000000005</v>
      </c>
      <c r="H95" s="7">
        <f t="shared" si="8"/>
        <v>-7176</v>
      </c>
      <c r="I95" s="7">
        <f t="shared" si="8"/>
        <v>-7176</v>
      </c>
      <c r="J95" s="7">
        <f t="shared" si="8"/>
        <v>-7176</v>
      </c>
      <c r="K95" s="7">
        <f t="shared" si="8"/>
        <v>-7176</v>
      </c>
      <c r="L95" s="7">
        <f t="shared" si="8"/>
        <v>-7176</v>
      </c>
      <c r="M95" s="7">
        <f t="shared" si="8"/>
        <v>-7176</v>
      </c>
      <c r="N95" s="7">
        <f t="shared" si="8"/>
        <v>-7176</v>
      </c>
      <c r="O95" s="7">
        <f t="shared" si="8"/>
        <v>-7176</v>
      </c>
      <c r="Q95" s="7">
        <f>IFERROR(SUM(Q91:Q94), 0)</f>
        <v>-85510.84</v>
      </c>
    </row>
    <row r="96" spans="1:17" ht="15.75" thickTop="1" x14ac:dyDescent="0.25">
      <c r="A96" s="5"/>
      <c r="C96" s="5"/>
      <c r="D96" s="4">
        <f t="shared" ref="D96:O96" si="9">IFERROR(D95/D10, 0)</f>
        <v>0</v>
      </c>
      <c r="E96" s="4">
        <f t="shared" si="9"/>
        <v>0</v>
      </c>
      <c r="F96" s="4">
        <f t="shared" si="9"/>
        <v>0</v>
      </c>
      <c r="G96" s="4">
        <f t="shared" si="9"/>
        <v>0</v>
      </c>
      <c r="H96" s="4">
        <f t="shared" si="9"/>
        <v>0</v>
      </c>
      <c r="I96" s="4">
        <f t="shared" si="9"/>
        <v>0</v>
      </c>
      <c r="J96" s="4">
        <f t="shared" si="9"/>
        <v>0</v>
      </c>
      <c r="K96" s="4">
        <f t="shared" si="9"/>
        <v>0</v>
      </c>
      <c r="L96" s="4">
        <f t="shared" si="9"/>
        <v>0</v>
      </c>
      <c r="M96" s="4">
        <f t="shared" si="9"/>
        <v>0</v>
      </c>
      <c r="N96" s="4">
        <f t="shared" si="9"/>
        <v>0</v>
      </c>
      <c r="O96" s="4">
        <f t="shared" si="9"/>
        <v>0</v>
      </c>
      <c r="P96" s="18"/>
      <c r="Q96" s="4">
        <f>IFERROR(Q95/Q10, 0)</f>
        <v>0</v>
      </c>
    </row>
    <row r="97" spans="1:17" x14ac:dyDescent="0.25">
      <c r="A97" s="5"/>
      <c r="B97" s="26">
        <v>44151.564951817127</v>
      </c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Q97" s="12"/>
    </row>
    <row r="98" spans="1:17" x14ac:dyDescent="0.25">
      <c r="A98" s="5"/>
      <c r="B98" s="30" t="s">
        <v>311</v>
      </c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Q98" s="12"/>
    </row>
    <row r="99" spans="1:17" x14ac:dyDescent="0.25">
      <c r="A99" s="5"/>
      <c r="B99" s="31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Q99" s="12"/>
    </row>
    <row r="100" spans="1:17" x14ac:dyDescent="0.25"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Q100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4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","406", " - ", "OPA! Greek")</f>
        <v>Department 406 - OPA! Greek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0">
        <f>SUM(OSRRefD20x_0)</f>
        <v>880.36999999999989</v>
      </c>
      <c r="E17" s="10">
        <f>SUM(OSRRefD20x_1)</f>
        <v>234.14999999999998</v>
      </c>
      <c r="F17" s="10">
        <f>SUM(OSRRefD20x_2)</f>
        <v>188.84</v>
      </c>
      <c r="G17" s="10">
        <f>SUM(OSRRefD20x_3)</f>
        <v>132.75</v>
      </c>
      <c r="H17" s="10">
        <f>SUM(OSRRefE20x_0)</f>
        <v>435</v>
      </c>
      <c r="I17" s="10">
        <f>SUM(OSRRefE20x_1)</f>
        <v>435</v>
      </c>
      <c r="J17" s="10">
        <f>SUM(OSRRefE20x_2)</f>
        <v>435</v>
      </c>
      <c r="K17" s="10">
        <f>SUM(OSRRefE20x_3)</f>
        <v>435</v>
      </c>
      <c r="L17" s="10">
        <f>SUM(OSRRefE20x_4)</f>
        <v>435</v>
      </c>
      <c r="M17" s="10">
        <f>SUM(OSRRefE20x_5)</f>
        <v>435</v>
      </c>
      <c r="N17" s="10">
        <f>SUM(OSRRefE20x_6)</f>
        <v>435</v>
      </c>
      <c r="O17" s="10">
        <f>SUM(OSRRefE20x_7)</f>
        <v>435</v>
      </c>
      <c r="Q17" s="10">
        <f>SUM(OSRRefG20x)</f>
        <v>4916.1100000000006</v>
      </c>
    </row>
    <row r="18" spans="1:17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660.8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SUM(OSRRefE21_0x_0)</f>
        <v>0</v>
      </c>
      <c r="I18" s="1">
        <f>SUM(OSRRefE21_0x_1)</f>
        <v>0</v>
      </c>
      <c r="J18" s="1">
        <f>SUM(OSRRefE21_0x_2)</f>
        <v>0</v>
      </c>
      <c r="K18" s="1">
        <f>SUM(OSRRefE21_0x_3)</f>
        <v>0</v>
      </c>
      <c r="L18" s="1">
        <f>SUM(OSRRefE21_0x_4)</f>
        <v>0</v>
      </c>
      <c r="M18" s="1">
        <f>SUM(OSRRefE21_0x_5)</f>
        <v>0</v>
      </c>
      <c r="N18" s="1">
        <f>SUM(OSRRefE21_0x_6)</f>
        <v>0</v>
      </c>
      <c r="O18" s="1">
        <f>SUM(OSRRefE21_0x_7)</f>
        <v>0</v>
      </c>
      <c r="Q18" s="2">
        <f>SUM(OSRRefD20_0x)+IFERROR(SUM(OSRRefE20_0x),0)</f>
        <v>660.8</v>
      </c>
    </row>
    <row r="19" spans="1:17" s="34" customFormat="1" hidden="1" outlineLevel="1" x14ac:dyDescent="0.25">
      <c r="A19" s="35"/>
      <c r="B19" s="13" t="str">
        <f>CONCATENATE("          ","6113", " - ","GROUP INSURANCE")</f>
        <v xml:space="preserve">          6113 - GROUP INSURANCE</v>
      </c>
      <c r="C19" s="15"/>
      <c r="D19" s="2">
        <v>660.8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660.8</v>
      </c>
    </row>
    <row r="20" spans="1:17" s="34" customFormat="1" collapsed="1" x14ac:dyDescent="0.25">
      <c r="A20" s="35"/>
      <c r="B20" s="15" t="str">
        <f>CONCATENATE("     ","Depreciation                                      ")</f>
        <v xml:space="preserve">     Depreciation                                      </v>
      </c>
      <c r="C20" s="15"/>
      <c r="D20" s="1">
        <f>SUM(OSRRefD21_1x_0)</f>
        <v>119.55</v>
      </c>
      <c r="E20" s="1">
        <f>SUM(OSRRefD21_1x_1)</f>
        <v>119.55</v>
      </c>
      <c r="F20" s="1">
        <f>SUM(OSRRefD21_1x_2)</f>
        <v>119.55</v>
      </c>
      <c r="G20" s="1">
        <f>SUM(OSRRefD21_1x_3)</f>
        <v>119.55</v>
      </c>
      <c r="H20" s="1">
        <f>SUM(OSRRefE21_1x_0)</f>
        <v>435</v>
      </c>
      <c r="I20" s="1">
        <f>SUM(OSRRefE21_1x_1)</f>
        <v>435</v>
      </c>
      <c r="J20" s="1">
        <f>SUM(OSRRefE21_1x_2)</f>
        <v>435</v>
      </c>
      <c r="K20" s="1">
        <f>SUM(OSRRefE21_1x_3)</f>
        <v>435</v>
      </c>
      <c r="L20" s="1">
        <f>SUM(OSRRefE21_1x_4)</f>
        <v>435</v>
      </c>
      <c r="M20" s="1">
        <f>SUM(OSRRefE21_1x_5)</f>
        <v>435</v>
      </c>
      <c r="N20" s="1">
        <f>SUM(OSRRefE21_1x_6)</f>
        <v>435</v>
      </c>
      <c r="O20" s="1">
        <f>SUM(OSRRefE21_1x_7)</f>
        <v>435</v>
      </c>
      <c r="Q20" s="2">
        <f>SUM(OSRRefD20_1x)+IFERROR(SUM(OSRRefE20_1x),0)</f>
        <v>3958.2</v>
      </c>
    </row>
    <row r="21" spans="1:17" s="34" customFormat="1" hidden="1" outlineLevel="1" x14ac:dyDescent="0.25">
      <c r="A21" s="35"/>
      <c r="B21" s="13" t="str">
        <f>CONCATENATE("          ","6322", " - ","EQUIPMENT DEPRECIATION EXPENSE")</f>
        <v xml:space="preserve">          6322 - EQUIPMENT DEPRECIATION EXPENSE</v>
      </c>
      <c r="C21" s="15"/>
      <c r="D21" s="2">
        <v>119.55</v>
      </c>
      <c r="E21" s="2">
        <v>119.55</v>
      </c>
      <c r="F21" s="2">
        <v>119.55</v>
      </c>
      <c r="G21" s="2">
        <v>119.55</v>
      </c>
      <c r="H21" s="2">
        <v>435</v>
      </c>
      <c r="I21" s="2">
        <v>435</v>
      </c>
      <c r="J21" s="2">
        <v>435</v>
      </c>
      <c r="K21" s="2">
        <v>435</v>
      </c>
      <c r="L21" s="2">
        <v>435</v>
      </c>
      <c r="M21" s="2">
        <v>435</v>
      </c>
      <c r="N21" s="2">
        <v>435</v>
      </c>
      <c r="O21" s="2">
        <v>435</v>
      </c>
      <c r="P21" s="9"/>
      <c r="Q21" s="2">
        <f>SUM(OSRRefD21_1_0x)+IFERROR(SUM(OSRRefE21_1_0x),0)</f>
        <v>3958.2</v>
      </c>
    </row>
    <row r="22" spans="1:17" s="34" customFormat="1" collapsed="1" x14ac:dyDescent="0.25">
      <c r="A22" s="35"/>
      <c r="B22" s="15" t="str">
        <f>CONCATENATE("     ","Equipment Rental                                  ")</f>
        <v xml:space="preserve">     Equipment Rental                                  </v>
      </c>
      <c r="C22" s="15"/>
      <c r="D22" s="1">
        <f>SUM(OSRRefD21_2x_0)</f>
        <v>64.02</v>
      </c>
      <c r="E22" s="1">
        <f>SUM(OSRRefD21_2x_1)</f>
        <v>0</v>
      </c>
      <c r="F22" s="1">
        <f>SUM(OSRRefD21_2x_2)</f>
        <v>0</v>
      </c>
      <c r="G22" s="1">
        <f>SUM(OSRRefD21_2x_3)</f>
        <v>0</v>
      </c>
      <c r="H22" s="1">
        <f>SUM(OSRRefE21_2x_0)</f>
        <v>0</v>
      </c>
      <c r="I22" s="1">
        <f>SUM(OSRRefE21_2x_1)</f>
        <v>0</v>
      </c>
      <c r="J22" s="1">
        <f>SUM(OSRRefE21_2x_2)</f>
        <v>0</v>
      </c>
      <c r="K22" s="1">
        <f>SUM(OSRRefE21_2x_3)</f>
        <v>0</v>
      </c>
      <c r="L22" s="1">
        <f>SUM(OSRRefE21_2x_4)</f>
        <v>0</v>
      </c>
      <c r="M22" s="1">
        <f>SUM(OSRRefE21_2x_5)</f>
        <v>0</v>
      </c>
      <c r="N22" s="1">
        <f>SUM(OSRRefE21_2x_6)</f>
        <v>0</v>
      </c>
      <c r="O22" s="1">
        <f>SUM(OSRRefE21_2x_7)</f>
        <v>0</v>
      </c>
      <c r="Q22" s="2">
        <f>SUM(OSRRefD20_2x)+IFERROR(SUM(OSRRefE20_2x),0)</f>
        <v>64.02</v>
      </c>
    </row>
    <row r="23" spans="1:17" s="34" customFormat="1" hidden="1" outlineLevel="1" x14ac:dyDescent="0.25">
      <c r="A23" s="35"/>
      <c r="B23" s="13" t="str">
        <f>CONCATENATE("          ","6351", " - ","EQUIPMENT RENTAL")</f>
        <v xml:space="preserve">          6351 - EQUIPMENT RENTAL</v>
      </c>
      <c r="C23" s="15"/>
      <c r="D23" s="2">
        <v>64.02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64.02</v>
      </c>
    </row>
    <row r="24" spans="1:17" s="34" customFormat="1" collapsed="1" x14ac:dyDescent="0.25">
      <c r="A24" s="35"/>
      <c r="B24" s="15" t="str">
        <f>CONCATENATE("     ","Repair and Maintenance                            ")</f>
        <v xml:space="preserve">     Repair and Maintenance                            </v>
      </c>
      <c r="C24" s="15"/>
      <c r="D24" s="1">
        <f>SUM(OSRRefD21_3x_0)</f>
        <v>0</v>
      </c>
      <c r="E24" s="1">
        <f>SUM(OSRRefD21_3x_1)</f>
        <v>78.599999999999994</v>
      </c>
      <c r="F24" s="1">
        <f>SUM(OSRRefD21_3x_2)</f>
        <v>69.290000000000006</v>
      </c>
      <c r="G24" s="1">
        <f>SUM(OSRRefD21_3x_3)</f>
        <v>0</v>
      </c>
      <c r="H24" s="1">
        <f>SUM(OSRRefE21_3x_0)</f>
        <v>0</v>
      </c>
      <c r="I24" s="1">
        <f>SUM(OSRRefE21_3x_1)</f>
        <v>0</v>
      </c>
      <c r="J24" s="1">
        <f>SUM(OSRRefE21_3x_2)</f>
        <v>0</v>
      </c>
      <c r="K24" s="1">
        <f>SUM(OSRRefE21_3x_3)</f>
        <v>0</v>
      </c>
      <c r="L24" s="1">
        <f>SUM(OSRRefE21_3x_4)</f>
        <v>0</v>
      </c>
      <c r="M24" s="1">
        <f>SUM(OSRRefE21_3x_5)</f>
        <v>0</v>
      </c>
      <c r="N24" s="1">
        <f>SUM(OSRRefE21_3x_6)</f>
        <v>0</v>
      </c>
      <c r="O24" s="1">
        <f>SUM(OSRRefE21_3x_7)</f>
        <v>0</v>
      </c>
      <c r="Q24" s="2">
        <f>SUM(OSRRefD20_3x)+IFERROR(SUM(OSRRefE20_3x),0)</f>
        <v>147.88999999999999</v>
      </c>
    </row>
    <row r="25" spans="1:17" s="34" customFormat="1" hidden="1" outlineLevel="1" x14ac:dyDescent="0.25">
      <c r="A25" s="35"/>
      <c r="B25" s="13" t="str">
        <f>CONCATENATE("          ","6373", " - ","MAINTENANCE CONTRACTS")</f>
        <v xml:space="preserve">          6373 - MAINTENANCE CONTRACTS</v>
      </c>
      <c r="C25" s="15"/>
      <c r="D25" s="2"/>
      <c r="E25" s="2">
        <v>78.599999999999994</v>
      </c>
      <c r="F25" s="2">
        <v>69.290000000000006</v>
      </c>
      <c r="G25" s="2"/>
      <c r="H25" s="2"/>
      <c r="I25" s="2"/>
      <c r="J25" s="2"/>
      <c r="K25" s="2"/>
      <c r="L25" s="2"/>
      <c r="M25" s="2"/>
      <c r="N25" s="2"/>
      <c r="O25" s="2"/>
      <c r="P25" s="9"/>
      <c r="Q25" s="2">
        <f>SUM(OSRRefD21_3_0x)+IFERROR(SUM(OSRRefE21_3_0x),0)</f>
        <v>147.88999999999999</v>
      </c>
    </row>
    <row r="26" spans="1:17" s="34" customFormat="1" collapsed="1" x14ac:dyDescent="0.25">
      <c r="A26" s="35"/>
      <c r="B26" s="15" t="str">
        <f>CONCATENATE("     ","Telephone/Data Lines                              ")</f>
        <v xml:space="preserve">     Telephone/Data Lines                              </v>
      </c>
      <c r="C26" s="15"/>
      <c r="D26" s="1">
        <f>SUM(OSRRefD21_4x_0)</f>
        <v>36</v>
      </c>
      <c r="E26" s="1">
        <f>SUM(OSRRefD21_4x_1)</f>
        <v>36</v>
      </c>
      <c r="F26" s="1">
        <f>SUM(OSRRefD21_4x_2)</f>
        <v>0</v>
      </c>
      <c r="G26" s="1">
        <f>SUM(OSRRefD21_4x_3)</f>
        <v>13.2</v>
      </c>
      <c r="H26" s="1">
        <f>SUM(OSRRefE21_4x_0)</f>
        <v>0</v>
      </c>
      <c r="I26" s="1">
        <f>SUM(OSRRefE21_4x_1)</f>
        <v>0</v>
      </c>
      <c r="J26" s="1">
        <f>SUM(OSRRefE21_4x_2)</f>
        <v>0</v>
      </c>
      <c r="K26" s="1">
        <f>SUM(OSRRefE21_4x_3)</f>
        <v>0</v>
      </c>
      <c r="L26" s="1">
        <f>SUM(OSRRefE21_4x_4)</f>
        <v>0</v>
      </c>
      <c r="M26" s="1">
        <f>SUM(OSRRefE21_4x_5)</f>
        <v>0</v>
      </c>
      <c r="N26" s="1">
        <f>SUM(OSRRefE21_4x_6)</f>
        <v>0</v>
      </c>
      <c r="O26" s="1">
        <f>SUM(OSRRefE21_4x_7)</f>
        <v>0</v>
      </c>
      <c r="Q26" s="2">
        <f>SUM(OSRRefD20_4x)+IFERROR(SUM(OSRRefE20_4x),0)</f>
        <v>85.2</v>
      </c>
    </row>
    <row r="27" spans="1:17" s="34" customFormat="1" hidden="1" outlineLevel="1" x14ac:dyDescent="0.25">
      <c r="A27" s="35"/>
      <c r="B27" s="13" t="str">
        <f>CONCATENATE("          ","6309", " - ","TELEPHONE")</f>
        <v xml:space="preserve">          6309 - TELEPHONE</v>
      </c>
      <c r="C27" s="15"/>
      <c r="D27" s="2">
        <v>36</v>
      </c>
      <c r="E27" s="2">
        <v>36</v>
      </c>
      <c r="F27" s="2"/>
      <c r="G27" s="2">
        <v>13.2</v>
      </c>
      <c r="H27" s="2"/>
      <c r="I27" s="2"/>
      <c r="J27" s="2"/>
      <c r="K27" s="2"/>
      <c r="L27" s="2"/>
      <c r="M27" s="2"/>
      <c r="N27" s="2"/>
      <c r="O27" s="2"/>
      <c r="P27" s="9"/>
      <c r="Q27" s="2">
        <f>SUM(OSRRefD21_4_0x)+IFERROR(SUM(OSRRefE21_4_0x),0)</f>
        <v>85.2</v>
      </c>
    </row>
    <row r="28" spans="1:17" s="28" customFormat="1" x14ac:dyDescent="0.25">
      <c r="A28" s="20"/>
      <c r="B28" s="20"/>
      <c r="C28" s="20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Q28" s="1"/>
    </row>
    <row r="29" spans="1:17" s="9" customFormat="1" x14ac:dyDescent="0.25">
      <c r="A29" s="22"/>
      <c r="B29" s="16" t="s">
        <v>0</v>
      </c>
      <c r="C29" s="23"/>
      <c r="D29" s="3">
        <f t="shared" ref="D29:G29" si="4">0</f>
        <v>0</v>
      </c>
      <c r="E29" s="3">
        <f t="shared" si="4"/>
        <v>0</v>
      </c>
      <c r="F29" s="3">
        <f t="shared" si="4"/>
        <v>0</v>
      </c>
      <c r="G29" s="3">
        <f t="shared" si="4"/>
        <v>0</v>
      </c>
      <c r="H29" s="3"/>
      <c r="I29" s="3"/>
      <c r="J29" s="3"/>
      <c r="K29" s="3"/>
      <c r="L29" s="3"/>
      <c r="M29" s="3"/>
      <c r="N29" s="3"/>
      <c r="O29" s="3"/>
      <c r="Q29" s="2">
        <f>SUM(OSRRefD23_0x)+IFERROR(SUM(OSRRefE23_0x),0)</f>
        <v>0</v>
      </c>
    </row>
    <row r="30" spans="1:17" x14ac:dyDescent="0.25">
      <c r="A30" s="5"/>
      <c r="B30" s="8"/>
      <c r="C30" s="8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s="14" customFormat="1" x14ac:dyDescent="0.25">
      <c r="A31" s="8"/>
      <c r="B31" s="17" t="s">
        <v>3</v>
      </c>
      <c r="C31" s="17"/>
      <c r="D31" s="6">
        <f t="shared" ref="D31:O31" si="5">IFERROR(+D14-D17+D29, 0)</f>
        <v>-880.36999999999989</v>
      </c>
      <c r="E31" s="6">
        <f t="shared" si="5"/>
        <v>-234.14999999999998</v>
      </c>
      <c r="F31" s="6">
        <f t="shared" si="5"/>
        <v>-188.84</v>
      </c>
      <c r="G31" s="6">
        <f t="shared" si="5"/>
        <v>-132.75</v>
      </c>
      <c r="H31" s="6">
        <f t="shared" si="5"/>
        <v>-435</v>
      </c>
      <c r="I31" s="6">
        <f t="shared" si="5"/>
        <v>-435</v>
      </c>
      <c r="J31" s="6">
        <f t="shared" si="5"/>
        <v>-435</v>
      </c>
      <c r="K31" s="6">
        <f t="shared" si="5"/>
        <v>-435</v>
      </c>
      <c r="L31" s="6">
        <f t="shared" si="5"/>
        <v>-435</v>
      </c>
      <c r="M31" s="6">
        <f t="shared" si="5"/>
        <v>-435</v>
      </c>
      <c r="N31" s="6">
        <f t="shared" si="5"/>
        <v>-435</v>
      </c>
      <c r="O31" s="6">
        <f t="shared" si="5"/>
        <v>-435</v>
      </c>
      <c r="Q31" s="6">
        <f>IFERROR(+Q14-Q17+Q29, 0)</f>
        <v>-4916.1100000000006</v>
      </c>
    </row>
    <row r="32" spans="1:17" s="8" customFormat="1" x14ac:dyDescent="0.25">
      <c r="B32" s="16"/>
      <c r="C32" s="16"/>
      <c r="D32" s="4">
        <f t="shared" ref="D32:O32" si="6">IFERROR(D31/D10, 0)</f>
        <v>0</v>
      </c>
      <c r="E32" s="4">
        <f t="shared" si="6"/>
        <v>0</v>
      </c>
      <c r="F32" s="4">
        <f t="shared" si="6"/>
        <v>0</v>
      </c>
      <c r="G32" s="4">
        <f t="shared" si="6"/>
        <v>0</v>
      </c>
      <c r="H32" s="4">
        <f t="shared" si="6"/>
        <v>0</v>
      </c>
      <c r="I32" s="4">
        <f t="shared" si="6"/>
        <v>0</v>
      </c>
      <c r="J32" s="4">
        <f t="shared" si="6"/>
        <v>0</v>
      </c>
      <c r="K32" s="4">
        <f t="shared" si="6"/>
        <v>0</v>
      </c>
      <c r="L32" s="4">
        <f t="shared" si="6"/>
        <v>0</v>
      </c>
      <c r="M32" s="4">
        <f t="shared" si="6"/>
        <v>0</v>
      </c>
      <c r="N32" s="4">
        <f t="shared" si="6"/>
        <v>0</v>
      </c>
      <c r="O32" s="4">
        <f t="shared" si="6"/>
        <v>0</v>
      </c>
      <c r="P32" s="18"/>
      <c r="Q32" s="4">
        <f>IFERROR(Q31/Q10, 0)</f>
        <v>0</v>
      </c>
    </row>
    <row r="33" spans="1:17" x14ac:dyDescent="0.25">
      <c r="A33" s="5"/>
      <c r="B33" s="8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4" customFormat="1" x14ac:dyDescent="0.25">
      <c r="A34" s="25"/>
      <c r="B34" s="8" t="s">
        <v>8</v>
      </c>
      <c r="C34" s="8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2">
        <f>SUM(OSRRefD28_0x)+IFERROR(SUM(OSRRefE28_0x),0)</f>
        <v>0</v>
      </c>
    </row>
    <row r="35" spans="1:17" x14ac:dyDescent="0.25">
      <c r="A35" s="5"/>
      <c r="B35" s="8"/>
      <c r="C35" s="8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4" customFormat="1" ht="15.75" thickBot="1" x14ac:dyDescent="0.3">
      <c r="A36" s="8"/>
      <c r="B36" s="17" t="s">
        <v>4</v>
      </c>
      <c r="C36" s="17"/>
      <c r="D36" s="7">
        <f t="shared" ref="D36:O36" si="7">IFERROR(+D31-D34, 0)</f>
        <v>-880.36999999999989</v>
      </c>
      <c r="E36" s="7">
        <f t="shared" si="7"/>
        <v>-234.14999999999998</v>
      </c>
      <c r="F36" s="7">
        <f t="shared" si="7"/>
        <v>-188.84</v>
      </c>
      <c r="G36" s="7">
        <f t="shared" si="7"/>
        <v>-132.75</v>
      </c>
      <c r="H36" s="7">
        <f t="shared" si="7"/>
        <v>-435</v>
      </c>
      <c r="I36" s="7">
        <f t="shared" si="7"/>
        <v>-435</v>
      </c>
      <c r="J36" s="7">
        <f t="shared" si="7"/>
        <v>-435</v>
      </c>
      <c r="K36" s="7">
        <f t="shared" si="7"/>
        <v>-435</v>
      </c>
      <c r="L36" s="7">
        <f t="shared" si="7"/>
        <v>-435</v>
      </c>
      <c r="M36" s="7">
        <f t="shared" si="7"/>
        <v>-435</v>
      </c>
      <c r="N36" s="7">
        <f t="shared" si="7"/>
        <v>-435</v>
      </c>
      <c r="O36" s="7">
        <f t="shared" si="7"/>
        <v>-435</v>
      </c>
      <c r="Q36" s="7">
        <f>IFERROR(+Q31-Q34, 0)</f>
        <v>-4916.1100000000006</v>
      </c>
    </row>
    <row r="37" spans="1:17" ht="15.75" thickTop="1" x14ac:dyDescent="0.25">
      <c r="A37" s="5"/>
      <c r="B37" s="5"/>
      <c r="C37" s="5"/>
      <c r="D37" s="4">
        <f t="shared" ref="D37:O37" si="8">IFERROR(D36/D10, 0)</f>
        <v>0</v>
      </c>
      <c r="E37" s="4">
        <f t="shared" si="8"/>
        <v>0</v>
      </c>
      <c r="F37" s="4">
        <f t="shared" si="8"/>
        <v>0</v>
      </c>
      <c r="G37" s="4">
        <f t="shared" si="8"/>
        <v>0</v>
      </c>
      <c r="H37" s="4">
        <f t="shared" si="8"/>
        <v>0</v>
      </c>
      <c r="I37" s="4">
        <f t="shared" si="8"/>
        <v>0</v>
      </c>
      <c r="J37" s="4">
        <f t="shared" si="8"/>
        <v>0</v>
      </c>
      <c r="K37" s="4">
        <f t="shared" si="8"/>
        <v>0</v>
      </c>
      <c r="L37" s="4">
        <f t="shared" si="8"/>
        <v>0</v>
      </c>
      <c r="M37" s="4">
        <f t="shared" si="8"/>
        <v>0</v>
      </c>
      <c r="N37" s="4">
        <f t="shared" si="8"/>
        <v>0</v>
      </c>
      <c r="O37" s="4">
        <f t="shared" si="8"/>
        <v>0</v>
      </c>
      <c r="P37" s="18"/>
      <c r="Q37" s="4">
        <f>IFERROR(Q36/Q10, 0)</f>
        <v>0</v>
      </c>
    </row>
    <row r="38" spans="1:17" x14ac:dyDescent="0.25">
      <c r="A38" s="5"/>
      <c r="B38" s="5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x14ac:dyDescent="0.25">
      <c r="A39" s="5"/>
      <c r="B39" s="5"/>
      <c r="C39" s="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Q39" s="3"/>
    </row>
    <row r="40" spans="1:17" s="14" customFormat="1" ht="15.75" thickBot="1" x14ac:dyDescent="0.3">
      <c r="A40" s="8"/>
      <c r="B40" s="17" t="s">
        <v>5</v>
      </c>
      <c r="C40" s="17"/>
      <c r="D40" s="7">
        <f t="shared" ref="D40:O40" si="9">IFERROR(SUM(D36:D39), 0)</f>
        <v>-880.36999999999989</v>
      </c>
      <c r="E40" s="7">
        <f t="shared" si="9"/>
        <v>-234.14999999999998</v>
      </c>
      <c r="F40" s="7">
        <f t="shared" si="9"/>
        <v>-188.84</v>
      </c>
      <c r="G40" s="7">
        <f t="shared" si="9"/>
        <v>-132.75</v>
      </c>
      <c r="H40" s="7">
        <f t="shared" si="9"/>
        <v>-435</v>
      </c>
      <c r="I40" s="7">
        <f t="shared" si="9"/>
        <v>-435</v>
      </c>
      <c r="J40" s="7">
        <f t="shared" si="9"/>
        <v>-435</v>
      </c>
      <c r="K40" s="7">
        <f t="shared" si="9"/>
        <v>-435</v>
      </c>
      <c r="L40" s="7">
        <f t="shared" si="9"/>
        <v>-435</v>
      </c>
      <c r="M40" s="7">
        <f t="shared" si="9"/>
        <v>-435</v>
      </c>
      <c r="N40" s="7">
        <f t="shared" si="9"/>
        <v>-435</v>
      </c>
      <c r="O40" s="7">
        <f t="shared" si="9"/>
        <v>-435</v>
      </c>
      <c r="Q40" s="7">
        <f>IFERROR(SUM(Q36:Q39), 0)</f>
        <v>-4916.1100000000006</v>
      </c>
    </row>
    <row r="41" spans="1:17" ht="15.75" thickTop="1" x14ac:dyDescent="0.25">
      <c r="A41" s="5"/>
      <c r="C41" s="5"/>
      <c r="D41" s="4">
        <f t="shared" ref="D41:O41" si="10">IFERROR(D40/D10, 0)</f>
        <v>0</v>
      </c>
      <c r="E41" s="4">
        <f t="shared" si="10"/>
        <v>0</v>
      </c>
      <c r="F41" s="4">
        <f t="shared" si="10"/>
        <v>0</v>
      </c>
      <c r="G41" s="4">
        <f t="shared" si="10"/>
        <v>0</v>
      </c>
      <c r="H41" s="4">
        <f t="shared" si="10"/>
        <v>0</v>
      </c>
      <c r="I41" s="4">
        <f t="shared" si="10"/>
        <v>0</v>
      </c>
      <c r="J41" s="4">
        <f t="shared" si="10"/>
        <v>0</v>
      </c>
      <c r="K41" s="4">
        <f t="shared" si="10"/>
        <v>0</v>
      </c>
      <c r="L41" s="4">
        <f t="shared" si="10"/>
        <v>0</v>
      </c>
      <c r="M41" s="4">
        <f t="shared" si="10"/>
        <v>0</v>
      </c>
      <c r="N41" s="4">
        <f t="shared" si="10"/>
        <v>0</v>
      </c>
      <c r="O41" s="4">
        <f t="shared" si="10"/>
        <v>0</v>
      </c>
      <c r="P41" s="18"/>
      <c r="Q41" s="4">
        <f>IFERROR(Q40/Q10, 0)</f>
        <v>0</v>
      </c>
    </row>
    <row r="42" spans="1:17" x14ac:dyDescent="0.25">
      <c r="A42" s="5"/>
      <c r="B42" s="26">
        <v>44151.564960995369</v>
      </c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Q42" s="12"/>
    </row>
    <row r="43" spans="1:17" x14ac:dyDescent="0.25">
      <c r="A43" s="5"/>
      <c r="B43" s="30" t="s">
        <v>311</v>
      </c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Q43" s="12"/>
    </row>
    <row r="44" spans="1:17" x14ac:dyDescent="0.25">
      <c r="A44" s="5"/>
      <c r="B44" s="31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Q44" s="12"/>
    </row>
    <row r="45" spans="1:17" x14ac:dyDescent="0.25"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Q45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","411", " - ", "University Dining")</f>
        <v>Department 411 - University Dining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0">
        <f>SUM(OSRRefD20x_0)</f>
        <v>30652.21</v>
      </c>
      <c r="E17" s="10">
        <f>SUM(OSRRefD20x_1)</f>
        <v>-329.99999999999926</v>
      </c>
      <c r="F17" s="10">
        <f>SUM(OSRRefD20x_2)</f>
        <v>28429.94</v>
      </c>
      <c r="G17" s="10">
        <f>SUM(OSRRefD20x_3)</f>
        <v>25379.569999999992</v>
      </c>
      <c r="H17" s="10">
        <f>SUM(OSRRefE20x_0)</f>
        <v>23939.552380000001</v>
      </c>
      <c r="I17" s="10">
        <f>SUM(OSRRefE20x_1)</f>
        <v>25466.552380000001</v>
      </c>
      <c r="J17" s="10">
        <f>SUM(OSRRefE20x_2)</f>
        <v>25795.690474999999</v>
      </c>
      <c r="K17" s="10">
        <f>SUM(OSRRefE20x_3)</f>
        <v>23939.552380000001</v>
      </c>
      <c r="L17" s="10">
        <f>SUM(OSRRefE20x_4)</f>
        <v>23939.552380000001</v>
      </c>
      <c r="M17" s="10">
        <f>SUM(OSRRefE20x_5)</f>
        <v>25795.690474999999</v>
      </c>
      <c r="N17" s="10">
        <f>SUM(OSRRefE20x_6)</f>
        <v>23939.552380000001</v>
      </c>
      <c r="O17" s="10">
        <f>SUM(OSRRefE20x_7)</f>
        <v>23118.552380000001</v>
      </c>
      <c r="Q17" s="10">
        <f>SUM(OSRRefG20x)</f>
        <v>280066.41522999998</v>
      </c>
    </row>
    <row r="18" spans="1:17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5378.3899999999994</v>
      </c>
      <c r="E18" s="1">
        <f>SUM(OSRRefD21_0x_1)</f>
        <v>5680.1500000000005</v>
      </c>
      <c r="F18" s="1">
        <f>SUM(OSRRefD21_0x_2)</f>
        <v>5739.17</v>
      </c>
      <c r="G18" s="1">
        <f>SUM(OSRRefD21_0x_3)</f>
        <v>7813.98</v>
      </c>
      <c r="H18" s="1">
        <f>SUM(OSRRefE21_0x_0)</f>
        <v>3628.1523800000004</v>
      </c>
      <c r="I18" s="1">
        <f>SUM(OSRRefE21_0x_1)</f>
        <v>3628.1523800000004</v>
      </c>
      <c r="J18" s="1">
        <f>SUM(OSRRefE21_0x_2)</f>
        <v>4101.4404749999994</v>
      </c>
      <c r="K18" s="1">
        <f>SUM(OSRRefE21_0x_3)</f>
        <v>3628.1523800000004</v>
      </c>
      <c r="L18" s="1">
        <f>SUM(OSRRefE21_0x_4)</f>
        <v>3628.1523800000004</v>
      </c>
      <c r="M18" s="1">
        <f>SUM(OSRRefE21_0x_5)</f>
        <v>4101.4404749999994</v>
      </c>
      <c r="N18" s="1">
        <f>SUM(OSRRefE21_0x_6)</f>
        <v>3628.1523800000004</v>
      </c>
      <c r="O18" s="1">
        <f>SUM(OSRRefE21_0x_7)</f>
        <v>3628.1523800000004</v>
      </c>
      <c r="Q18" s="2">
        <f>SUM(OSRRefD20_0x)+IFERROR(SUM(OSRRefE20_0x),0)</f>
        <v>54583.485229999998</v>
      </c>
    </row>
    <row r="19" spans="1:17" s="34" customFormat="1" hidden="1" outlineLevel="1" x14ac:dyDescent="0.25">
      <c r="A19" s="35"/>
      <c r="B19" s="13" t="str">
        <f>CONCATENATE("          ","6111", " - ","F.I.C.A.")</f>
        <v xml:space="preserve">          6111 - F.I.C.A.</v>
      </c>
      <c r="C19" s="15"/>
      <c r="D19" s="2">
        <v>1005.92</v>
      </c>
      <c r="E19" s="2">
        <v>846.8</v>
      </c>
      <c r="F19" s="2">
        <v>846.8</v>
      </c>
      <c r="G19" s="2">
        <v>2199.04</v>
      </c>
      <c r="H19" s="2">
        <v>470.35338000000002</v>
      </c>
      <c r="I19" s="2">
        <v>470.35338000000002</v>
      </c>
      <c r="J19" s="2">
        <v>587.94172500000002</v>
      </c>
      <c r="K19" s="2">
        <v>470.35338000000002</v>
      </c>
      <c r="L19" s="2">
        <v>470.35338000000002</v>
      </c>
      <c r="M19" s="2">
        <v>587.94172500000002</v>
      </c>
      <c r="N19" s="2">
        <v>470.35338000000002</v>
      </c>
      <c r="O19" s="2">
        <v>470.35338000000002</v>
      </c>
      <c r="P19" s="9"/>
      <c r="Q19" s="2">
        <f>SUM(OSRRefD21_0_0x)+IFERROR(SUM(OSRRefE21_0_0x),0)</f>
        <v>8896.5637299999999</v>
      </c>
    </row>
    <row r="20" spans="1:17" s="34" customFormat="1" hidden="1" outlineLevel="1" x14ac:dyDescent="0.2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125.76</v>
      </c>
      <c r="E20" s="2">
        <v>36.53</v>
      </c>
      <c r="F20" s="2">
        <v>36.53</v>
      </c>
      <c r="G20" s="2">
        <v>36.53</v>
      </c>
      <c r="H20" s="2">
        <v>263.66340000000002</v>
      </c>
      <c r="I20" s="2">
        <v>263.66340000000002</v>
      </c>
      <c r="J20" s="2">
        <v>329.57925</v>
      </c>
      <c r="K20" s="2">
        <v>263.66340000000002</v>
      </c>
      <c r="L20" s="2">
        <v>263.66340000000002</v>
      </c>
      <c r="M20" s="2">
        <v>329.57925</v>
      </c>
      <c r="N20" s="2">
        <v>263.66340000000002</v>
      </c>
      <c r="O20" s="2">
        <v>263.66340000000002</v>
      </c>
      <c r="P20" s="9"/>
      <c r="Q20" s="2">
        <f>SUM(OSRRefD21_0_1x)+IFERROR(SUM(OSRRefE21_0_1x),0)</f>
        <v>2476.4888999999998</v>
      </c>
    </row>
    <row r="21" spans="1:17" s="34" customFormat="1" hidden="1" outlineLevel="1" x14ac:dyDescent="0.25">
      <c r="A21" s="35"/>
      <c r="B21" s="13" t="str">
        <f>CONCATENATE("          ","6113", " - ","GROUP INSURANCE")</f>
        <v xml:space="preserve">          6113 - GROUP INSURANCE</v>
      </c>
      <c r="C21" s="15"/>
      <c r="D21" s="2">
        <v>816.72</v>
      </c>
      <c r="E21" s="2">
        <v>1950.75</v>
      </c>
      <c r="F21" s="2">
        <v>1950.75</v>
      </c>
      <c r="G21" s="2">
        <v>1950.75</v>
      </c>
      <c r="H21" s="2">
        <v>1385</v>
      </c>
      <c r="I21" s="2">
        <v>1385</v>
      </c>
      <c r="J21" s="2">
        <v>1385</v>
      </c>
      <c r="K21" s="2">
        <v>1385</v>
      </c>
      <c r="L21" s="2">
        <v>1385</v>
      </c>
      <c r="M21" s="2">
        <v>1385</v>
      </c>
      <c r="N21" s="2">
        <v>1385</v>
      </c>
      <c r="O21" s="2">
        <v>1385</v>
      </c>
      <c r="P21" s="9"/>
      <c r="Q21" s="2">
        <f>SUM(OSRRefD21_0_2x)+IFERROR(SUM(OSRRefE21_0_2x),0)</f>
        <v>17748.97</v>
      </c>
    </row>
    <row r="22" spans="1:17" s="34" customFormat="1" hidden="1" outlineLevel="1" x14ac:dyDescent="0.2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34.19</v>
      </c>
      <c r="E22" s="2">
        <v>28.78</v>
      </c>
      <c r="F22" s="2">
        <v>28.78</v>
      </c>
      <c r="G22" s="2">
        <v>28.78</v>
      </c>
      <c r="H22" s="2">
        <v>15.9796</v>
      </c>
      <c r="I22" s="2">
        <v>15.9796</v>
      </c>
      <c r="J22" s="2">
        <v>19.974499999999999</v>
      </c>
      <c r="K22" s="2">
        <v>15.9796</v>
      </c>
      <c r="L22" s="2">
        <v>15.9796</v>
      </c>
      <c r="M22" s="2">
        <v>19.974499999999999</v>
      </c>
      <c r="N22" s="2">
        <v>15.9796</v>
      </c>
      <c r="O22" s="2">
        <v>15.9796</v>
      </c>
      <c r="P22" s="9"/>
      <c r="Q22" s="2">
        <f>SUM(OSRRefD21_0_3x)+IFERROR(SUM(OSRRefE21_0_3x),0)</f>
        <v>256.35660000000001</v>
      </c>
    </row>
    <row r="23" spans="1:17" s="34" customFormat="1" hidden="1" outlineLevel="1" x14ac:dyDescent="0.25">
      <c r="A23" s="35"/>
      <c r="B23" s="13" t="str">
        <f>CONCATENATE("          ","6115", " - ","P.E.R.S.")</f>
        <v xml:space="preserve">          6115 - P.E.R.S.</v>
      </c>
      <c r="C23" s="15"/>
      <c r="D23" s="2">
        <v>1542.62</v>
      </c>
      <c r="E23" s="2">
        <v>1221.05</v>
      </c>
      <c r="F23" s="2">
        <v>1221.05</v>
      </c>
      <c r="G23" s="2">
        <v>1221.05</v>
      </c>
      <c r="H23" s="2">
        <v>528.55600000000004</v>
      </c>
      <c r="I23" s="2">
        <v>528.55600000000004</v>
      </c>
      <c r="J23" s="2">
        <v>660.69500000000005</v>
      </c>
      <c r="K23" s="2">
        <v>528.55600000000004</v>
      </c>
      <c r="L23" s="2">
        <v>528.55600000000004</v>
      </c>
      <c r="M23" s="2">
        <v>660.69500000000005</v>
      </c>
      <c r="N23" s="2">
        <v>528.55600000000004</v>
      </c>
      <c r="O23" s="2">
        <v>528.55600000000004</v>
      </c>
      <c r="P23" s="9"/>
      <c r="Q23" s="2">
        <f>SUM(OSRRefD21_0_4x)+IFERROR(SUM(OSRRefE21_0_4x),0)</f>
        <v>9698.496000000001</v>
      </c>
    </row>
    <row r="24" spans="1:17" s="34" customFormat="1" hidden="1" outlineLevel="1" x14ac:dyDescent="0.25">
      <c r="A24" s="35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3" t="str">
        <f>CONCATENATE("          ","6118", " - ","VACATION")</f>
        <v xml:space="preserve">          6118 - VACATION</v>
      </c>
      <c r="C25" s="15"/>
      <c r="D25" s="2">
        <v>1214.6600000000001</v>
      </c>
      <c r="E25" s="2">
        <v>1022.52</v>
      </c>
      <c r="F25" s="2">
        <v>1022.52</v>
      </c>
      <c r="G25" s="2">
        <v>1533.78</v>
      </c>
      <c r="H25" s="2">
        <v>307.3</v>
      </c>
      <c r="I25" s="2">
        <v>307.3</v>
      </c>
      <c r="J25" s="2">
        <v>384.125</v>
      </c>
      <c r="K25" s="2">
        <v>307.3</v>
      </c>
      <c r="L25" s="2">
        <v>307.3</v>
      </c>
      <c r="M25" s="2">
        <v>384.125</v>
      </c>
      <c r="N25" s="2">
        <v>307.3</v>
      </c>
      <c r="O25" s="2">
        <v>307.3</v>
      </c>
      <c r="P25" s="9"/>
      <c r="Q25" s="2">
        <f>SUM(OSRRefD21_0_6x)+IFERROR(SUM(OSRRefE21_0_6x),0)</f>
        <v>7405.5300000000007</v>
      </c>
    </row>
    <row r="26" spans="1:17" s="34" customFormat="1" hidden="1" outlineLevel="1" x14ac:dyDescent="0.25">
      <c r="A26" s="35"/>
      <c r="B26" s="13" t="str">
        <f>CONCATENATE("          ","6119", " - ","SICK LEAVE")</f>
        <v xml:space="preserve">          6119 - SICK LEAVE</v>
      </c>
      <c r="C26" s="15"/>
      <c r="D26" s="2">
        <v>606.52</v>
      </c>
      <c r="E26" s="2">
        <v>510.58</v>
      </c>
      <c r="F26" s="2">
        <v>510.58</v>
      </c>
      <c r="G26" s="2">
        <v>765.87</v>
      </c>
      <c r="H26" s="2">
        <v>307.3</v>
      </c>
      <c r="I26" s="2">
        <v>307.3</v>
      </c>
      <c r="J26" s="2">
        <v>384.125</v>
      </c>
      <c r="K26" s="2">
        <v>307.3</v>
      </c>
      <c r="L26" s="2">
        <v>307.3</v>
      </c>
      <c r="M26" s="2">
        <v>384.125</v>
      </c>
      <c r="N26" s="2">
        <v>307.3</v>
      </c>
      <c r="O26" s="2">
        <v>307.3</v>
      </c>
      <c r="P26" s="9"/>
      <c r="Q26" s="2">
        <f>SUM(OSRRefD21_0_7x)+IFERROR(SUM(OSRRefE21_0_7x),0)</f>
        <v>5005.6000000000004</v>
      </c>
    </row>
    <row r="27" spans="1:17" s="34" customFormat="1" hidden="1" outlineLevel="1" x14ac:dyDescent="0.25">
      <c r="A27" s="35"/>
      <c r="B27" s="13" t="str">
        <f>CONCATENATE("          ","6156", " - ","EMPLOYEE MEALS")</f>
        <v xml:space="preserve">          6156 - EMPLOYEE MEALS</v>
      </c>
      <c r="C27" s="15"/>
      <c r="D27" s="2">
        <v>32</v>
      </c>
      <c r="E27" s="2">
        <v>63.14</v>
      </c>
      <c r="F27" s="2">
        <v>122.16</v>
      </c>
      <c r="G27" s="2">
        <v>78.180000000000007</v>
      </c>
      <c r="H27" s="2">
        <v>350</v>
      </c>
      <c r="I27" s="2">
        <v>350</v>
      </c>
      <c r="J27" s="2">
        <v>350</v>
      </c>
      <c r="K27" s="2">
        <v>350</v>
      </c>
      <c r="L27" s="2">
        <v>350</v>
      </c>
      <c r="M27" s="2">
        <v>350</v>
      </c>
      <c r="N27" s="2">
        <v>350</v>
      </c>
      <c r="O27" s="2">
        <v>350</v>
      </c>
      <c r="P27" s="9"/>
      <c r="Q27" s="2">
        <f>SUM(OSRRefD21_0_8x)+IFERROR(SUM(OSRRefE21_0_8x),0)</f>
        <v>3095.48</v>
      </c>
    </row>
    <row r="28" spans="1:17" s="34" customFormat="1" collapsed="1" x14ac:dyDescent="0.25">
      <c r="A28" s="35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13287.33</v>
      </c>
      <c r="E28" s="1">
        <f>SUM(OSRRefD21_1x_1)</f>
        <v>11069.28</v>
      </c>
      <c r="F28" s="1">
        <f>SUM(OSRRefD21_1x_2)</f>
        <v>11069.28</v>
      </c>
      <c r="G28" s="1">
        <f>SUM(OSRRefD21_1x_3)</f>
        <v>10516.14</v>
      </c>
      <c r="H28" s="1">
        <f>SUM(OSRRefE21_1x_0)</f>
        <v>5531.4</v>
      </c>
      <c r="I28" s="1">
        <f>SUM(OSRRefE21_1x_1)</f>
        <v>5531.4</v>
      </c>
      <c r="J28" s="1">
        <f>SUM(OSRRefE21_1x_2)</f>
        <v>6914.25</v>
      </c>
      <c r="K28" s="1">
        <f>SUM(OSRRefE21_1x_3)</f>
        <v>5531.4</v>
      </c>
      <c r="L28" s="1">
        <f>SUM(OSRRefE21_1x_4)</f>
        <v>5531.4</v>
      </c>
      <c r="M28" s="1">
        <f>SUM(OSRRefE21_1x_5)</f>
        <v>6914.25</v>
      </c>
      <c r="N28" s="1">
        <f>SUM(OSRRefE21_1x_6)</f>
        <v>5531.4</v>
      </c>
      <c r="O28" s="1">
        <f>SUM(OSRRefE21_1x_7)</f>
        <v>5531.4</v>
      </c>
      <c r="Q28" s="2">
        <f>SUM(OSRRefD20_1x)+IFERROR(SUM(OSRRefE20_1x),0)</f>
        <v>92958.93</v>
      </c>
    </row>
    <row r="29" spans="1:17" s="34" customFormat="1" hidden="1" outlineLevel="1" x14ac:dyDescent="0.25">
      <c r="A29" s="35"/>
      <c r="B29" s="13" t="str">
        <f>CONCATENATE("          ","6001", " - ","ADMINISTRATIVE SALARIES")</f>
        <v xml:space="preserve">          6001 - ADMINISTRATIVE SALARIES</v>
      </c>
      <c r="C29" s="15"/>
      <c r="D29" s="2">
        <v>11207.33</v>
      </c>
      <c r="E29" s="2">
        <v>11069.28</v>
      </c>
      <c r="F29" s="2">
        <v>11069.28</v>
      </c>
      <c r="G29" s="2">
        <v>10516.14</v>
      </c>
      <c r="H29" s="2">
        <v>5531.4</v>
      </c>
      <c r="I29" s="2">
        <v>5531.4</v>
      </c>
      <c r="J29" s="2">
        <v>6914.25</v>
      </c>
      <c r="K29" s="2">
        <v>5531.4</v>
      </c>
      <c r="L29" s="2">
        <v>5531.4</v>
      </c>
      <c r="M29" s="2">
        <v>6914.25</v>
      </c>
      <c r="N29" s="2">
        <v>5531.4</v>
      </c>
      <c r="O29" s="2">
        <v>5531.4</v>
      </c>
      <c r="P29" s="9"/>
      <c r="Q29" s="2">
        <f>SUM(OSRRefD21_1_0x)+IFERROR(SUM(OSRRefE21_1_0x),0)</f>
        <v>90878.93</v>
      </c>
    </row>
    <row r="30" spans="1:17" s="34" customFormat="1" hidden="1" outlineLevel="1" x14ac:dyDescent="0.25">
      <c r="A30" s="35"/>
      <c r="B30" s="13" t="str">
        <f>CONCATENATE("          ","6002", " - ","STAFF SALARIES")</f>
        <v xml:space="preserve">          6002 - STAFF SALARIES</v>
      </c>
      <c r="C30" s="15"/>
      <c r="D30" s="2">
        <v>2080</v>
      </c>
      <c r="E30" s="2"/>
      <c r="F30" s="2"/>
      <c r="G30" s="2"/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2080</v>
      </c>
    </row>
    <row r="31" spans="1:17" s="34" customFormat="1" hidden="1" outlineLevel="1" x14ac:dyDescent="0.25">
      <c r="A31" s="35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25">
      <c r="A32" s="35"/>
      <c r="B32" s="13" t="str">
        <f>CONCATENATE("          ","6004", " - ","STAFF HOURLY")</f>
        <v xml:space="preserve">          6004 - STAFF HOURLY</v>
      </c>
      <c r="C32" s="15"/>
      <c r="D32" s="2"/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4" customFormat="1" hidden="1" outlineLevel="1" x14ac:dyDescent="0.25">
      <c r="A33" s="35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25">
      <c r="A34" s="35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25">
      <c r="A35" s="35"/>
      <c r="B35" s="13" t="str">
        <f>CONCATENATE("          ","6007", " - ","STUDENT HOURLY")</f>
        <v xml:space="preserve">          6007 - STUDENT HOURLY</v>
      </c>
      <c r="C35" s="15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25">
      <c r="A36" s="35"/>
      <c r="B36" s="13" t="str">
        <f>CONCATENATE("          ","6008", " - ","STUDENT HOURLY-FICA EXEMPT")</f>
        <v xml:space="preserve">          6008 - STUDENT HOURLY-FICA EXEMPT</v>
      </c>
      <c r="C36" s="15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25">
      <c r="A37" s="35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25">
      <c r="A38" s="35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25">
      <c r="A39" s="35"/>
      <c r="B39" s="15" t="str">
        <f>CONCATENATE("     ","Advertising/Promo                                 ")</f>
        <v xml:space="preserve">     Advertising/Promo                                 </v>
      </c>
      <c r="C39" s="15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0</v>
      </c>
      <c r="H39" s="1">
        <f>SUM(OSRRefE21_2x_0)</f>
        <v>0</v>
      </c>
      <c r="I39" s="1">
        <f>SUM(OSRRefE21_2x_1)</f>
        <v>0</v>
      </c>
      <c r="J39" s="1">
        <f>SUM(OSRRefE21_2x_2)</f>
        <v>0</v>
      </c>
      <c r="K39" s="1">
        <f>SUM(OSRRefE21_2x_3)</f>
        <v>0</v>
      </c>
      <c r="L39" s="1">
        <f>SUM(OSRRefE21_2x_4)</f>
        <v>0</v>
      </c>
      <c r="M39" s="1">
        <f>SUM(OSRRefE21_2x_5)</f>
        <v>0</v>
      </c>
      <c r="N39" s="1">
        <f>SUM(OSRRefE21_2x_6)</f>
        <v>0</v>
      </c>
      <c r="O39" s="1">
        <f>SUM(OSRRefE21_2x_7)</f>
        <v>0</v>
      </c>
      <c r="Q39" s="2">
        <f>SUM(OSRRefD20_2x)+IFERROR(SUM(OSRRefE20_2x),0)</f>
        <v>0</v>
      </c>
    </row>
    <row r="40" spans="1:17" s="34" customFormat="1" hidden="1" outlineLevel="1" x14ac:dyDescent="0.25">
      <c r="A40" s="35"/>
      <c r="B40" s="13" t="str">
        <f>CONCATENATE("          ","6362", " - ","ADVERTISING EXPENSE")</f>
        <v xml:space="preserve">          6362 - ADVERTISING EXPENSE</v>
      </c>
      <c r="C40" s="15"/>
      <c r="D40" s="2"/>
      <c r="E40" s="2"/>
      <c r="F40" s="2"/>
      <c r="G40" s="2"/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SUM(OSRRefD21_2_0x)+IFERROR(SUM(OSRRefE21_2_0x),0)</f>
        <v>0</v>
      </c>
    </row>
    <row r="41" spans="1:17" s="34" customFormat="1" collapsed="1" x14ac:dyDescent="0.25">
      <c r="A41" s="35"/>
      <c r="B41" s="15" t="str">
        <f>CONCATENATE("     ","Bank/card Fees                                    ")</f>
        <v xml:space="preserve">     Bank/card Fees                                    </v>
      </c>
      <c r="C41" s="15"/>
      <c r="D41" s="1">
        <f>SUM(OSRRefD21_3x_0)</f>
        <v>282.82</v>
      </c>
      <c r="E41" s="1">
        <f>SUM(OSRRefD21_3x_1)</f>
        <v>331.81</v>
      </c>
      <c r="F41" s="1">
        <f>SUM(OSRRefD21_3x_2)</f>
        <v>429.18</v>
      </c>
      <c r="G41" s="1">
        <f>SUM(OSRRefD21_3x_3)</f>
        <v>382.85</v>
      </c>
      <c r="H41" s="1">
        <f>SUM(OSRRefE21_3x_0)</f>
        <v>0</v>
      </c>
      <c r="I41" s="1">
        <f>SUM(OSRRefE21_3x_1)</f>
        <v>0</v>
      </c>
      <c r="J41" s="1">
        <f>SUM(OSRRefE21_3x_2)</f>
        <v>0</v>
      </c>
      <c r="K41" s="1">
        <f>SUM(OSRRefE21_3x_3)</f>
        <v>0</v>
      </c>
      <c r="L41" s="1">
        <f>SUM(OSRRefE21_3x_4)</f>
        <v>0</v>
      </c>
      <c r="M41" s="1">
        <f>SUM(OSRRefE21_3x_5)</f>
        <v>0</v>
      </c>
      <c r="N41" s="1">
        <f>SUM(OSRRefE21_3x_6)</f>
        <v>0</v>
      </c>
      <c r="O41" s="1">
        <f>SUM(OSRRefE21_3x_7)</f>
        <v>0</v>
      </c>
      <c r="Q41" s="2">
        <f>SUM(OSRRefD20_3x)+IFERROR(SUM(OSRRefE20_3x),0)</f>
        <v>1426.6599999999999</v>
      </c>
    </row>
    <row r="42" spans="1:17" s="34" customFormat="1" hidden="1" outlineLevel="1" x14ac:dyDescent="0.25">
      <c r="A42" s="35"/>
      <c r="B42" s="13" t="str">
        <f>CONCATENATE("          ","6381", " - ","BANK/CREDIT CARD FEES")</f>
        <v xml:space="preserve">          6381 - BANK/CREDIT CARD FEES</v>
      </c>
      <c r="C42" s="15"/>
      <c r="D42" s="2">
        <v>282.82</v>
      </c>
      <c r="E42" s="2">
        <v>331.81</v>
      </c>
      <c r="F42" s="2">
        <v>429.18</v>
      </c>
      <c r="G42" s="2">
        <v>382.85</v>
      </c>
      <c r="H42" s="2"/>
      <c r="I42" s="2"/>
      <c r="J42" s="2"/>
      <c r="K42" s="2"/>
      <c r="L42" s="2"/>
      <c r="M42" s="2"/>
      <c r="N42" s="2"/>
      <c r="O42" s="2"/>
      <c r="P42" s="9"/>
      <c r="Q42" s="2">
        <f>SUM(OSRRefD21_3_0x)+IFERROR(SUM(OSRRefE21_3_0x),0)</f>
        <v>1426.6599999999999</v>
      </c>
    </row>
    <row r="43" spans="1:17" s="34" customFormat="1" collapsed="1" x14ac:dyDescent="0.25">
      <c r="A43" s="35"/>
      <c r="B43" s="15" t="str">
        <f>CONCATENATE("     ","Depreciation                                      ")</f>
        <v xml:space="preserve">     Depreciation                                      </v>
      </c>
      <c r="C43" s="15"/>
      <c r="D43" s="1">
        <f>SUM(OSRRefD21_4x_0)</f>
        <v>7041.26</v>
      </c>
      <c r="E43" s="1">
        <f>SUM(OSRRefD21_4x_1)</f>
        <v>7041.26</v>
      </c>
      <c r="F43" s="1">
        <f>SUM(OSRRefD21_4x_2)</f>
        <v>7041.25</v>
      </c>
      <c r="G43" s="1">
        <f>SUM(OSRRefD21_4x_3)</f>
        <v>6779.8600000000006</v>
      </c>
      <c r="H43" s="1">
        <f>SUM(OSRRefE21_4x_0)</f>
        <v>6744</v>
      </c>
      <c r="I43" s="1">
        <f>SUM(OSRRefE21_4x_1)</f>
        <v>6744</v>
      </c>
      <c r="J43" s="1">
        <f>SUM(OSRRefE21_4x_2)</f>
        <v>6744</v>
      </c>
      <c r="K43" s="1">
        <f>SUM(OSRRefE21_4x_3)</f>
        <v>6744</v>
      </c>
      <c r="L43" s="1">
        <f>SUM(OSRRefE21_4x_4)</f>
        <v>6744</v>
      </c>
      <c r="M43" s="1">
        <f>SUM(OSRRefE21_4x_5)</f>
        <v>6744</v>
      </c>
      <c r="N43" s="1">
        <f>SUM(OSRRefE21_4x_6)</f>
        <v>6744</v>
      </c>
      <c r="O43" s="1">
        <f>SUM(OSRRefE21_4x_7)</f>
        <v>5296</v>
      </c>
      <c r="Q43" s="2">
        <f>SUM(OSRRefD20_4x)+IFERROR(SUM(OSRRefE20_4x),0)</f>
        <v>80407.63</v>
      </c>
    </row>
    <row r="44" spans="1:17" s="34" customFormat="1" hidden="1" outlineLevel="1" x14ac:dyDescent="0.25">
      <c r="A44" s="35"/>
      <c r="B44" s="13" t="str">
        <f>CONCATENATE("          ","6321", " - ","BUILDING DEPRECIATION")</f>
        <v xml:space="preserve">          6321 - BUILDING DEPRECIATION</v>
      </c>
      <c r="C44" s="15"/>
      <c r="D44" s="2">
        <v>2084.08</v>
      </c>
      <c r="E44" s="2">
        <v>2084.08</v>
      </c>
      <c r="F44" s="2">
        <v>2084.0700000000002</v>
      </c>
      <c r="G44" s="2">
        <v>1822.68</v>
      </c>
      <c r="H44" s="2"/>
      <c r="I44" s="2"/>
      <c r="J44" s="2"/>
      <c r="K44" s="2"/>
      <c r="L44" s="2"/>
      <c r="M44" s="2"/>
      <c r="N44" s="2"/>
      <c r="O44" s="2"/>
      <c r="P44" s="9"/>
      <c r="Q44" s="2">
        <f>SUM(OSRRefD21_4_0x)+IFERROR(SUM(OSRRefE21_4_0x),0)</f>
        <v>8074.91</v>
      </c>
    </row>
    <row r="45" spans="1:17" s="34" customFormat="1" hidden="1" outlineLevel="1" x14ac:dyDescent="0.25">
      <c r="A45" s="35"/>
      <c r="B45" s="13" t="str">
        <f>CONCATENATE("          ","6322", " - ","EQUIPMENT DEPRECIATION EXPENSE")</f>
        <v xml:space="preserve">          6322 - EQUIPMENT DEPRECIATION EXPENSE</v>
      </c>
      <c r="C45" s="15"/>
      <c r="D45" s="2">
        <v>4957.18</v>
      </c>
      <c r="E45" s="2">
        <v>4957.18</v>
      </c>
      <c r="F45" s="2">
        <v>4957.18</v>
      </c>
      <c r="G45" s="2">
        <v>4957.18</v>
      </c>
      <c r="H45" s="2">
        <v>6744</v>
      </c>
      <c r="I45" s="2">
        <v>6744</v>
      </c>
      <c r="J45" s="2">
        <v>6744</v>
      </c>
      <c r="K45" s="2">
        <v>6744</v>
      </c>
      <c r="L45" s="2">
        <v>6744</v>
      </c>
      <c r="M45" s="2">
        <v>6744</v>
      </c>
      <c r="N45" s="2">
        <v>6744</v>
      </c>
      <c r="O45" s="2">
        <v>5296</v>
      </c>
      <c r="P45" s="9"/>
      <c r="Q45" s="2">
        <f>SUM(OSRRefD21_4_1x)+IFERROR(SUM(OSRRefE21_4_1x),0)</f>
        <v>72332.72</v>
      </c>
    </row>
    <row r="46" spans="1:17" s="34" customFormat="1" collapsed="1" x14ac:dyDescent="0.25">
      <c r="A46" s="35"/>
      <c r="B46" s="15" t="str">
        <f>CONCATENATE("     ","Equipment Rental                                  ")</f>
        <v xml:space="preserve">     Equipment Rental                                  </v>
      </c>
      <c r="C46" s="15"/>
      <c r="D46" s="1">
        <f>SUM(OSRRefD21_5x_0)</f>
        <v>419.36</v>
      </c>
      <c r="E46" s="1">
        <f>SUM(OSRRefD21_5x_1)</f>
        <v>91.26</v>
      </c>
      <c r="F46" s="1">
        <f>SUM(OSRRefD21_5x_2)</f>
        <v>91.26</v>
      </c>
      <c r="G46" s="1">
        <f>SUM(OSRRefD21_5x_3)</f>
        <v>1576.83</v>
      </c>
      <c r="H46" s="1">
        <f>SUM(OSRRefE21_5x_0)</f>
        <v>0</v>
      </c>
      <c r="I46" s="1">
        <f>SUM(OSRRefE21_5x_1)</f>
        <v>0</v>
      </c>
      <c r="J46" s="1">
        <f>SUM(OSRRefE21_5x_2)</f>
        <v>0</v>
      </c>
      <c r="K46" s="1">
        <f>SUM(OSRRefE21_5x_3)</f>
        <v>0</v>
      </c>
      <c r="L46" s="1">
        <f>SUM(OSRRefE21_5x_4)</f>
        <v>0</v>
      </c>
      <c r="M46" s="1">
        <f>SUM(OSRRefE21_5x_5)</f>
        <v>0</v>
      </c>
      <c r="N46" s="1">
        <f>SUM(OSRRefE21_5x_6)</f>
        <v>0</v>
      </c>
      <c r="O46" s="1">
        <f>SUM(OSRRefE21_5x_7)</f>
        <v>0</v>
      </c>
      <c r="Q46" s="2">
        <f>SUM(OSRRefD20_5x)+IFERROR(SUM(OSRRefE20_5x),0)</f>
        <v>2178.71</v>
      </c>
    </row>
    <row r="47" spans="1:17" s="34" customFormat="1" hidden="1" outlineLevel="1" x14ac:dyDescent="0.25">
      <c r="A47" s="35"/>
      <c r="B47" s="13" t="str">
        <f>CONCATENATE("          ","6351", " - ","EQUIPMENT RENTAL")</f>
        <v xml:space="preserve">          6351 - EQUIPMENT RENTAL</v>
      </c>
      <c r="C47" s="15"/>
      <c r="D47" s="2">
        <v>419.36</v>
      </c>
      <c r="E47" s="2">
        <v>91.26</v>
      </c>
      <c r="F47" s="2">
        <v>91.26</v>
      </c>
      <c r="G47" s="2">
        <v>1576.83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SUM(OSRRefD21_5_0x)+IFERROR(SUM(OSRRefE21_5_0x),0)</f>
        <v>2178.71</v>
      </c>
    </row>
    <row r="48" spans="1:17" s="34" customFormat="1" collapsed="1" x14ac:dyDescent="0.25">
      <c r="A48" s="35"/>
      <c r="B48" s="15" t="str">
        <f>CONCATENATE("     ","Freight out/Postage                               ")</f>
        <v xml:space="preserve">     Freight out/Postage                               </v>
      </c>
      <c r="C48" s="15"/>
      <c r="D48" s="1">
        <f>SUM(OSRRefD21_6x_0)</f>
        <v>0</v>
      </c>
      <c r="E48" s="1">
        <f>SUM(OSRRefD21_6x_1)</f>
        <v>0</v>
      </c>
      <c r="F48" s="1">
        <f>SUM(OSRRefD21_6x_2)</f>
        <v>-5.41</v>
      </c>
      <c r="G48" s="1">
        <f>SUM(OSRRefD21_6x_3)</f>
        <v>0</v>
      </c>
      <c r="H48" s="1">
        <f>SUM(OSRRefE21_6x_0)</f>
        <v>0</v>
      </c>
      <c r="I48" s="1">
        <f>SUM(OSRRefE21_6x_1)</f>
        <v>0</v>
      </c>
      <c r="J48" s="1">
        <f>SUM(OSRRefE21_6x_2)</f>
        <v>0</v>
      </c>
      <c r="K48" s="1">
        <f>SUM(OSRRefE21_6x_3)</f>
        <v>0</v>
      </c>
      <c r="L48" s="1">
        <f>SUM(OSRRefE21_6x_4)</f>
        <v>0</v>
      </c>
      <c r="M48" s="1">
        <f>SUM(OSRRefE21_6x_5)</f>
        <v>0</v>
      </c>
      <c r="N48" s="1">
        <f>SUM(OSRRefE21_6x_6)</f>
        <v>0</v>
      </c>
      <c r="O48" s="1">
        <f>SUM(OSRRefE21_6x_7)</f>
        <v>0</v>
      </c>
      <c r="Q48" s="2">
        <f>SUM(OSRRefD20_6x)+IFERROR(SUM(OSRRefE20_6x),0)</f>
        <v>-5.41</v>
      </c>
    </row>
    <row r="49" spans="1:17" s="34" customFormat="1" hidden="1" outlineLevel="1" x14ac:dyDescent="0.25">
      <c r="A49" s="35"/>
      <c r="B49" s="13" t="str">
        <f>CONCATENATE("          ","6307", " - ","POSTAGE")</f>
        <v xml:space="preserve">          6307 - POSTAGE</v>
      </c>
      <c r="C49" s="15"/>
      <c r="D49" s="2"/>
      <c r="E49" s="2"/>
      <c r="F49" s="2">
        <v>-5.41</v>
      </c>
      <c r="G49" s="2"/>
      <c r="H49" s="2"/>
      <c r="I49" s="2"/>
      <c r="J49" s="2"/>
      <c r="K49" s="2"/>
      <c r="L49" s="2"/>
      <c r="M49" s="2"/>
      <c r="N49" s="2"/>
      <c r="O49" s="2"/>
      <c r="P49" s="9"/>
      <c r="Q49" s="2">
        <f>SUM(OSRRefD21_6_0x)+IFERROR(SUM(OSRRefE21_6_0x),0)</f>
        <v>-5.41</v>
      </c>
    </row>
    <row r="50" spans="1:17" s="34" customFormat="1" collapsed="1" x14ac:dyDescent="0.25">
      <c r="A50" s="35"/>
      <c r="B50" s="15" t="str">
        <f>CONCATENATE("     ","General                                           ")</f>
        <v xml:space="preserve">     General                                           </v>
      </c>
      <c r="C50" s="15"/>
      <c r="D50" s="1">
        <f>SUM(OSRRefD21_7x_0)</f>
        <v>0</v>
      </c>
      <c r="E50" s="1">
        <f>SUM(OSRRefD21_7x_1)</f>
        <v>0</v>
      </c>
      <c r="F50" s="1">
        <f>SUM(OSRRefD21_7x_2)</f>
        <v>0</v>
      </c>
      <c r="G50" s="1">
        <f>SUM(OSRRefD21_7x_3)</f>
        <v>0</v>
      </c>
      <c r="H50" s="1">
        <f>SUM(OSRRefE21_7x_0)</f>
        <v>0</v>
      </c>
      <c r="I50" s="1">
        <f>SUM(OSRRefE21_7x_1)</f>
        <v>0</v>
      </c>
      <c r="J50" s="1">
        <f>SUM(OSRRefE21_7x_2)</f>
        <v>0</v>
      </c>
      <c r="K50" s="1">
        <f>SUM(OSRRefE21_7x_3)</f>
        <v>0</v>
      </c>
      <c r="L50" s="1">
        <f>SUM(OSRRefE21_7x_4)</f>
        <v>0</v>
      </c>
      <c r="M50" s="1">
        <f>SUM(OSRRefE21_7x_5)</f>
        <v>0</v>
      </c>
      <c r="N50" s="1">
        <f>SUM(OSRRefE21_7x_6)</f>
        <v>0</v>
      </c>
      <c r="O50" s="1">
        <f>SUM(OSRRefE21_7x_7)</f>
        <v>0</v>
      </c>
      <c r="Q50" s="2">
        <f>SUM(OSRRefD20_7x)+IFERROR(SUM(OSRRefE20_7x),0)</f>
        <v>0</v>
      </c>
    </row>
    <row r="51" spans="1:17" s="34" customFormat="1" hidden="1" outlineLevel="1" x14ac:dyDescent="0.25">
      <c r="A51" s="35"/>
      <c r="B51" s="13" t="str">
        <f>CONCATENATE("          ","6279", " - ","GENERAL EXPENSE")</f>
        <v xml:space="preserve">          6279 - GENERAL EXPENSE</v>
      </c>
      <c r="C51" s="15"/>
      <c r="D51" s="2"/>
      <c r="E51" s="2"/>
      <c r="F51" s="2"/>
      <c r="G51" s="2"/>
      <c r="H51" s="2">
        <v>0</v>
      </c>
      <c r="I51" s="2"/>
      <c r="J51" s="2">
        <v>0</v>
      </c>
      <c r="K51" s="2"/>
      <c r="L51" s="2"/>
      <c r="M51" s="2">
        <v>0</v>
      </c>
      <c r="N51" s="2"/>
      <c r="O51" s="2"/>
      <c r="P51" s="9"/>
      <c r="Q51" s="2">
        <f>SUM(OSRRefD21_7_0x)+IFERROR(SUM(OSRRefE21_7_0x),0)</f>
        <v>0</v>
      </c>
    </row>
    <row r="52" spans="1:17" s="34" customFormat="1" collapsed="1" x14ac:dyDescent="0.25">
      <c r="A52" s="35"/>
      <c r="B52" s="15" t="str">
        <f>CONCATENATE("     ","Insurance                                         ")</f>
        <v xml:space="preserve">     Insurance                                         </v>
      </c>
      <c r="C52" s="15"/>
      <c r="D52" s="1">
        <f>SUM(OSRRefD21_8x_0)</f>
        <v>3598.85</v>
      </c>
      <c r="E52" s="1">
        <f>SUM(OSRRefD21_8x_1)</f>
        <v>3598.85</v>
      </c>
      <c r="F52" s="1">
        <f>SUM(OSRRefD21_8x_2)</f>
        <v>3598.85</v>
      </c>
      <c r="G52" s="1">
        <f>SUM(OSRRefD21_8x_3)</f>
        <v>9710.85</v>
      </c>
      <c r="H52" s="1">
        <f>SUM(OSRRefE21_8x_0)</f>
        <v>3860</v>
      </c>
      <c r="I52" s="1">
        <f>SUM(OSRRefE21_8x_1)</f>
        <v>3860</v>
      </c>
      <c r="J52" s="1">
        <f>SUM(OSRRefE21_8x_2)</f>
        <v>3860</v>
      </c>
      <c r="K52" s="1">
        <f>SUM(OSRRefE21_8x_3)</f>
        <v>3860</v>
      </c>
      <c r="L52" s="1">
        <f>SUM(OSRRefE21_8x_4)</f>
        <v>3860</v>
      </c>
      <c r="M52" s="1">
        <f>SUM(OSRRefE21_8x_5)</f>
        <v>3860</v>
      </c>
      <c r="N52" s="1">
        <f>SUM(OSRRefE21_8x_6)</f>
        <v>3860</v>
      </c>
      <c r="O52" s="1">
        <f>SUM(OSRRefE21_8x_7)</f>
        <v>3860</v>
      </c>
      <c r="Q52" s="2">
        <f>SUM(OSRRefD20_8x)+IFERROR(SUM(OSRRefE20_8x),0)</f>
        <v>51387.4</v>
      </c>
    </row>
    <row r="53" spans="1:17" s="34" customFormat="1" hidden="1" outlineLevel="1" x14ac:dyDescent="0.25">
      <c r="A53" s="35"/>
      <c r="B53" s="13" t="str">
        <f>CONCATENATE("          ","6314", " - ","LIABILITY INSURANCE")</f>
        <v xml:space="preserve">          6314 - LIABILITY INSURANCE</v>
      </c>
      <c r="C53" s="15"/>
      <c r="D53" s="2">
        <v>3598.85</v>
      </c>
      <c r="E53" s="2">
        <v>3598.85</v>
      </c>
      <c r="F53" s="2">
        <v>3598.85</v>
      </c>
      <c r="G53" s="2">
        <v>9710.85</v>
      </c>
      <c r="H53" s="2">
        <v>3860</v>
      </c>
      <c r="I53" s="2">
        <v>3860</v>
      </c>
      <c r="J53" s="2">
        <v>3860</v>
      </c>
      <c r="K53" s="2">
        <v>3860</v>
      </c>
      <c r="L53" s="2">
        <v>3860</v>
      </c>
      <c r="M53" s="2">
        <v>3860</v>
      </c>
      <c r="N53" s="2">
        <v>3860</v>
      </c>
      <c r="O53" s="2">
        <v>3860</v>
      </c>
      <c r="P53" s="9"/>
      <c r="Q53" s="2">
        <f>SUM(OSRRefD21_8_0x)+IFERROR(SUM(OSRRefE21_8_0x),0)</f>
        <v>51387.4</v>
      </c>
    </row>
    <row r="54" spans="1:17" s="34" customFormat="1" collapsed="1" x14ac:dyDescent="0.25">
      <c r="A54" s="35"/>
      <c r="B54" s="15" t="str">
        <f>CONCATENATE("     ","Repair and Maintenance                            ")</f>
        <v xml:space="preserve">     Repair and Maintenance                            </v>
      </c>
      <c r="C54" s="15"/>
      <c r="D54" s="1">
        <f>SUM(OSRRefD21_9x_0)</f>
        <v>38.51</v>
      </c>
      <c r="E54" s="1">
        <f>SUM(OSRRefD21_9x_1)</f>
        <v>704.86</v>
      </c>
      <c r="F54" s="1">
        <f>SUM(OSRRefD21_9x_2)</f>
        <v>85.95</v>
      </c>
      <c r="G54" s="1">
        <f>SUM(OSRRefD21_9x_3)</f>
        <v>0.03</v>
      </c>
      <c r="H54" s="1">
        <f>SUM(OSRRefE21_9x_0)</f>
        <v>0</v>
      </c>
      <c r="I54" s="1">
        <f>SUM(OSRRefE21_9x_1)</f>
        <v>0</v>
      </c>
      <c r="J54" s="1">
        <f>SUM(OSRRefE21_9x_2)</f>
        <v>0</v>
      </c>
      <c r="K54" s="1">
        <f>SUM(OSRRefE21_9x_3)</f>
        <v>0</v>
      </c>
      <c r="L54" s="1">
        <f>SUM(OSRRefE21_9x_4)</f>
        <v>0</v>
      </c>
      <c r="M54" s="1">
        <f>SUM(OSRRefE21_9x_5)</f>
        <v>0</v>
      </c>
      <c r="N54" s="1">
        <f>SUM(OSRRefE21_9x_6)</f>
        <v>0</v>
      </c>
      <c r="O54" s="1">
        <f>SUM(OSRRefE21_9x_7)</f>
        <v>0</v>
      </c>
      <c r="Q54" s="2">
        <f>SUM(OSRRefD20_9x)+IFERROR(SUM(OSRRefE20_9x),0)</f>
        <v>829.35</v>
      </c>
    </row>
    <row r="55" spans="1:17" s="34" customFormat="1" hidden="1" outlineLevel="1" x14ac:dyDescent="0.25">
      <c r="A55" s="35"/>
      <c r="B55" s="13" t="str">
        <f>CONCATENATE("          ","6373", " - ","MAINTENANCE CONTRACTS")</f>
        <v xml:space="preserve">          6373 - MAINTENANCE CONTRACTS</v>
      </c>
      <c r="C55" s="15"/>
      <c r="D55" s="2">
        <v>1.05</v>
      </c>
      <c r="E55" s="2">
        <v>704.86</v>
      </c>
      <c r="F55" s="2">
        <v>85.95</v>
      </c>
      <c r="G55" s="2">
        <v>0.03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SUM(OSRRefD21_9_0x)+IFERROR(SUM(OSRRefE21_9_0x),0)</f>
        <v>791.89</v>
      </c>
    </row>
    <row r="56" spans="1:17" s="34" customFormat="1" hidden="1" outlineLevel="1" x14ac:dyDescent="0.25">
      <c r="A56" s="35"/>
      <c r="B56" s="13" t="str">
        <f>CONCATENATE("          ","6375", " - ","OUTSIDE REPAIRS &amp; MAINTENANCE")</f>
        <v xml:space="preserve">          6375 - OUTSIDE REPAIRS &amp; MAINTENANCE</v>
      </c>
      <c r="C56" s="15"/>
      <c r="D56" s="2">
        <v>37.46</v>
      </c>
      <c r="E56" s="2"/>
      <c r="F56" s="2"/>
      <c r="G56" s="2"/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9"/>
      <c r="Q56" s="2">
        <f>SUM(OSRRefD21_9_1x)+IFERROR(SUM(OSRRefE21_9_1x),0)</f>
        <v>37.46</v>
      </c>
    </row>
    <row r="57" spans="1:17" s="34" customFormat="1" collapsed="1" x14ac:dyDescent="0.25">
      <c r="A57" s="35"/>
      <c r="B57" s="15" t="str">
        <f>CONCATENATE("     ","Services                                          ")</f>
        <v xml:space="preserve">     Services                                          </v>
      </c>
      <c r="C57" s="15"/>
      <c r="D57" s="1">
        <f>SUM(OSRRefD21_10x_0)</f>
        <v>0</v>
      </c>
      <c r="E57" s="1">
        <f>SUM(OSRRefD21_10x_1)</f>
        <v>0</v>
      </c>
      <c r="F57" s="1">
        <f>SUM(OSRRefD21_10x_2)</f>
        <v>0</v>
      </c>
      <c r="G57" s="1">
        <f>SUM(OSRRefD21_10x_3)</f>
        <v>4254</v>
      </c>
      <c r="H57" s="1">
        <f>SUM(OSRRefE21_10x_0)</f>
        <v>3126</v>
      </c>
      <c r="I57" s="1">
        <f>SUM(OSRRefE21_10x_1)</f>
        <v>3753</v>
      </c>
      <c r="J57" s="1">
        <f>SUM(OSRRefE21_10x_2)</f>
        <v>3126</v>
      </c>
      <c r="K57" s="1">
        <f>SUM(OSRRefE21_10x_3)</f>
        <v>3126</v>
      </c>
      <c r="L57" s="1">
        <f>SUM(OSRRefE21_10x_4)</f>
        <v>3126</v>
      </c>
      <c r="M57" s="1">
        <f>SUM(OSRRefE21_10x_5)</f>
        <v>3126</v>
      </c>
      <c r="N57" s="1">
        <f>SUM(OSRRefE21_10x_6)</f>
        <v>3126</v>
      </c>
      <c r="O57" s="1">
        <f>SUM(OSRRefE21_10x_7)</f>
        <v>3753</v>
      </c>
      <c r="Q57" s="2">
        <f>SUM(OSRRefD20_10x)+IFERROR(SUM(OSRRefE20_10x),0)</f>
        <v>30516</v>
      </c>
    </row>
    <row r="58" spans="1:17" s="34" customFormat="1" hidden="1" outlineLevel="1" x14ac:dyDescent="0.25">
      <c r="A58" s="35"/>
      <c r="B58" s="13" t="str">
        <f>CONCATENATE("          ","6282", " - ","JANITORIAL/EXTERMINATOR EXPENS")</f>
        <v xml:space="preserve">          6282 - JANITORIAL/EXTERMINATOR EXPENS</v>
      </c>
      <c r="C58" s="15"/>
      <c r="D58" s="2"/>
      <c r="E58" s="2"/>
      <c r="F58" s="2"/>
      <c r="G58" s="2"/>
      <c r="H58" s="2">
        <v>626</v>
      </c>
      <c r="I58" s="2">
        <v>1253</v>
      </c>
      <c r="J58" s="2">
        <v>626</v>
      </c>
      <c r="K58" s="2">
        <v>626</v>
      </c>
      <c r="L58" s="2">
        <v>626</v>
      </c>
      <c r="M58" s="2">
        <v>626</v>
      </c>
      <c r="N58" s="2">
        <v>626</v>
      </c>
      <c r="O58" s="2">
        <v>1253</v>
      </c>
      <c r="P58" s="9"/>
      <c r="Q58" s="2">
        <f>SUM(OSRRefD21_10_0x)+IFERROR(SUM(OSRRefE21_10_0x),0)</f>
        <v>6262</v>
      </c>
    </row>
    <row r="59" spans="1:17" s="34" customFormat="1" hidden="1" outlineLevel="1" x14ac:dyDescent="0.25">
      <c r="A59" s="35"/>
      <c r="B59" s="13" t="str">
        <f>CONCATENATE("          ","6283", " - ","PLANT SERVICE")</f>
        <v xml:space="preserve">          6283 - PLANT SERVICE</v>
      </c>
      <c r="C59" s="15"/>
      <c r="D59" s="2"/>
      <c r="E59" s="2"/>
      <c r="F59" s="2"/>
      <c r="G59" s="2"/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SUM(OSRRefD21_10_1x)+IFERROR(SUM(OSRRefE21_10_1x),0)</f>
        <v>0</v>
      </c>
    </row>
    <row r="60" spans="1:17" s="34" customFormat="1" hidden="1" outlineLevel="1" x14ac:dyDescent="0.25">
      <c r="A60" s="35"/>
      <c r="B60" s="13" t="str">
        <f>CONCATENATE("          ","6284", " - ","TRASH REMOVAL EXPENSE")</f>
        <v xml:space="preserve">          6284 - TRASH REMOVAL EXPENSE</v>
      </c>
      <c r="C60" s="15"/>
      <c r="D60" s="2"/>
      <c r="E60" s="2"/>
      <c r="F60" s="2"/>
      <c r="G60" s="2">
        <v>4254</v>
      </c>
      <c r="H60" s="2">
        <v>2500</v>
      </c>
      <c r="I60" s="2">
        <v>2500</v>
      </c>
      <c r="J60" s="2">
        <v>2500</v>
      </c>
      <c r="K60" s="2">
        <v>2500</v>
      </c>
      <c r="L60" s="2">
        <v>2500</v>
      </c>
      <c r="M60" s="2">
        <v>2500</v>
      </c>
      <c r="N60" s="2">
        <v>2500</v>
      </c>
      <c r="O60" s="2">
        <v>2500</v>
      </c>
      <c r="P60" s="9"/>
      <c r="Q60" s="2">
        <f>SUM(OSRRefD21_10_2x)+IFERROR(SUM(OSRRefE21_10_2x),0)</f>
        <v>24254</v>
      </c>
    </row>
    <row r="61" spans="1:17" s="34" customFormat="1" hidden="1" outlineLevel="1" x14ac:dyDescent="0.25">
      <c r="A61" s="35"/>
      <c r="B61" s="13" t="str">
        <f>CONCATENATE("          ","6285", " - ","JANITORIAL SERVICES")</f>
        <v xml:space="preserve">          6285 - JANITORIAL SERVICES</v>
      </c>
      <c r="C61" s="15"/>
      <c r="D61" s="2"/>
      <c r="E61" s="2"/>
      <c r="F61" s="2"/>
      <c r="G61" s="2"/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SUM(OSRRefD21_10_3x)+IFERROR(SUM(OSRRefE21_10_3x),0)</f>
        <v>0</v>
      </c>
    </row>
    <row r="62" spans="1:17" s="34" customFormat="1" collapsed="1" x14ac:dyDescent="0.25">
      <c r="A62" s="35"/>
      <c r="B62" s="15" t="str">
        <f>CONCATENATE("     ","Subscriptions &amp; Dues                              ")</f>
        <v xml:space="preserve">     Subscriptions &amp; Dues                              </v>
      </c>
      <c r="C62" s="15"/>
      <c r="D62" s="1">
        <f>SUM(OSRRefD21_11x_0)</f>
        <v>0</v>
      </c>
      <c r="E62" s="1">
        <f>SUM(OSRRefD21_11x_1)</f>
        <v>0</v>
      </c>
      <c r="F62" s="1">
        <f>SUM(OSRRefD21_11x_2)</f>
        <v>0</v>
      </c>
      <c r="G62" s="1">
        <f>SUM(OSRRefD21_11x_3)</f>
        <v>0</v>
      </c>
      <c r="H62" s="1">
        <f>SUM(OSRRefE21_11x_0)</f>
        <v>0</v>
      </c>
      <c r="I62" s="1">
        <f>SUM(OSRRefE21_11x_1)</f>
        <v>900</v>
      </c>
      <c r="J62" s="1">
        <f>SUM(OSRRefE21_11x_2)</f>
        <v>0</v>
      </c>
      <c r="K62" s="1">
        <f>SUM(OSRRefE21_11x_3)</f>
        <v>0</v>
      </c>
      <c r="L62" s="1">
        <f>SUM(OSRRefE21_11x_4)</f>
        <v>0</v>
      </c>
      <c r="M62" s="1">
        <f>SUM(OSRRefE21_11x_5)</f>
        <v>0</v>
      </c>
      <c r="N62" s="1">
        <f>SUM(OSRRefE21_11x_6)</f>
        <v>0</v>
      </c>
      <c r="O62" s="1">
        <f>SUM(OSRRefE21_11x_7)</f>
        <v>0</v>
      </c>
      <c r="Q62" s="2">
        <f>SUM(OSRRefD20_11x)+IFERROR(SUM(OSRRefE20_11x),0)</f>
        <v>900</v>
      </c>
    </row>
    <row r="63" spans="1:17" s="34" customFormat="1" hidden="1" outlineLevel="1" x14ac:dyDescent="0.25">
      <c r="A63" s="35"/>
      <c r="B63" s="13" t="str">
        <f>CONCATENATE("          ","6258", " - ","MEMBERSHIP DUES")</f>
        <v xml:space="preserve">          6258 - MEMBERSHIP DUES</v>
      </c>
      <c r="C63" s="15"/>
      <c r="D63" s="2"/>
      <c r="E63" s="2"/>
      <c r="F63" s="2"/>
      <c r="G63" s="2"/>
      <c r="H63" s="2"/>
      <c r="I63" s="2">
        <v>900</v>
      </c>
      <c r="J63" s="2"/>
      <c r="K63" s="2"/>
      <c r="L63" s="2"/>
      <c r="M63" s="2"/>
      <c r="N63" s="2"/>
      <c r="O63" s="2"/>
      <c r="P63" s="9"/>
      <c r="Q63" s="2">
        <f>SUM(OSRRefD21_11_0x)+IFERROR(SUM(OSRRefE21_11_0x),0)</f>
        <v>900</v>
      </c>
    </row>
    <row r="64" spans="1:17" s="34" customFormat="1" collapsed="1" x14ac:dyDescent="0.25">
      <c r="A64" s="35"/>
      <c r="B64" s="15" t="str">
        <f>CONCATENATE("     ","Supplies                                          ")</f>
        <v xml:space="preserve">     Supplies                                          </v>
      </c>
      <c r="C64" s="15"/>
      <c r="D64" s="1">
        <f>SUM(OSRRefD21_12x_0)</f>
        <v>0</v>
      </c>
      <c r="E64" s="1">
        <f>SUM(OSRRefD21_12x_1)</f>
        <v>-29200.769999999997</v>
      </c>
      <c r="F64" s="1">
        <f>SUM(OSRRefD21_12x_2)</f>
        <v>127.89</v>
      </c>
      <c r="G64" s="1">
        <f>SUM(OSRRefD21_12x_3)</f>
        <v>0</v>
      </c>
      <c r="H64" s="1">
        <f>SUM(OSRRefE21_12x_0)</f>
        <v>0</v>
      </c>
      <c r="I64" s="1">
        <f>SUM(OSRRefE21_12x_1)</f>
        <v>0</v>
      </c>
      <c r="J64" s="1">
        <f>SUM(OSRRefE21_12x_2)</f>
        <v>0</v>
      </c>
      <c r="K64" s="1">
        <f>SUM(OSRRefE21_12x_3)</f>
        <v>0</v>
      </c>
      <c r="L64" s="1">
        <f>SUM(OSRRefE21_12x_4)</f>
        <v>0</v>
      </c>
      <c r="M64" s="1">
        <f>SUM(OSRRefE21_12x_5)</f>
        <v>0</v>
      </c>
      <c r="N64" s="1">
        <f>SUM(OSRRefE21_12x_6)</f>
        <v>0</v>
      </c>
      <c r="O64" s="1">
        <f>SUM(OSRRefE21_12x_7)</f>
        <v>0</v>
      </c>
      <c r="Q64" s="2">
        <f>SUM(OSRRefD20_12x)+IFERROR(SUM(OSRRefE20_12x),0)</f>
        <v>-29072.879999999997</v>
      </c>
    </row>
    <row r="65" spans="1:17" s="34" customFormat="1" hidden="1" outlineLevel="1" x14ac:dyDescent="0.25">
      <c r="A65" s="35"/>
      <c r="B65" s="13" t="str">
        <f>CONCATENATE("          ","6235", " - ","COVID-19 EXPENSES")</f>
        <v xml:space="preserve">          6235 - COVID-19 EXPENSES</v>
      </c>
      <c r="C65" s="15"/>
      <c r="D65" s="2"/>
      <c r="E65" s="2"/>
      <c r="F65" s="2">
        <v>127.89</v>
      </c>
      <c r="G65" s="2"/>
      <c r="H65" s="2"/>
      <c r="I65" s="2"/>
      <c r="J65" s="2"/>
      <c r="K65" s="2"/>
      <c r="L65" s="2"/>
      <c r="M65" s="2"/>
      <c r="N65" s="2"/>
      <c r="O65" s="2"/>
      <c r="P65" s="9"/>
      <c r="Q65" s="2">
        <f>SUM(OSRRefD21_12_0x)+IFERROR(SUM(OSRRefE21_12_0x),0)</f>
        <v>127.89</v>
      </c>
    </row>
    <row r="66" spans="1:17" s="34" customFormat="1" hidden="1" outlineLevel="1" x14ac:dyDescent="0.25">
      <c r="A66" s="35"/>
      <c r="B66" s="13" t="str">
        <f>CONCATENATE("          ","6237", " - ","JANITORIAL SUPPLIES")</f>
        <v xml:space="preserve">          6237 - JANITORIAL SUPPLIES</v>
      </c>
      <c r="C66" s="15"/>
      <c r="D66" s="2"/>
      <c r="E66" s="2"/>
      <c r="F66" s="2"/>
      <c r="G66" s="2"/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SUM(OSRRefD21_12_1x)+IFERROR(SUM(OSRRefE21_12_1x),0)</f>
        <v>0</v>
      </c>
    </row>
    <row r="67" spans="1:17" s="34" customFormat="1" hidden="1" outlineLevel="1" x14ac:dyDescent="0.25">
      <c r="A67" s="35"/>
      <c r="B67" s="13" t="str">
        <f>CONCATENATE("          ","6239", " - ","KITCHEN SUPPLIES")</f>
        <v xml:space="preserve">          6239 - KITCHEN SUPPLIES</v>
      </c>
      <c r="C67" s="15"/>
      <c r="D67" s="2"/>
      <c r="E67" s="2"/>
      <c r="F67" s="2"/>
      <c r="G67" s="2"/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SUM(OSRRefD21_12_2x)+IFERROR(SUM(OSRRefE21_12_2x),0)</f>
        <v>0</v>
      </c>
    </row>
    <row r="68" spans="1:17" s="34" customFormat="1" hidden="1" outlineLevel="1" x14ac:dyDescent="0.25">
      <c r="A68" s="35"/>
      <c r="B68" s="13" t="str">
        <f>CONCATENATE("          ","6241", " - ","OFFICE EXPENSE")</f>
        <v xml:space="preserve">          6241 - OFFICE EXPENSE</v>
      </c>
      <c r="C68" s="15"/>
      <c r="D68" s="2"/>
      <c r="E68" s="2">
        <v>-29200.769999999997</v>
      </c>
      <c r="F68" s="2"/>
      <c r="G68" s="2"/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SUM(OSRRefD21_12_3x)+IFERROR(SUM(OSRRefE21_12_3x),0)</f>
        <v>-29200.769999999997</v>
      </c>
    </row>
    <row r="69" spans="1:17" s="34" customFormat="1" hidden="1" outlineLevel="1" x14ac:dyDescent="0.25">
      <c r="A69" s="35"/>
      <c r="B69" s="13" t="str">
        <f>CONCATENATE("          ","6246", " - ","REPLACEMENTS")</f>
        <v xml:space="preserve">          6246 - REPLACEMENTS</v>
      </c>
      <c r="C69" s="15"/>
      <c r="D69" s="2"/>
      <c r="E69" s="2"/>
      <c r="F69" s="2"/>
      <c r="G69" s="2"/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SUM(OSRRefD21_12_4x)+IFERROR(SUM(OSRRefE21_12_4x),0)</f>
        <v>0</v>
      </c>
    </row>
    <row r="70" spans="1:17" s="34" customFormat="1" hidden="1" outlineLevel="1" x14ac:dyDescent="0.25">
      <c r="A70" s="35"/>
      <c r="B70" s="13" t="str">
        <f>CONCATENATE("          ","6247", " - ","STORE SUPPLIES")</f>
        <v xml:space="preserve">          6247 - STORE SUPPLIES</v>
      </c>
      <c r="C70" s="15"/>
      <c r="D70" s="2"/>
      <c r="E70" s="2"/>
      <c r="F70" s="2"/>
      <c r="G70" s="2"/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9"/>
      <c r="Q70" s="2">
        <f>SUM(OSRRefD21_12_5x)+IFERROR(SUM(OSRRefE21_12_5x),0)</f>
        <v>0</v>
      </c>
    </row>
    <row r="71" spans="1:17" s="34" customFormat="1" collapsed="1" x14ac:dyDescent="0.25">
      <c r="A71" s="35"/>
      <c r="B71" s="15" t="str">
        <f>CONCATENATE("     ","Telephone/Data Lines                              ")</f>
        <v xml:space="preserve">     Telephone/Data Lines                              </v>
      </c>
      <c r="C71" s="15"/>
      <c r="D71" s="1">
        <f>SUM(OSRRefD21_13x_0)</f>
        <v>426</v>
      </c>
      <c r="E71" s="1">
        <f>SUM(OSRRefD21_13x_1)</f>
        <v>353.3</v>
      </c>
      <c r="F71" s="1">
        <f>SUM(OSRRefD21_13x_2)</f>
        <v>100</v>
      </c>
      <c r="G71" s="1">
        <f>SUM(OSRRefD21_13x_3)</f>
        <v>221.03</v>
      </c>
      <c r="H71" s="1">
        <f>SUM(OSRRefE21_13x_0)</f>
        <v>50</v>
      </c>
      <c r="I71" s="1">
        <f>SUM(OSRRefE21_13x_1)</f>
        <v>50</v>
      </c>
      <c r="J71" s="1">
        <f>SUM(OSRRefE21_13x_2)</f>
        <v>50</v>
      </c>
      <c r="K71" s="1">
        <f>SUM(OSRRefE21_13x_3)</f>
        <v>50</v>
      </c>
      <c r="L71" s="1">
        <f>SUM(OSRRefE21_13x_4)</f>
        <v>50</v>
      </c>
      <c r="M71" s="1">
        <f>SUM(OSRRefE21_13x_5)</f>
        <v>50</v>
      </c>
      <c r="N71" s="1">
        <f>SUM(OSRRefE21_13x_6)</f>
        <v>50</v>
      </c>
      <c r="O71" s="1">
        <f>SUM(OSRRefE21_13x_7)</f>
        <v>50</v>
      </c>
      <c r="Q71" s="2">
        <f>SUM(OSRRefD20_13x)+IFERROR(SUM(OSRRefE20_13x),0)</f>
        <v>1500.33</v>
      </c>
    </row>
    <row r="72" spans="1:17" s="34" customFormat="1" hidden="1" outlineLevel="1" x14ac:dyDescent="0.25">
      <c r="A72" s="35"/>
      <c r="B72" s="13" t="str">
        <f>CONCATENATE("          ","6309", " - ","TELEPHONE")</f>
        <v xml:space="preserve">          6309 - TELEPHONE</v>
      </c>
      <c r="C72" s="15"/>
      <c r="D72" s="2">
        <v>426</v>
      </c>
      <c r="E72" s="2">
        <v>353.3</v>
      </c>
      <c r="F72" s="2">
        <v>100</v>
      </c>
      <c r="G72" s="2">
        <v>221.03</v>
      </c>
      <c r="H72" s="2">
        <v>50</v>
      </c>
      <c r="I72" s="2">
        <v>50</v>
      </c>
      <c r="J72" s="2">
        <v>50</v>
      </c>
      <c r="K72" s="2">
        <v>50</v>
      </c>
      <c r="L72" s="2">
        <v>50</v>
      </c>
      <c r="M72" s="2">
        <v>50</v>
      </c>
      <c r="N72" s="2">
        <v>50</v>
      </c>
      <c r="O72" s="2">
        <v>50</v>
      </c>
      <c r="P72" s="9"/>
      <c r="Q72" s="2">
        <f>SUM(OSRRefD21_13_0x)+IFERROR(SUM(OSRRefE21_13_0x),0)</f>
        <v>1500.33</v>
      </c>
    </row>
    <row r="73" spans="1:17" s="34" customFormat="1" collapsed="1" x14ac:dyDescent="0.25">
      <c r="A73" s="35"/>
      <c r="B73" s="15" t="str">
        <f>CONCATENATE("     ","Travel                                            ")</f>
        <v xml:space="preserve">     Travel                                            </v>
      </c>
      <c r="C73" s="15"/>
      <c r="D73" s="1">
        <f>SUM(OSRRefD21_14x_0)</f>
        <v>179.69</v>
      </c>
      <c r="E73" s="1">
        <f>SUM(OSRRefD21_14x_1)</f>
        <v>0</v>
      </c>
      <c r="F73" s="1">
        <f>SUM(OSRRefD21_14x_2)</f>
        <v>152.52000000000001</v>
      </c>
      <c r="G73" s="1">
        <f>SUM(OSRRefD21_14x_3)</f>
        <v>0</v>
      </c>
      <c r="H73" s="1">
        <f>SUM(OSRRefE21_14x_0)</f>
        <v>0</v>
      </c>
      <c r="I73" s="1">
        <f>SUM(OSRRefE21_14x_1)</f>
        <v>0</v>
      </c>
      <c r="J73" s="1">
        <f>SUM(OSRRefE21_14x_2)</f>
        <v>0</v>
      </c>
      <c r="K73" s="1">
        <f>SUM(OSRRefE21_14x_3)</f>
        <v>0</v>
      </c>
      <c r="L73" s="1">
        <f>SUM(OSRRefE21_14x_4)</f>
        <v>0</v>
      </c>
      <c r="M73" s="1">
        <f>SUM(OSRRefE21_14x_5)</f>
        <v>0</v>
      </c>
      <c r="N73" s="1">
        <f>SUM(OSRRefE21_14x_6)</f>
        <v>0</v>
      </c>
      <c r="O73" s="1">
        <f>SUM(OSRRefE21_14x_7)</f>
        <v>0</v>
      </c>
      <c r="Q73" s="2">
        <f>SUM(OSRRefD20_14x)+IFERROR(SUM(OSRRefE20_14x),0)</f>
        <v>332.21000000000004</v>
      </c>
    </row>
    <row r="74" spans="1:17" s="34" customFormat="1" hidden="1" outlineLevel="1" x14ac:dyDescent="0.25">
      <c r="A74" s="35"/>
      <c r="B74" s="13" t="str">
        <f>CONCATENATE("          ","6298", " - ","VEHICLE MILEAGE")</f>
        <v xml:space="preserve">          6298 - VEHICLE MILEAGE</v>
      </c>
      <c r="C74" s="15"/>
      <c r="D74" s="2">
        <v>179.69</v>
      </c>
      <c r="E74" s="2"/>
      <c r="F74" s="2">
        <v>152.52000000000001</v>
      </c>
      <c r="G74" s="2"/>
      <c r="H74" s="2"/>
      <c r="I74" s="2"/>
      <c r="J74" s="2"/>
      <c r="K74" s="2"/>
      <c r="L74" s="2"/>
      <c r="M74" s="2"/>
      <c r="N74" s="2"/>
      <c r="O74" s="2"/>
      <c r="P74" s="9"/>
      <c r="Q74" s="2">
        <f>SUM(OSRRefD21_14_0x)+IFERROR(SUM(OSRRefE21_14_0x),0)</f>
        <v>332.21000000000004</v>
      </c>
    </row>
    <row r="75" spans="1:17" s="34" customFormat="1" collapsed="1" x14ac:dyDescent="0.25">
      <c r="A75" s="35"/>
      <c r="B75" s="15" t="str">
        <f>CONCATENATE("     ","Utilities                                         ")</f>
        <v xml:space="preserve">     Utilities                                         </v>
      </c>
      <c r="C75" s="15"/>
      <c r="D75" s="1">
        <f>SUM(OSRRefD21_15x_0)</f>
        <v>0</v>
      </c>
      <c r="E75" s="1">
        <f>SUM(OSRRefD21_15x_1)</f>
        <v>0</v>
      </c>
      <c r="F75" s="1">
        <f>SUM(OSRRefD21_15x_2)</f>
        <v>0</v>
      </c>
      <c r="G75" s="1">
        <f>SUM(OSRRefD21_15x_3)</f>
        <v>-15876</v>
      </c>
      <c r="H75" s="1">
        <f>SUM(OSRRefE21_15x_0)</f>
        <v>1000</v>
      </c>
      <c r="I75" s="1">
        <f>SUM(OSRRefE21_15x_1)</f>
        <v>1000</v>
      </c>
      <c r="J75" s="1">
        <f>SUM(OSRRefE21_15x_2)</f>
        <v>1000</v>
      </c>
      <c r="K75" s="1">
        <f>SUM(OSRRefE21_15x_3)</f>
        <v>1000</v>
      </c>
      <c r="L75" s="1">
        <f>SUM(OSRRefE21_15x_4)</f>
        <v>1000</v>
      </c>
      <c r="M75" s="1">
        <f>SUM(OSRRefE21_15x_5)</f>
        <v>1000</v>
      </c>
      <c r="N75" s="1">
        <f>SUM(OSRRefE21_15x_6)</f>
        <v>1000</v>
      </c>
      <c r="O75" s="1">
        <f>SUM(OSRRefE21_15x_7)</f>
        <v>1000</v>
      </c>
      <c r="Q75" s="2">
        <f>SUM(OSRRefD20_15x)+IFERROR(SUM(OSRRefE20_15x),0)</f>
        <v>-7876</v>
      </c>
    </row>
    <row r="76" spans="1:17" s="34" customFormat="1" hidden="1" outlineLevel="1" x14ac:dyDescent="0.25">
      <c r="A76" s="35"/>
      <c r="B76" s="13" t="str">
        <f>CONCATENATE("          ","6274", " - ","UTILITIES")</f>
        <v xml:space="preserve">          6274 - UTILITIES</v>
      </c>
      <c r="C76" s="15"/>
      <c r="D76" s="2"/>
      <c r="E76" s="2"/>
      <c r="F76" s="2"/>
      <c r="G76" s="2">
        <v>-15876</v>
      </c>
      <c r="H76" s="2">
        <v>1000</v>
      </c>
      <c r="I76" s="2">
        <v>1000</v>
      </c>
      <c r="J76" s="2">
        <v>1000</v>
      </c>
      <c r="K76" s="2">
        <v>1000</v>
      </c>
      <c r="L76" s="2">
        <v>1000</v>
      </c>
      <c r="M76" s="2">
        <v>1000</v>
      </c>
      <c r="N76" s="2">
        <v>1000</v>
      </c>
      <c r="O76" s="2">
        <v>1000</v>
      </c>
      <c r="P76" s="9"/>
      <c r="Q76" s="2">
        <f>SUM(OSRRefD21_15_0x)+IFERROR(SUM(OSRRefE21_15_0x),0)</f>
        <v>-7876</v>
      </c>
    </row>
    <row r="77" spans="1:17" s="28" customFormat="1" x14ac:dyDescent="0.25">
      <c r="A77" s="20"/>
      <c r="B77" s="20"/>
      <c r="C77" s="20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Q77" s="1"/>
    </row>
    <row r="78" spans="1:17" s="9" customFormat="1" x14ac:dyDescent="0.25">
      <c r="A78" s="22"/>
      <c r="B78" s="16" t="s">
        <v>0</v>
      </c>
      <c r="C78" s="23"/>
      <c r="D78" s="3">
        <f>--512.41</f>
        <v>512.41</v>
      </c>
      <c r="E78" s="3">
        <f>--626.43</f>
        <v>626.42999999999995</v>
      </c>
      <c r="F78" s="3">
        <f>--180.85</f>
        <v>180.85</v>
      </c>
      <c r="G78" s="3">
        <f>--119.09</f>
        <v>119.09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12000</v>
      </c>
      <c r="Q78" s="2">
        <f>SUM(OSRRefD23_0x)+IFERROR(SUM(OSRRefE23_0x),0)</f>
        <v>13438.779999999999</v>
      </c>
    </row>
    <row r="79" spans="1:17" x14ac:dyDescent="0.25">
      <c r="A79" s="5"/>
      <c r="B79" s="8"/>
      <c r="C79" s="8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4" customFormat="1" x14ac:dyDescent="0.25">
      <c r="A80" s="8"/>
      <c r="B80" s="17" t="s">
        <v>3</v>
      </c>
      <c r="C80" s="17"/>
      <c r="D80" s="6">
        <f t="shared" ref="D80:O80" si="4">IFERROR(+D14-D17+D78, 0)</f>
        <v>-30139.8</v>
      </c>
      <c r="E80" s="6">
        <f t="shared" si="4"/>
        <v>956.42999999999915</v>
      </c>
      <c r="F80" s="6">
        <f t="shared" si="4"/>
        <v>-28249.09</v>
      </c>
      <c r="G80" s="6">
        <f t="shared" si="4"/>
        <v>-25260.479999999992</v>
      </c>
      <c r="H80" s="6">
        <f t="shared" si="4"/>
        <v>-23939.552380000001</v>
      </c>
      <c r="I80" s="6">
        <f t="shared" si="4"/>
        <v>-25466.552380000001</v>
      </c>
      <c r="J80" s="6">
        <f t="shared" si="4"/>
        <v>-25795.690474999999</v>
      </c>
      <c r="K80" s="6">
        <f t="shared" si="4"/>
        <v>-23939.552380000001</v>
      </c>
      <c r="L80" s="6">
        <f t="shared" si="4"/>
        <v>-23939.552380000001</v>
      </c>
      <c r="M80" s="6">
        <f t="shared" si="4"/>
        <v>-25795.690474999999</v>
      </c>
      <c r="N80" s="6">
        <f t="shared" si="4"/>
        <v>-23939.552380000001</v>
      </c>
      <c r="O80" s="6">
        <f t="shared" si="4"/>
        <v>-11118.552380000001</v>
      </c>
      <c r="Q80" s="6">
        <f>IFERROR(+Q14-Q17+Q78, 0)</f>
        <v>-266627.63523000001</v>
      </c>
    </row>
    <row r="81" spans="1:17" s="8" customFormat="1" x14ac:dyDescent="0.25">
      <c r="B81" s="16"/>
      <c r="C81" s="16"/>
      <c r="D81" s="4">
        <f t="shared" ref="D81:O81" si="5">IFERROR(D80/D10, 0)</f>
        <v>0</v>
      </c>
      <c r="E81" s="4">
        <f t="shared" si="5"/>
        <v>0</v>
      </c>
      <c r="F81" s="4">
        <f t="shared" si="5"/>
        <v>0</v>
      </c>
      <c r="G81" s="4">
        <f t="shared" si="5"/>
        <v>0</v>
      </c>
      <c r="H81" s="4">
        <f t="shared" si="5"/>
        <v>0</v>
      </c>
      <c r="I81" s="4">
        <f t="shared" si="5"/>
        <v>0</v>
      </c>
      <c r="J81" s="4">
        <f t="shared" si="5"/>
        <v>0</v>
      </c>
      <c r="K81" s="4">
        <f t="shared" si="5"/>
        <v>0</v>
      </c>
      <c r="L81" s="4">
        <f t="shared" si="5"/>
        <v>0</v>
      </c>
      <c r="M81" s="4">
        <f t="shared" si="5"/>
        <v>0</v>
      </c>
      <c r="N81" s="4">
        <f t="shared" si="5"/>
        <v>0</v>
      </c>
      <c r="O81" s="4">
        <f t="shared" si="5"/>
        <v>0</v>
      </c>
      <c r="P81" s="18"/>
      <c r="Q81" s="4">
        <f>IFERROR(Q80/Q10, 0)</f>
        <v>0</v>
      </c>
    </row>
    <row r="82" spans="1:17" x14ac:dyDescent="0.25">
      <c r="A82" s="5"/>
      <c r="B82" s="8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4" customFormat="1" x14ac:dyDescent="0.25">
      <c r="A83" s="25"/>
      <c r="B83" s="8" t="s">
        <v>8</v>
      </c>
      <c r="C83" s="8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2">
        <f>SUM(OSRRefD28_0x)+IFERROR(SUM(OSRRefE28_0x),0)</f>
        <v>0</v>
      </c>
    </row>
    <row r="84" spans="1:17" x14ac:dyDescent="0.25">
      <c r="A84" s="5"/>
      <c r="B84" s="8"/>
      <c r="C84" s="8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4" customFormat="1" ht="15.75" thickBot="1" x14ac:dyDescent="0.3">
      <c r="A85" s="8"/>
      <c r="B85" s="17" t="s">
        <v>4</v>
      </c>
      <c r="C85" s="17"/>
      <c r="D85" s="7">
        <f t="shared" ref="D85:O85" si="6">IFERROR(+D80-D83, 0)</f>
        <v>-30139.8</v>
      </c>
      <c r="E85" s="7">
        <f t="shared" si="6"/>
        <v>956.42999999999915</v>
      </c>
      <c r="F85" s="7">
        <f t="shared" si="6"/>
        <v>-28249.09</v>
      </c>
      <c r="G85" s="7">
        <f t="shared" si="6"/>
        <v>-25260.479999999992</v>
      </c>
      <c r="H85" s="7">
        <f t="shared" si="6"/>
        <v>-23939.552380000001</v>
      </c>
      <c r="I85" s="7">
        <f t="shared" si="6"/>
        <v>-25466.552380000001</v>
      </c>
      <c r="J85" s="7">
        <f t="shared" si="6"/>
        <v>-25795.690474999999</v>
      </c>
      <c r="K85" s="7">
        <f t="shared" si="6"/>
        <v>-23939.552380000001</v>
      </c>
      <c r="L85" s="7">
        <f t="shared" si="6"/>
        <v>-23939.552380000001</v>
      </c>
      <c r="M85" s="7">
        <f t="shared" si="6"/>
        <v>-25795.690474999999</v>
      </c>
      <c r="N85" s="7">
        <f t="shared" si="6"/>
        <v>-23939.552380000001</v>
      </c>
      <c r="O85" s="7">
        <f t="shared" si="6"/>
        <v>-11118.552380000001</v>
      </c>
      <c r="Q85" s="7">
        <f>IFERROR(+Q80-Q83, 0)</f>
        <v>-266627.63523000001</v>
      </c>
    </row>
    <row r="86" spans="1:17" ht="15.75" thickTop="1" x14ac:dyDescent="0.25">
      <c r="A86" s="5"/>
      <c r="B86" s="5"/>
      <c r="C86" s="5"/>
      <c r="D86" s="4">
        <f t="shared" ref="D86:O86" si="7">IFERROR(D85/D10, 0)</f>
        <v>0</v>
      </c>
      <c r="E86" s="4">
        <f t="shared" si="7"/>
        <v>0</v>
      </c>
      <c r="F86" s="4">
        <f t="shared" si="7"/>
        <v>0</v>
      </c>
      <c r="G86" s="4">
        <f t="shared" si="7"/>
        <v>0</v>
      </c>
      <c r="H86" s="4">
        <f t="shared" si="7"/>
        <v>0</v>
      </c>
      <c r="I86" s="4">
        <f t="shared" si="7"/>
        <v>0</v>
      </c>
      <c r="J86" s="4">
        <f t="shared" si="7"/>
        <v>0</v>
      </c>
      <c r="K86" s="4">
        <f t="shared" si="7"/>
        <v>0</v>
      </c>
      <c r="L86" s="4">
        <f t="shared" si="7"/>
        <v>0</v>
      </c>
      <c r="M86" s="4">
        <f t="shared" si="7"/>
        <v>0</v>
      </c>
      <c r="N86" s="4">
        <f t="shared" si="7"/>
        <v>0</v>
      </c>
      <c r="O86" s="4">
        <f t="shared" si="7"/>
        <v>0</v>
      </c>
      <c r="P86" s="18"/>
      <c r="Q86" s="4">
        <f>IFERROR(Q85/Q10, 0)</f>
        <v>0</v>
      </c>
    </row>
    <row r="87" spans="1:17" x14ac:dyDescent="0.25">
      <c r="A87" s="5"/>
      <c r="B87" s="5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x14ac:dyDescent="0.25">
      <c r="A88" s="5"/>
      <c r="B88" s="5"/>
      <c r="C88" s="5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4" customFormat="1" ht="15.75" thickBot="1" x14ac:dyDescent="0.3">
      <c r="A89" s="8"/>
      <c r="B89" s="17" t="s">
        <v>5</v>
      </c>
      <c r="C89" s="17"/>
      <c r="D89" s="7">
        <f t="shared" ref="D89:O89" si="8">IFERROR(SUM(D85:D88), 0)</f>
        <v>-30139.8</v>
      </c>
      <c r="E89" s="7">
        <f t="shared" si="8"/>
        <v>956.42999999999915</v>
      </c>
      <c r="F89" s="7">
        <f t="shared" si="8"/>
        <v>-28249.09</v>
      </c>
      <c r="G89" s="7">
        <f t="shared" si="8"/>
        <v>-25260.479999999992</v>
      </c>
      <c r="H89" s="7">
        <f t="shared" si="8"/>
        <v>-23939.552380000001</v>
      </c>
      <c r="I89" s="7">
        <f t="shared" si="8"/>
        <v>-25466.552380000001</v>
      </c>
      <c r="J89" s="7">
        <f t="shared" si="8"/>
        <v>-25795.690474999999</v>
      </c>
      <c r="K89" s="7">
        <f t="shared" si="8"/>
        <v>-23939.552380000001</v>
      </c>
      <c r="L89" s="7">
        <f t="shared" si="8"/>
        <v>-23939.552380000001</v>
      </c>
      <c r="M89" s="7">
        <f t="shared" si="8"/>
        <v>-25795.690474999999</v>
      </c>
      <c r="N89" s="7">
        <f t="shared" si="8"/>
        <v>-23939.552380000001</v>
      </c>
      <c r="O89" s="7">
        <f t="shared" si="8"/>
        <v>-11118.552380000001</v>
      </c>
      <c r="Q89" s="7">
        <f>IFERROR(SUM(Q85:Q88), 0)</f>
        <v>-266627.63523000001</v>
      </c>
    </row>
    <row r="90" spans="1:17" ht="15.75" thickTop="1" x14ac:dyDescent="0.25">
      <c r="A90" s="5"/>
      <c r="C90" s="5"/>
      <c r="D90" s="4">
        <f t="shared" ref="D90:O90" si="9">IFERROR(D89/D10, 0)</f>
        <v>0</v>
      </c>
      <c r="E90" s="4">
        <f t="shared" si="9"/>
        <v>0</v>
      </c>
      <c r="F90" s="4">
        <f t="shared" si="9"/>
        <v>0</v>
      </c>
      <c r="G90" s="4">
        <f t="shared" si="9"/>
        <v>0</v>
      </c>
      <c r="H90" s="4">
        <f t="shared" si="9"/>
        <v>0</v>
      </c>
      <c r="I90" s="4">
        <f t="shared" si="9"/>
        <v>0</v>
      </c>
      <c r="J90" s="4">
        <f t="shared" si="9"/>
        <v>0</v>
      </c>
      <c r="K90" s="4">
        <f t="shared" si="9"/>
        <v>0</v>
      </c>
      <c r="L90" s="4">
        <f t="shared" si="9"/>
        <v>0</v>
      </c>
      <c r="M90" s="4">
        <f t="shared" si="9"/>
        <v>0</v>
      </c>
      <c r="N90" s="4">
        <f t="shared" si="9"/>
        <v>0</v>
      </c>
      <c r="O90" s="4">
        <f t="shared" si="9"/>
        <v>0</v>
      </c>
      <c r="P90" s="18"/>
      <c r="Q90" s="4">
        <f>IFERROR(Q89/Q10, 0)</f>
        <v>0</v>
      </c>
    </row>
    <row r="91" spans="1:17" x14ac:dyDescent="0.25">
      <c r="A91" s="5"/>
      <c r="B91" s="26">
        <v>44151.56498383102</v>
      </c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Q91" s="12"/>
    </row>
    <row r="92" spans="1:17" x14ac:dyDescent="0.25">
      <c r="A92" s="5"/>
      <c r="B92" s="30" t="s">
        <v>311</v>
      </c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Q92" s="12"/>
    </row>
    <row r="93" spans="1:17" x14ac:dyDescent="0.25">
      <c r="A93" s="5"/>
      <c r="B93" s="31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Q93" s="12"/>
    </row>
    <row r="94" spans="1:17" x14ac:dyDescent="0.25"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Q94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","412", " - ", "Chartroom")</f>
        <v>Department 412 - Chartroom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SUM(OSRRefE11x_0)</f>
        <v>0</v>
      </c>
      <c r="I10" s="3">
        <f>SUM(OSRRefE11x_1)</f>
        <v>0</v>
      </c>
      <c r="J10" s="3">
        <f>SUM(OSRRefE11x_2)</f>
        <v>0</v>
      </c>
      <c r="K10" s="3">
        <f>SUM(OSRRefE11x_3)</f>
        <v>0</v>
      </c>
      <c r="L10" s="3">
        <f>SUM(OSRRefE11x_4)</f>
        <v>0</v>
      </c>
      <c r="M10" s="3">
        <f>SUM(OSRRefE11x_5)</f>
        <v>0</v>
      </c>
      <c r="N10" s="3">
        <f>SUM(OSRRefE11x_6)</f>
        <v>0</v>
      </c>
      <c r="O10" s="3">
        <f>SUM(OSRRefE11x_7)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2"/>
      <c r="B11" s="13" t="str">
        <f>CONCATENATE("          ","4100", " - ","NON-TAXABLE SALES")</f>
        <v xml:space="preserve">          4100 - NON-TAXABLE SALES</v>
      </c>
      <c r="C11" s="23"/>
      <c r="D11" s="2">
        <f t="shared" ref="D11:G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x14ac:dyDescent="0.25">
      <c r="A12" s="5"/>
      <c r="B12" s="8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25">
      <c r="A13" s="22"/>
      <c r="B13" s="16" t="s">
        <v>290</v>
      </c>
      <c r="C13" s="23"/>
      <c r="D13" s="3">
        <f>SUM(OSRRefD14x_0)</f>
        <v>0</v>
      </c>
      <c r="E13" s="3">
        <f>SUM(OSRRefD14x_1)</f>
        <v>0</v>
      </c>
      <c r="F13" s="3">
        <f>SUM(OSRRefD14x_2)</f>
        <v>0</v>
      </c>
      <c r="G13" s="3">
        <f>SUM(OSRRefD14x_3)</f>
        <v>0</v>
      </c>
      <c r="H13" s="3">
        <f>SUM(OSRRefE14x_0)</f>
        <v>0</v>
      </c>
      <c r="I13" s="3">
        <f>SUM(OSRRefE14x_1)</f>
        <v>0</v>
      </c>
      <c r="J13" s="3">
        <f>SUM(OSRRefE14x_2)</f>
        <v>0</v>
      </c>
      <c r="K13" s="3">
        <f>SUM(OSRRefE14x_3)</f>
        <v>0</v>
      </c>
      <c r="L13" s="3">
        <f>SUM(OSRRefE14x_4)</f>
        <v>0</v>
      </c>
      <c r="M13" s="3">
        <f>SUM(OSRRefE14x_5)</f>
        <v>0</v>
      </c>
      <c r="N13" s="3">
        <f>SUM(OSRRefE14x_6)</f>
        <v>0</v>
      </c>
      <c r="O13" s="3">
        <f>SUM(OSRRefE14x_7)</f>
        <v>0</v>
      </c>
      <c r="Q13" s="3">
        <f>SUM(OSRRefG14x)</f>
        <v>0</v>
      </c>
    </row>
    <row r="14" spans="1:18" s="9" customFormat="1" hidden="1" outlineLevel="1" x14ac:dyDescent="0.25">
      <c r="A14" s="22"/>
      <c r="B14" s="13" t="str">
        <f>CONCATENATE("          ","5000", " - ","PURCHASES @ COST")</f>
        <v xml:space="preserve">          5000 - PURCHASES @ COST</v>
      </c>
      <c r="C14" s="23"/>
      <c r="D14" s="2"/>
      <c r="E14" s="2"/>
      <c r="F14" s="2"/>
      <c r="G14" s="2"/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Q14" s="2">
        <f>SUM(OSRRefD14_0x)+IFERROR(SUM(OSRRefE14_0x),0)</f>
        <v>0</v>
      </c>
    </row>
    <row r="15" spans="1:18" x14ac:dyDescent="0.25">
      <c r="A15" s="5"/>
      <c r="B15" s="8"/>
      <c r="C15" s="8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4" customFormat="1" x14ac:dyDescent="0.25">
      <c r="A16" s="8"/>
      <c r="B16" s="17" t="s">
        <v>6</v>
      </c>
      <c r="C16" s="17"/>
      <c r="D16" s="6">
        <f t="shared" ref="D16:O16" si="1">IFERROR(+D10-D13, 0)</f>
        <v>0</v>
      </c>
      <c r="E16" s="6">
        <f t="shared" si="1"/>
        <v>0</v>
      </c>
      <c r="F16" s="6">
        <f t="shared" si="1"/>
        <v>0</v>
      </c>
      <c r="G16" s="6">
        <f t="shared" si="1"/>
        <v>0</v>
      </c>
      <c r="H16" s="6">
        <f t="shared" si="1"/>
        <v>0</v>
      </c>
      <c r="I16" s="6">
        <f t="shared" si="1"/>
        <v>0</v>
      </c>
      <c r="J16" s="6">
        <f t="shared" si="1"/>
        <v>0</v>
      </c>
      <c r="K16" s="6">
        <f t="shared" si="1"/>
        <v>0</v>
      </c>
      <c r="L16" s="6">
        <f t="shared" si="1"/>
        <v>0</v>
      </c>
      <c r="M16" s="6">
        <f t="shared" si="1"/>
        <v>0</v>
      </c>
      <c r="N16" s="6">
        <f t="shared" si="1"/>
        <v>0</v>
      </c>
      <c r="O16" s="6">
        <f t="shared" si="1"/>
        <v>0</v>
      </c>
      <c r="Q16" s="6">
        <f>IFERROR(+Q10-Q13, 0)</f>
        <v>0</v>
      </c>
    </row>
    <row r="17" spans="1:17" s="8" customFormat="1" x14ac:dyDescent="0.25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0</v>
      </c>
    </row>
    <row r="18" spans="1:17" x14ac:dyDescent="0.25">
      <c r="A18" s="5"/>
      <c r="B18" s="8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4" customFormat="1" x14ac:dyDescent="0.25">
      <c r="A19" s="8"/>
      <c r="B19" s="16" t="s">
        <v>291</v>
      </c>
      <c r="C19" s="8"/>
      <c r="D19" s="10">
        <f>SUM(OSRRefD20x_0)</f>
        <v>1080.99</v>
      </c>
      <c r="E19" s="10">
        <f>SUM(OSRRefD20x_1)</f>
        <v>976.21999999999991</v>
      </c>
      <c r="F19" s="10">
        <f>SUM(OSRRefD20x_2)</f>
        <v>739.58</v>
      </c>
      <c r="G19" s="10">
        <f>SUM(OSRRefD20x_3)</f>
        <v>627.29</v>
      </c>
      <c r="H19" s="10">
        <f>SUM(OSRRefE20x_0)</f>
        <v>848</v>
      </c>
      <c r="I19" s="10">
        <f>SUM(OSRRefE20x_1)</f>
        <v>848</v>
      </c>
      <c r="J19" s="10">
        <f>SUM(OSRRefE20x_2)</f>
        <v>848</v>
      </c>
      <c r="K19" s="10">
        <f>SUM(OSRRefE20x_3)</f>
        <v>848</v>
      </c>
      <c r="L19" s="10">
        <f>SUM(OSRRefE20x_4)</f>
        <v>848</v>
      </c>
      <c r="M19" s="10">
        <f>SUM(OSRRefE20x_5)</f>
        <v>848</v>
      </c>
      <c r="N19" s="10">
        <f>SUM(OSRRefE20x_6)</f>
        <v>848</v>
      </c>
      <c r="O19" s="10">
        <f>SUM(OSRRefE20x_7)</f>
        <v>848</v>
      </c>
      <c r="Q19" s="10">
        <f>SUM(OSRRefG20x)</f>
        <v>10208.08</v>
      </c>
    </row>
    <row r="20" spans="1:17" s="34" customFormat="1" collapsed="1" x14ac:dyDescent="0.25">
      <c r="A20" s="35"/>
      <c r="B20" s="15" t="str">
        <f>CONCATENATE("     ","*Benefits                                         ")</f>
        <v xml:space="preserve">     *Benefits                                         </v>
      </c>
      <c r="C20" s="15"/>
      <c r="D20" s="1">
        <f>SUM(OSRRefD21_0x_0)</f>
        <v>0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SUM(OSRRefE21_0x_0)</f>
        <v>0</v>
      </c>
      <c r="I20" s="1">
        <f>SUM(OSRRefE21_0x_1)</f>
        <v>0</v>
      </c>
      <c r="J20" s="1">
        <f>SUM(OSRRefE21_0x_2)</f>
        <v>0</v>
      </c>
      <c r="K20" s="1">
        <f>SUM(OSRRefE21_0x_3)</f>
        <v>0</v>
      </c>
      <c r="L20" s="1">
        <f>SUM(OSRRefE21_0x_4)</f>
        <v>0</v>
      </c>
      <c r="M20" s="1">
        <f>SUM(OSRRefE21_0x_5)</f>
        <v>0</v>
      </c>
      <c r="N20" s="1">
        <f>SUM(OSRRefE21_0x_6)</f>
        <v>0</v>
      </c>
      <c r="O20" s="1">
        <f>SUM(OSRRefE21_0x_7)</f>
        <v>0</v>
      </c>
      <c r="Q20" s="2">
        <f>SUM(OSRRefD20_0x)+IFERROR(SUM(OSRRefE20_0x),0)</f>
        <v>0</v>
      </c>
    </row>
    <row r="21" spans="1:17" s="34" customFormat="1" hidden="1" outlineLevel="1" x14ac:dyDescent="0.25">
      <c r="A21" s="35"/>
      <c r="B21" s="13" t="str">
        <f>CONCATENATE("          ","6111", " - ","F.I.C.A.")</f>
        <v xml:space="preserve">          6111 - F.I.C.A.</v>
      </c>
      <c r="C21" s="15"/>
      <c r="D21" s="2"/>
      <c r="E21" s="2"/>
      <c r="F21" s="2"/>
      <c r="G21" s="2"/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9"/>
      <c r="Q21" s="2">
        <f>SUM(OSRRefD21_0_0x)+IFERROR(SUM(OSRRefE21_0_0x),0)</f>
        <v>0</v>
      </c>
    </row>
    <row r="22" spans="1:17" s="34" customFormat="1" hidden="1" outlineLevel="1" x14ac:dyDescent="0.25">
      <c r="A22" s="35"/>
      <c r="B22" s="13" t="str">
        <f>CONCATENATE("          ","6112", " - ","COMPENSATION INSURANCE")</f>
        <v xml:space="preserve">          6112 - COMPENSATION INSURANCE</v>
      </c>
      <c r="C22" s="15"/>
      <c r="D22" s="2"/>
      <c r="E22" s="2"/>
      <c r="F22" s="2"/>
      <c r="G22" s="2"/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SUM(OSRRefD21_0_1x)+IFERROR(SUM(OSRRefE21_0_1x),0)</f>
        <v>0</v>
      </c>
    </row>
    <row r="23" spans="1:17" s="34" customFormat="1" hidden="1" outlineLevel="1" x14ac:dyDescent="0.25">
      <c r="A23" s="35"/>
      <c r="B23" s="13" t="str">
        <f>CONCATENATE("          ","6113", " - ","GROUP INSURANCE")</f>
        <v xml:space="preserve">          6113 - GROUP INSURANCE</v>
      </c>
      <c r="C23" s="15"/>
      <c r="D23" s="2"/>
      <c r="E23" s="2"/>
      <c r="F23" s="2"/>
      <c r="G23" s="2"/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SUM(OSRRefD21_0_2x)+IFERROR(SUM(OSRRefE21_0_2x),0)</f>
        <v>0</v>
      </c>
    </row>
    <row r="24" spans="1:17" s="34" customFormat="1" hidden="1" outlineLevel="1" x14ac:dyDescent="0.25">
      <c r="A24" s="35"/>
      <c r="B24" s="13" t="str">
        <f>CONCATENATE("          ","6114", " - ","STATE UNEMPLOYMENT INSURANCE")</f>
        <v xml:space="preserve">          6114 - STATE UNEMPLOYMENT INSURANCE</v>
      </c>
      <c r="C24" s="15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SUM(OSRRefD21_0_3x)+IFERROR(SUM(OSRRefE21_0_3x),0)</f>
        <v>0</v>
      </c>
    </row>
    <row r="25" spans="1:17" s="34" customFormat="1" hidden="1" outlineLevel="1" x14ac:dyDescent="0.25">
      <c r="A25" s="35"/>
      <c r="B25" s="13" t="str">
        <f>CONCATENATE("          ","6115", " - ","P.E.R.S.")</f>
        <v xml:space="preserve">          6115 - P.E.R.S.</v>
      </c>
      <c r="C25" s="15"/>
      <c r="D25" s="2"/>
      <c r="E25" s="2"/>
      <c r="F25" s="2"/>
      <c r="G25" s="2"/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SUM(OSRRefD21_0_4x)+IFERROR(SUM(OSRRefE21_0_4x),0)</f>
        <v>0</v>
      </c>
    </row>
    <row r="26" spans="1:17" s="34" customFormat="1" hidden="1" outlineLevel="1" x14ac:dyDescent="0.25">
      <c r="A26" s="35"/>
      <c r="B26" s="13" t="str">
        <f>CONCATENATE("          ","6116", " - ","EDUCATIONAL BENEFITS")</f>
        <v xml:space="preserve">          6116 - EDUCATIONAL BENEFITS</v>
      </c>
      <c r="C26" s="15"/>
      <c r="D26" s="2"/>
      <c r="E26" s="2"/>
      <c r="F26" s="2"/>
      <c r="G26" s="2"/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4" customFormat="1" hidden="1" outlineLevel="1" x14ac:dyDescent="0.25">
      <c r="A27" s="35"/>
      <c r="B27" s="13" t="str">
        <f>CONCATENATE("          ","6118", " - ","VACATION")</f>
        <v xml:space="preserve">          6118 - VACATION</v>
      </c>
      <c r="C27" s="15"/>
      <c r="D27" s="2"/>
      <c r="E27" s="2"/>
      <c r="F27" s="2"/>
      <c r="G27" s="2"/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SUM(OSRRefD21_0_6x)+IFERROR(SUM(OSRRefE21_0_6x),0)</f>
        <v>0</v>
      </c>
    </row>
    <row r="28" spans="1:17" s="34" customFormat="1" hidden="1" outlineLevel="1" x14ac:dyDescent="0.25">
      <c r="A28" s="35"/>
      <c r="B28" s="13" t="str">
        <f>CONCATENATE("          ","6119", " - ","SICK LEAVE")</f>
        <v xml:space="preserve">          6119 - SICK LEAVE</v>
      </c>
      <c r="C28" s="15"/>
      <c r="D28" s="2"/>
      <c r="E28" s="2"/>
      <c r="F28" s="2"/>
      <c r="G28" s="2"/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SUM(OSRRefD21_0_7x)+IFERROR(SUM(OSRRefE21_0_7x),0)</f>
        <v>0</v>
      </c>
    </row>
    <row r="29" spans="1:17" s="34" customFormat="1" collapsed="1" x14ac:dyDescent="0.25">
      <c r="A29" s="35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0</v>
      </c>
      <c r="E29" s="1">
        <f>SUM(OSRRefD21_1x_1)</f>
        <v>0</v>
      </c>
      <c r="F29" s="1">
        <f>SUM(OSRRefD21_1x_2)</f>
        <v>0</v>
      </c>
      <c r="G29" s="1">
        <f>SUM(OSRRefD21_1x_3)</f>
        <v>0</v>
      </c>
      <c r="H29" s="1">
        <f>SUM(OSRRefE21_1x_0)</f>
        <v>0</v>
      </c>
      <c r="I29" s="1">
        <f>SUM(OSRRefE21_1x_1)</f>
        <v>0</v>
      </c>
      <c r="J29" s="1">
        <f>SUM(OSRRefE21_1x_2)</f>
        <v>0</v>
      </c>
      <c r="K29" s="1">
        <f>SUM(OSRRefE21_1x_3)</f>
        <v>0</v>
      </c>
      <c r="L29" s="1">
        <f>SUM(OSRRefE21_1x_4)</f>
        <v>0</v>
      </c>
      <c r="M29" s="1">
        <f>SUM(OSRRefE21_1x_5)</f>
        <v>0</v>
      </c>
      <c r="N29" s="1">
        <f>SUM(OSRRefE21_1x_6)</f>
        <v>0</v>
      </c>
      <c r="O29" s="1">
        <f>SUM(OSRRefE21_1x_7)</f>
        <v>0</v>
      </c>
      <c r="Q29" s="2">
        <f>SUM(OSRRefD20_1x)+IFERROR(SUM(OSRRefE20_1x),0)</f>
        <v>0</v>
      </c>
    </row>
    <row r="30" spans="1:17" s="34" customFormat="1" hidden="1" outlineLevel="1" x14ac:dyDescent="0.25">
      <c r="A30" s="35"/>
      <c r="B30" s="13" t="str">
        <f>CONCATENATE("          ","6001", " - ","ADMINISTRATIVE SALARIES")</f>
        <v xml:space="preserve">          6001 - ADMINISTRATIVE SALARIES</v>
      </c>
      <c r="C30" s="15"/>
      <c r="D30" s="2"/>
      <c r="E30" s="2"/>
      <c r="F30" s="2"/>
      <c r="G30" s="2"/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4" customFormat="1" hidden="1" outlineLevel="1" x14ac:dyDescent="0.25">
      <c r="A31" s="35"/>
      <c r="B31" s="13" t="str">
        <f>CONCATENATE("          ","6002", " - ","STAFF SALARIES")</f>
        <v xml:space="preserve">          6002 - STAFF SALARIES</v>
      </c>
      <c r="C31" s="15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0</v>
      </c>
    </row>
    <row r="32" spans="1:17" s="34" customFormat="1" hidden="1" outlineLevel="1" x14ac:dyDescent="0.25">
      <c r="A32" s="35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25">
      <c r="A33" s="35"/>
      <c r="B33" s="13" t="str">
        <f>CONCATENATE("          ","6004", " - ","STAFF HOURLY")</f>
        <v xml:space="preserve">          6004 - STAFF HOURLY</v>
      </c>
      <c r="C33" s="15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0</v>
      </c>
    </row>
    <row r="34" spans="1:17" s="34" customFormat="1" hidden="1" outlineLevel="1" x14ac:dyDescent="0.25">
      <c r="A34" s="35"/>
      <c r="B34" s="13" t="str">
        <f>CONCATENATE("          ","6005", " - ","TEMPORARY WAGES-HOURLY")</f>
        <v xml:space="preserve">          6005 - TEMPORARY WAGES-HOURLY</v>
      </c>
      <c r="C34" s="15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4" customFormat="1" hidden="1" outlineLevel="1" x14ac:dyDescent="0.25">
      <c r="A35" s="35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4" customFormat="1" hidden="1" outlineLevel="1" x14ac:dyDescent="0.25">
      <c r="A36" s="35"/>
      <c r="B36" s="13" t="str">
        <f>CONCATENATE("          ","6007", " - ","STUDENT HOURLY")</f>
        <v xml:space="preserve">          6007 - STUDENT HOURLY</v>
      </c>
      <c r="C36" s="15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4" customFormat="1" hidden="1" outlineLevel="1" x14ac:dyDescent="0.25">
      <c r="A37" s="35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4" customFormat="1" hidden="1" outlineLevel="1" x14ac:dyDescent="0.25">
      <c r="A38" s="35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25">
      <c r="A39" s="35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25">
      <c r="A40" s="35"/>
      <c r="B40" s="15" t="str">
        <f>CONCATENATE("     ","Advertising/Promo                                 ")</f>
        <v xml:space="preserve">     Advertising/Promo                                 </v>
      </c>
      <c r="C40" s="15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SUM(OSRRefE21_2x_0)</f>
        <v>0</v>
      </c>
      <c r="I40" s="1">
        <f>SUM(OSRRefE21_2x_1)</f>
        <v>0</v>
      </c>
      <c r="J40" s="1">
        <f>SUM(OSRRefE21_2x_2)</f>
        <v>0</v>
      </c>
      <c r="K40" s="1">
        <f>SUM(OSRRefE21_2x_3)</f>
        <v>0</v>
      </c>
      <c r="L40" s="1">
        <f>SUM(OSRRefE21_2x_4)</f>
        <v>0</v>
      </c>
      <c r="M40" s="1">
        <f>SUM(OSRRefE21_2x_5)</f>
        <v>0</v>
      </c>
      <c r="N40" s="1">
        <f>SUM(OSRRefE21_2x_6)</f>
        <v>0</v>
      </c>
      <c r="O40" s="1">
        <f>SUM(OSRRefE21_2x_7)</f>
        <v>0</v>
      </c>
      <c r="Q40" s="2">
        <f>SUM(OSRRefD20_2x)+IFERROR(SUM(OSRRefE20_2x),0)</f>
        <v>0</v>
      </c>
    </row>
    <row r="41" spans="1:17" s="34" customFormat="1" hidden="1" outlineLevel="1" x14ac:dyDescent="0.25">
      <c r="A41" s="35"/>
      <c r="B41" s="13" t="str">
        <f>CONCATENATE("          ","6362", " - ","ADVERTISING EXPENSE")</f>
        <v xml:space="preserve">          6362 - ADVERTISING EXPENSE</v>
      </c>
      <c r="C41" s="15"/>
      <c r="D41" s="2"/>
      <c r="E41" s="2"/>
      <c r="F41" s="2"/>
      <c r="G41" s="2"/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SUM(OSRRefD21_2_0x)+IFERROR(SUM(OSRRefE21_2_0x),0)</f>
        <v>0</v>
      </c>
    </row>
    <row r="42" spans="1:17" s="34" customFormat="1" collapsed="1" x14ac:dyDescent="0.25">
      <c r="A42" s="35"/>
      <c r="B42" s="15" t="str">
        <f>CONCATENATE("     ","Bank/card Fees                                    ")</f>
        <v xml:space="preserve">     Bank/card Fees                                    </v>
      </c>
      <c r="C42" s="15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SUM(OSRRefE21_3x_0)</f>
        <v>0</v>
      </c>
      <c r="I42" s="1">
        <f>SUM(OSRRefE21_3x_1)</f>
        <v>0</v>
      </c>
      <c r="J42" s="1">
        <f>SUM(OSRRefE21_3x_2)</f>
        <v>0</v>
      </c>
      <c r="K42" s="1">
        <f>SUM(OSRRefE21_3x_3)</f>
        <v>0</v>
      </c>
      <c r="L42" s="1">
        <f>SUM(OSRRefE21_3x_4)</f>
        <v>0</v>
      </c>
      <c r="M42" s="1">
        <f>SUM(OSRRefE21_3x_5)</f>
        <v>0</v>
      </c>
      <c r="N42" s="1">
        <f>SUM(OSRRefE21_3x_6)</f>
        <v>0</v>
      </c>
      <c r="O42" s="1">
        <f>SUM(OSRRefE21_3x_7)</f>
        <v>0</v>
      </c>
      <c r="Q42" s="2">
        <f>SUM(OSRRefD20_3x)+IFERROR(SUM(OSRRefE20_3x),0)</f>
        <v>0</v>
      </c>
    </row>
    <row r="43" spans="1:17" s="34" customFormat="1" hidden="1" outlineLevel="1" x14ac:dyDescent="0.25">
      <c r="A43" s="35"/>
      <c r="B43" s="13" t="str">
        <f>CONCATENATE("          ","6381", " - ","BANK/CREDIT CARD FEES")</f>
        <v xml:space="preserve">          6381 - BANK/CREDIT CARD FEES</v>
      </c>
      <c r="C43" s="15"/>
      <c r="D43" s="2"/>
      <c r="E43" s="2"/>
      <c r="F43" s="2"/>
      <c r="G43" s="2"/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SUM(OSRRefD21_3_0x)+IFERROR(SUM(OSRRefE21_3_0x),0)</f>
        <v>0</v>
      </c>
    </row>
    <row r="44" spans="1:17" s="34" customFormat="1" collapsed="1" x14ac:dyDescent="0.25">
      <c r="A44" s="35"/>
      <c r="B44" s="15" t="str">
        <f>CONCATENATE("     ","Depreciation                                      ")</f>
        <v xml:space="preserve">     Depreciation                                      </v>
      </c>
      <c r="C44" s="15"/>
      <c r="D44" s="1">
        <f>SUM(OSRRefD21_4x_0)</f>
        <v>690.36</v>
      </c>
      <c r="E44" s="1">
        <f>SUM(OSRRefD21_4x_1)</f>
        <v>690.36</v>
      </c>
      <c r="F44" s="1">
        <f>SUM(OSRRefD21_4x_2)</f>
        <v>690.35</v>
      </c>
      <c r="G44" s="1">
        <f>SUM(OSRRefD21_4x_3)</f>
        <v>577.36</v>
      </c>
      <c r="H44" s="1">
        <f>SUM(OSRRefE21_4x_0)</f>
        <v>848</v>
      </c>
      <c r="I44" s="1">
        <f>SUM(OSRRefE21_4x_1)</f>
        <v>848</v>
      </c>
      <c r="J44" s="1">
        <f>SUM(OSRRefE21_4x_2)</f>
        <v>848</v>
      </c>
      <c r="K44" s="1">
        <f>SUM(OSRRefE21_4x_3)</f>
        <v>848</v>
      </c>
      <c r="L44" s="1">
        <f>SUM(OSRRefE21_4x_4)</f>
        <v>848</v>
      </c>
      <c r="M44" s="1">
        <f>SUM(OSRRefE21_4x_5)</f>
        <v>848</v>
      </c>
      <c r="N44" s="1">
        <f>SUM(OSRRefE21_4x_6)</f>
        <v>848</v>
      </c>
      <c r="O44" s="1">
        <f>SUM(OSRRefE21_4x_7)</f>
        <v>848</v>
      </c>
      <c r="Q44" s="2">
        <f>SUM(OSRRefD20_4x)+IFERROR(SUM(OSRRefE20_4x),0)</f>
        <v>9432.43</v>
      </c>
    </row>
    <row r="45" spans="1:17" s="34" customFormat="1" hidden="1" outlineLevel="1" x14ac:dyDescent="0.25">
      <c r="A45" s="35"/>
      <c r="B45" s="13" t="str">
        <f>CONCATENATE("          ","6322", " - ","EQUIPMENT DEPRECIATION EXPENSE")</f>
        <v xml:space="preserve">          6322 - EQUIPMENT DEPRECIATION EXPENSE</v>
      </c>
      <c r="C45" s="15"/>
      <c r="D45" s="2">
        <v>690.36</v>
      </c>
      <c r="E45" s="2">
        <v>690.36</v>
      </c>
      <c r="F45" s="2">
        <v>690.35</v>
      </c>
      <c r="G45" s="2">
        <v>577.36</v>
      </c>
      <c r="H45" s="2">
        <v>298</v>
      </c>
      <c r="I45" s="2">
        <v>298</v>
      </c>
      <c r="J45" s="2">
        <v>298</v>
      </c>
      <c r="K45" s="2">
        <v>298</v>
      </c>
      <c r="L45" s="2">
        <v>298</v>
      </c>
      <c r="M45" s="2">
        <v>298</v>
      </c>
      <c r="N45" s="2">
        <v>298</v>
      </c>
      <c r="O45" s="2">
        <v>298</v>
      </c>
      <c r="P45" s="9"/>
      <c r="Q45" s="2">
        <f>SUM(OSRRefD21_4_0x)+IFERROR(SUM(OSRRefE21_4_0x),0)</f>
        <v>5032.43</v>
      </c>
    </row>
    <row r="46" spans="1:17" s="34" customFormat="1" hidden="1" outlineLevel="1" x14ac:dyDescent="0.25">
      <c r="A46" s="35"/>
      <c r="B46" s="13" t="str">
        <f>CONCATENATE("          ","6326", " - ","VEHICLES DEPRECIATION EXPENSE")</f>
        <v xml:space="preserve">          6326 - VEHICLES DEPRECIATION EXPENSE</v>
      </c>
      <c r="C46" s="15"/>
      <c r="D46" s="2"/>
      <c r="E46" s="2"/>
      <c r="F46" s="2"/>
      <c r="G46" s="2"/>
      <c r="H46" s="2">
        <v>550</v>
      </c>
      <c r="I46" s="2">
        <v>550</v>
      </c>
      <c r="J46" s="2">
        <v>550</v>
      </c>
      <c r="K46" s="2">
        <v>550</v>
      </c>
      <c r="L46" s="2">
        <v>550</v>
      </c>
      <c r="M46" s="2">
        <v>550</v>
      </c>
      <c r="N46" s="2">
        <v>550</v>
      </c>
      <c r="O46" s="2">
        <v>550</v>
      </c>
      <c r="P46" s="9"/>
      <c r="Q46" s="2">
        <f>SUM(OSRRefD21_4_1x)+IFERROR(SUM(OSRRefE21_4_1x),0)</f>
        <v>4400</v>
      </c>
    </row>
    <row r="47" spans="1:17" s="34" customFormat="1" collapsed="1" x14ac:dyDescent="0.25">
      <c r="A47" s="35"/>
      <c r="B47" s="15" t="str">
        <f>CONCATENATE("     ","Employees' Appreciation                           ")</f>
        <v xml:space="preserve">     Employees' Appreciation                           </v>
      </c>
      <c r="C47" s="15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SUM(OSRRefE21_5x_0)</f>
        <v>0</v>
      </c>
      <c r="I47" s="1">
        <f>SUM(OSRRefE21_5x_1)</f>
        <v>0</v>
      </c>
      <c r="J47" s="1">
        <f>SUM(OSRRefE21_5x_2)</f>
        <v>0</v>
      </c>
      <c r="K47" s="1">
        <f>SUM(OSRRefE21_5x_3)</f>
        <v>0</v>
      </c>
      <c r="L47" s="1">
        <f>SUM(OSRRefE21_5x_4)</f>
        <v>0</v>
      </c>
      <c r="M47" s="1">
        <f>SUM(OSRRefE21_5x_5)</f>
        <v>0</v>
      </c>
      <c r="N47" s="1">
        <f>SUM(OSRRefE21_5x_6)</f>
        <v>0</v>
      </c>
      <c r="O47" s="1">
        <f>SUM(OSRRefE21_5x_7)</f>
        <v>0</v>
      </c>
      <c r="Q47" s="2">
        <f>SUM(OSRRefD20_5x)+IFERROR(SUM(OSRRefE20_5x),0)</f>
        <v>0</v>
      </c>
    </row>
    <row r="48" spans="1:17" s="34" customFormat="1" hidden="1" outlineLevel="1" x14ac:dyDescent="0.25">
      <c r="A48" s="35"/>
      <c r="B48" s="13" t="str">
        <f>CONCATENATE("          ","6277", " - ","EMPLOYEE APPRECIATION")</f>
        <v xml:space="preserve">          6277 - EMPLOYEE APPRECIATION</v>
      </c>
      <c r="C48" s="15"/>
      <c r="D48" s="2"/>
      <c r="E48" s="2"/>
      <c r="F48" s="2"/>
      <c r="G48" s="2"/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SUM(OSRRefD21_5_0x)+IFERROR(SUM(OSRRefE21_5_0x),0)</f>
        <v>0</v>
      </c>
    </row>
    <row r="49" spans="1:17" s="34" customFormat="1" collapsed="1" x14ac:dyDescent="0.25">
      <c r="A49" s="35"/>
      <c r="B49" s="15" t="str">
        <f>CONCATENATE("     ","Equipment Rental                                  ")</f>
        <v xml:space="preserve">     Equipment Rental                                  </v>
      </c>
      <c r="C49" s="15"/>
      <c r="D49" s="1">
        <f>SUM(OSRRefD21_6x_0)</f>
        <v>16.239999999999998</v>
      </c>
      <c r="E49" s="1">
        <f>SUM(OSRRefD21_6x_1)</f>
        <v>0</v>
      </c>
      <c r="F49" s="1">
        <f>SUM(OSRRefD21_6x_2)</f>
        <v>0</v>
      </c>
      <c r="G49" s="1">
        <f>SUM(OSRRefD21_6x_3)</f>
        <v>0</v>
      </c>
      <c r="H49" s="1">
        <f>SUM(OSRRefE21_6x_0)</f>
        <v>0</v>
      </c>
      <c r="I49" s="1">
        <f>SUM(OSRRefE21_6x_1)</f>
        <v>0</v>
      </c>
      <c r="J49" s="1">
        <f>SUM(OSRRefE21_6x_2)</f>
        <v>0</v>
      </c>
      <c r="K49" s="1">
        <f>SUM(OSRRefE21_6x_3)</f>
        <v>0</v>
      </c>
      <c r="L49" s="1">
        <f>SUM(OSRRefE21_6x_4)</f>
        <v>0</v>
      </c>
      <c r="M49" s="1">
        <f>SUM(OSRRefE21_6x_5)</f>
        <v>0</v>
      </c>
      <c r="N49" s="1">
        <f>SUM(OSRRefE21_6x_6)</f>
        <v>0</v>
      </c>
      <c r="O49" s="1">
        <f>SUM(OSRRefE21_6x_7)</f>
        <v>0</v>
      </c>
      <c r="Q49" s="2">
        <f>SUM(OSRRefD20_6x)+IFERROR(SUM(OSRRefE20_6x),0)</f>
        <v>16.239999999999998</v>
      </c>
    </row>
    <row r="50" spans="1:17" s="34" customFormat="1" hidden="1" outlineLevel="1" x14ac:dyDescent="0.25">
      <c r="A50" s="35"/>
      <c r="B50" s="13" t="str">
        <f>CONCATENATE("          ","6351", " - ","EQUIPMENT RENTAL")</f>
        <v xml:space="preserve">          6351 - EQUIPMENT RENTAL</v>
      </c>
      <c r="C50" s="15"/>
      <c r="D50" s="2">
        <v>16.239999999999998</v>
      </c>
      <c r="E50" s="2"/>
      <c r="F50" s="2"/>
      <c r="G50" s="2"/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SUM(OSRRefD21_6_0x)+IFERROR(SUM(OSRRefE21_6_0x),0)</f>
        <v>16.239999999999998</v>
      </c>
    </row>
    <row r="51" spans="1:17" s="34" customFormat="1" collapsed="1" x14ac:dyDescent="0.25">
      <c r="A51" s="35"/>
      <c r="B51" s="15" t="str">
        <f>CONCATENATE("     ","General                                           ")</f>
        <v xml:space="preserve">     General                                           </v>
      </c>
      <c r="C51" s="15"/>
      <c r="D51" s="1">
        <f>SUM(OSRRefD21_7x_0)</f>
        <v>0</v>
      </c>
      <c r="E51" s="1">
        <f>SUM(OSRRefD21_7x_1)</f>
        <v>0</v>
      </c>
      <c r="F51" s="1">
        <f>SUM(OSRRefD21_7x_2)</f>
        <v>0</v>
      </c>
      <c r="G51" s="1">
        <f>SUM(OSRRefD21_7x_3)</f>
        <v>0</v>
      </c>
      <c r="H51" s="1">
        <f>SUM(OSRRefE21_7x_0)</f>
        <v>0</v>
      </c>
      <c r="I51" s="1">
        <f>SUM(OSRRefE21_7x_1)</f>
        <v>0</v>
      </c>
      <c r="J51" s="1">
        <f>SUM(OSRRefE21_7x_2)</f>
        <v>0</v>
      </c>
      <c r="K51" s="1">
        <f>SUM(OSRRefE21_7x_3)</f>
        <v>0</v>
      </c>
      <c r="L51" s="1">
        <f>SUM(OSRRefE21_7x_4)</f>
        <v>0</v>
      </c>
      <c r="M51" s="1">
        <f>SUM(OSRRefE21_7x_5)</f>
        <v>0</v>
      </c>
      <c r="N51" s="1">
        <f>SUM(OSRRefE21_7x_6)</f>
        <v>0</v>
      </c>
      <c r="O51" s="1">
        <f>SUM(OSRRefE21_7x_7)</f>
        <v>0</v>
      </c>
      <c r="Q51" s="2">
        <f>SUM(OSRRefD20_7x)+IFERROR(SUM(OSRRefE20_7x),0)</f>
        <v>0</v>
      </c>
    </row>
    <row r="52" spans="1:17" s="34" customFormat="1" hidden="1" outlineLevel="1" x14ac:dyDescent="0.25">
      <c r="A52" s="35"/>
      <c r="B52" s="13" t="str">
        <f>CONCATENATE("          ","6279", " - ","GENERAL EXPENSE")</f>
        <v xml:space="preserve">          6279 - GENERAL EXPENSE</v>
      </c>
      <c r="C52" s="15"/>
      <c r="D52" s="2"/>
      <c r="E52" s="2"/>
      <c r="F52" s="2"/>
      <c r="G52" s="2"/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SUM(OSRRefD21_7_0x)+IFERROR(SUM(OSRRefE21_7_0x),0)</f>
        <v>0</v>
      </c>
    </row>
    <row r="53" spans="1:17" s="34" customFormat="1" collapsed="1" x14ac:dyDescent="0.25">
      <c r="A53" s="35"/>
      <c r="B53" s="15" t="str">
        <f>CONCATENATE("     ","Repair and Maintenance                            ")</f>
        <v xml:space="preserve">     Repair and Maintenance                            </v>
      </c>
      <c r="C53" s="15"/>
      <c r="D53" s="1">
        <f>SUM(OSRRefD21_8x_0)</f>
        <v>0</v>
      </c>
      <c r="E53" s="1">
        <f>SUM(OSRRefD21_8x_1)</f>
        <v>157.19999999999999</v>
      </c>
      <c r="F53" s="1">
        <f>SUM(OSRRefD21_8x_2)</f>
        <v>60.6</v>
      </c>
      <c r="G53" s="1">
        <f>SUM(OSRRefD21_8x_3)</f>
        <v>0</v>
      </c>
      <c r="H53" s="1">
        <f>SUM(OSRRefE21_8x_0)</f>
        <v>0</v>
      </c>
      <c r="I53" s="1">
        <f>SUM(OSRRefE21_8x_1)</f>
        <v>0</v>
      </c>
      <c r="J53" s="1">
        <f>SUM(OSRRefE21_8x_2)</f>
        <v>0</v>
      </c>
      <c r="K53" s="1">
        <f>SUM(OSRRefE21_8x_3)</f>
        <v>0</v>
      </c>
      <c r="L53" s="1">
        <f>SUM(OSRRefE21_8x_4)</f>
        <v>0</v>
      </c>
      <c r="M53" s="1">
        <f>SUM(OSRRefE21_8x_5)</f>
        <v>0</v>
      </c>
      <c r="N53" s="1">
        <f>SUM(OSRRefE21_8x_6)</f>
        <v>0</v>
      </c>
      <c r="O53" s="1">
        <f>SUM(OSRRefE21_8x_7)</f>
        <v>0</v>
      </c>
      <c r="Q53" s="2">
        <f>SUM(OSRRefD20_8x)+IFERROR(SUM(OSRRefE20_8x),0)</f>
        <v>217.79999999999998</v>
      </c>
    </row>
    <row r="54" spans="1:17" s="34" customFormat="1" hidden="1" outlineLevel="1" x14ac:dyDescent="0.25">
      <c r="A54" s="35"/>
      <c r="B54" s="13" t="str">
        <f>CONCATENATE("          ","6373", " - ","MAINTENANCE CONTRACTS")</f>
        <v xml:space="preserve">          6373 - MAINTENANCE CONTRACTS</v>
      </c>
      <c r="C54" s="15"/>
      <c r="D54" s="2"/>
      <c r="E54" s="2">
        <v>157.19999999999999</v>
      </c>
      <c r="F54" s="2">
        <v>60.6</v>
      </c>
      <c r="G54" s="2"/>
      <c r="H54" s="2"/>
      <c r="I54" s="2">
        <v>0</v>
      </c>
      <c r="J54" s="2"/>
      <c r="K54" s="2"/>
      <c r="L54" s="2"/>
      <c r="M54" s="2"/>
      <c r="N54" s="2"/>
      <c r="O54" s="2"/>
      <c r="P54" s="9"/>
      <c r="Q54" s="2">
        <f>SUM(OSRRefD21_8_0x)+IFERROR(SUM(OSRRefE21_8_0x),0)</f>
        <v>217.79999999999998</v>
      </c>
    </row>
    <row r="55" spans="1:17" s="34" customFormat="1" hidden="1" outlineLevel="1" x14ac:dyDescent="0.25">
      <c r="A55" s="35"/>
      <c r="B55" s="13" t="str">
        <f>CONCATENATE("          ","6375", " - ","OUTSIDE REPAIRS &amp; MAINTENANCE")</f>
        <v xml:space="preserve">          6375 - OUTSIDE REPAIRS &amp; MAINTENANCE</v>
      </c>
      <c r="C55" s="15"/>
      <c r="D55" s="2"/>
      <c r="E55" s="2"/>
      <c r="F55" s="2"/>
      <c r="G55" s="2"/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SUM(OSRRefD21_8_1x)+IFERROR(SUM(OSRRefE21_8_1x),0)</f>
        <v>0</v>
      </c>
    </row>
    <row r="56" spans="1:17" s="34" customFormat="1" collapsed="1" x14ac:dyDescent="0.25">
      <c r="A56" s="35"/>
      <c r="B56" s="15" t="str">
        <f>CONCATENATE("     ","Royalty &amp; Commissions                             ")</f>
        <v xml:space="preserve">     Royalty &amp; Commissions                             </v>
      </c>
      <c r="C56" s="15"/>
      <c r="D56" s="1">
        <f>SUM(OSRRefD21_9x_0)</f>
        <v>0</v>
      </c>
      <c r="E56" s="1">
        <f>SUM(OSRRefD21_9x_1)</f>
        <v>0</v>
      </c>
      <c r="F56" s="1">
        <f>SUM(OSRRefD21_9x_2)</f>
        <v>0</v>
      </c>
      <c r="G56" s="1">
        <f>SUM(OSRRefD21_9x_3)</f>
        <v>0</v>
      </c>
      <c r="H56" s="1">
        <f>SUM(OSRRefE21_9x_0)</f>
        <v>0</v>
      </c>
      <c r="I56" s="1">
        <f>SUM(OSRRefE21_9x_1)</f>
        <v>0</v>
      </c>
      <c r="J56" s="1">
        <f>SUM(OSRRefE21_9x_2)</f>
        <v>0</v>
      </c>
      <c r="K56" s="1">
        <f>SUM(OSRRefE21_9x_3)</f>
        <v>0</v>
      </c>
      <c r="L56" s="1">
        <f>SUM(OSRRefE21_9x_4)</f>
        <v>0</v>
      </c>
      <c r="M56" s="1">
        <f>SUM(OSRRefE21_9x_5)</f>
        <v>0</v>
      </c>
      <c r="N56" s="1">
        <f>SUM(OSRRefE21_9x_6)</f>
        <v>0</v>
      </c>
      <c r="O56" s="1">
        <f>SUM(OSRRefE21_9x_7)</f>
        <v>0</v>
      </c>
      <c r="Q56" s="2">
        <f>SUM(OSRRefD20_9x)+IFERROR(SUM(OSRRefE20_9x),0)</f>
        <v>0</v>
      </c>
    </row>
    <row r="57" spans="1:17" s="34" customFormat="1" hidden="1" outlineLevel="1" x14ac:dyDescent="0.25">
      <c r="A57" s="35"/>
      <c r="B57" s="13" t="str">
        <f>CONCATENATE("          ","6254", " - ","ROYALTY &amp; COMMISSIONS")</f>
        <v xml:space="preserve">          6254 - ROYALTY &amp; COMMISSIONS</v>
      </c>
      <c r="C57" s="15"/>
      <c r="D57" s="2"/>
      <c r="E57" s="2"/>
      <c r="F57" s="2"/>
      <c r="G57" s="2"/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SUM(OSRRefD21_9_0x)+IFERROR(SUM(OSRRefE21_9_0x),0)</f>
        <v>0</v>
      </c>
    </row>
    <row r="58" spans="1:17" s="34" customFormat="1" collapsed="1" x14ac:dyDescent="0.25">
      <c r="A58" s="35"/>
      <c r="B58" s="15" t="str">
        <f>CONCATENATE("     ","Services                                          ")</f>
        <v xml:space="preserve">     Services                                          </v>
      </c>
      <c r="C58" s="15"/>
      <c r="D58" s="1">
        <f>SUM(OSRRefD21_10x_0)</f>
        <v>320.58</v>
      </c>
      <c r="E58" s="1">
        <f>SUM(OSRRefD21_10x_1)</f>
        <v>0</v>
      </c>
      <c r="F58" s="1">
        <f>SUM(OSRRefD21_10x_2)</f>
        <v>0</v>
      </c>
      <c r="G58" s="1">
        <f>SUM(OSRRefD21_10x_3)</f>
        <v>0</v>
      </c>
      <c r="H58" s="1">
        <f>SUM(OSRRefE21_10x_0)</f>
        <v>0</v>
      </c>
      <c r="I58" s="1">
        <f>SUM(OSRRefE21_10x_1)</f>
        <v>0</v>
      </c>
      <c r="J58" s="1">
        <f>SUM(OSRRefE21_10x_2)</f>
        <v>0</v>
      </c>
      <c r="K58" s="1">
        <f>SUM(OSRRefE21_10x_3)</f>
        <v>0</v>
      </c>
      <c r="L58" s="1">
        <f>SUM(OSRRefE21_10x_4)</f>
        <v>0</v>
      </c>
      <c r="M58" s="1">
        <f>SUM(OSRRefE21_10x_5)</f>
        <v>0</v>
      </c>
      <c r="N58" s="1">
        <f>SUM(OSRRefE21_10x_6)</f>
        <v>0</v>
      </c>
      <c r="O58" s="1">
        <f>SUM(OSRRefE21_10x_7)</f>
        <v>0</v>
      </c>
      <c r="Q58" s="2">
        <f>SUM(OSRRefD20_10x)+IFERROR(SUM(OSRRefE20_10x),0)</f>
        <v>320.58</v>
      </c>
    </row>
    <row r="59" spans="1:17" s="34" customFormat="1" hidden="1" outlineLevel="1" x14ac:dyDescent="0.25">
      <c r="A59" s="35"/>
      <c r="B59" s="13" t="str">
        <f>CONCATENATE("          ","6282", " - ","JANITORIAL/EXTERMINATOR EXPENS")</f>
        <v xml:space="preserve">          6282 - JANITORIAL/EXTERMINATOR EXPENS</v>
      </c>
      <c r="C59" s="15"/>
      <c r="D59" s="2"/>
      <c r="E59" s="2"/>
      <c r="F59" s="2"/>
      <c r="G59" s="2"/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SUM(OSRRefD21_10_0x)+IFERROR(SUM(OSRRefE21_10_0x),0)</f>
        <v>0</v>
      </c>
    </row>
    <row r="60" spans="1:17" s="34" customFormat="1" hidden="1" outlineLevel="1" x14ac:dyDescent="0.25">
      <c r="A60" s="35"/>
      <c r="B60" s="13" t="str">
        <f>CONCATENATE("          ","6283", " - ","PLANT SERVICE")</f>
        <v xml:space="preserve">          6283 - PLANT SERVICE</v>
      </c>
      <c r="C60" s="15"/>
      <c r="D60" s="2"/>
      <c r="E60" s="2"/>
      <c r="F60" s="2"/>
      <c r="G60" s="2"/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SUM(OSRRefD21_10_1x)+IFERROR(SUM(OSRRefE21_10_1x),0)</f>
        <v>0</v>
      </c>
    </row>
    <row r="61" spans="1:17" s="34" customFormat="1" hidden="1" outlineLevel="1" x14ac:dyDescent="0.25">
      <c r="A61" s="35"/>
      <c r="B61" s="13" t="str">
        <f>CONCATENATE("          ","6285", " - ","JANITORIAL SERVICES")</f>
        <v xml:space="preserve">          6285 - JANITORIAL SERVICES</v>
      </c>
      <c r="C61" s="15"/>
      <c r="D61" s="2"/>
      <c r="E61" s="2"/>
      <c r="F61" s="2"/>
      <c r="G61" s="2"/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SUM(OSRRefD21_10_2x)+IFERROR(SUM(OSRRefE21_10_2x),0)</f>
        <v>0</v>
      </c>
    </row>
    <row r="62" spans="1:17" s="34" customFormat="1" hidden="1" outlineLevel="1" x14ac:dyDescent="0.25">
      <c r="A62" s="35"/>
      <c r="B62" s="13" t="str">
        <f>CONCATENATE("          ","6286", " - ","LAUNDRY EXPENSE")</f>
        <v xml:space="preserve">          6286 - LAUNDRY EXPENSE</v>
      </c>
      <c r="C62" s="15"/>
      <c r="D62" s="2">
        <v>320.58</v>
      </c>
      <c r="E62" s="2"/>
      <c r="F62" s="2"/>
      <c r="G62" s="2"/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SUM(OSRRefD21_10_3x)+IFERROR(SUM(OSRRefE21_10_3x),0)</f>
        <v>320.58</v>
      </c>
    </row>
    <row r="63" spans="1:17" s="34" customFormat="1" collapsed="1" x14ac:dyDescent="0.25">
      <c r="A63" s="35"/>
      <c r="B63" s="15" t="str">
        <f>CONCATENATE("     ","Supplies                                          ")</f>
        <v xml:space="preserve">     Supplies                                          </v>
      </c>
      <c r="C63" s="15"/>
      <c r="D63" s="1">
        <f>SUM(OSRRefD21_11x_0)</f>
        <v>0</v>
      </c>
      <c r="E63" s="1">
        <f>SUM(OSRRefD21_11x_1)</f>
        <v>0</v>
      </c>
      <c r="F63" s="1">
        <f>SUM(OSRRefD21_11x_2)</f>
        <v>0</v>
      </c>
      <c r="G63" s="1">
        <f>SUM(OSRRefD21_11x_3)</f>
        <v>0</v>
      </c>
      <c r="H63" s="1">
        <f>SUM(OSRRefE21_11x_0)</f>
        <v>0</v>
      </c>
      <c r="I63" s="1">
        <f>SUM(OSRRefE21_11x_1)</f>
        <v>0</v>
      </c>
      <c r="J63" s="1">
        <f>SUM(OSRRefE21_11x_2)</f>
        <v>0</v>
      </c>
      <c r="K63" s="1">
        <f>SUM(OSRRefE21_11x_3)</f>
        <v>0</v>
      </c>
      <c r="L63" s="1">
        <f>SUM(OSRRefE21_11x_4)</f>
        <v>0</v>
      </c>
      <c r="M63" s="1">
        <f>SUM(OSRRefE21_11x_5)</f>
        <v>0</v>
      </c>
      <c r="N63" s="1">
        <f>SUM(OSRRefE21_11x_6)</f>
        <v>0</v>
      </c>
      <c r="O63" s="1">
        <f>SUM(OSRRefE21_11x_7)</f>
        <v>0</v>
      </c>
      <c r="Q63" s="2">
        <f>SUM(OSRRefD20_11x)+IFERROR(SUM(OSRRefE20_11x),0)</f>
        <v>0</v>
      </c>
    </row>
    <row r="64" spans="1:17" s="34" customFormat="1" hidden="1" outlineLevel="1" x14ac:dyDescent="0.25">
      <c r="A64" s="35"/>
      <c r="B64" s="13" t="str">
        <f>CONCATENATE("          ","6235", " - ","COVID-19 EXPENSES")</f>
        <v xml:space="preserve">          6235 - COVID-19 EXPENSES</v>
      </c>
      <c r="C64" s="15"/>
      <c r="D64" s="2"/>
      <c r="E64" s="2"/>
      <c r="F64" s="2"/>
      <c r="G64" s="2"/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SUM(OSRRefD21_11_0x)+IFERROR(SUM(OSRRefE21_11_0x),0)</f>
        <v>0</v>
      </c>
    </row>
    <row r="65" spans="1:17" s="34" customFormat="1" hidden="1" outlineLevel="1" x14ac:dyDescent="0.25">
      <c r="A65" s="35"/>
      <c r="B65" s="13" t="str">
        <f>CONCATENATE("          ","6241", " - ","OFFICE EXPENSE")</f>
        <v xml:space="preserve">          6241 - OFFICE EXPENSE</v>
      </c>
      <c r="C65" s="15"/>
      <c r="D65" s="2"/>
      <c r="E65" s="2"/>
      <c r="F65" s="2"/>
      <c r="G65" s="2"/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SUM(OSRRefD21_11_1x)+IFERROR(SUM(OSRRefE21_11_1x),0)</f>
        <v>0</v>
      </c>
    </row>
    <row r="66" spans="1:17" s="34" customFormat="1" hidden="1" outlineLevel="1" x14ac:dyDescent="0.25">
      <c r="A66" s="35"/>
      <c r="B66" s="13" t="str">
        <f>CONCATENATE("          ","6243", " - ","PAPER SUPPLIES")</f>
        <v xml:space="preserve">          6243 - PAPER SUPPLIES</v>
      </c>
      <c r="C66" s="15"/>
      <c r="D66" s="2"/>
      <c r="E66" s="2"/>
      <c r="F66" s="2"/>
      <c r="G66" s="2"/>
      <c r="H66" s="2"/>
      <c r="I66" s="2">
        <v>0</v>
      </c>
      <c r="J66" s="2"/>
      <c r="K66" s="2">
        <v>0</v>
      </c>
      <c r="L66" s="2"/>
      <c r="M66" s="2">
        <v>0</v>
      </c>
      <c r="N66" s="2"/>
      <c r="O66" s="2">
        <v>0</v>
      </c>
      <c r="P66" s="9"/>
      <c r="Q66" s="2">
        <f>SUM(OSRRefD21_11_2x)+IFERROR(SUM(OSRRefE21_11_2x),0)</f>
        <v>0</v>
      </c>
    </row>
    <row r="67" spans="1:17" s="34" customFormat="1" hidden="1" outlineLevel="1" x14ac:dyDescent="0.25">
      <c r="A67" s="35"/>
      <c r="B67" s="13" t="str">
        <f>CONCATENATE("          ","6247", " - ","STORE SUPPLIES")</f>
        <v xml:space="preserve">          6247 - STORE SUPPLIES</v>
      </c>
      <c r="C67" s="15"/>
      <c r="D67" s="2"/>
      <c r="E67" s="2"/>
      <c r="F67" s="2"/>
      <c r="G67" s="2"/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SUM(OSRRefD21_11_3x)+IFERROR(SUM(OSRRefE21_11_3x),0)</f>
        <v>0</v>
      </c>
    </row>
    <row r="68" spans="1:17" s="34" customFormat="1" hidden="1" outlineLevel="1" x14ac:dyDescent="0.25">
      <c r="A68" s="35"/>
      <c r="B68" s="13" t="str">
        <f>CONCATENATE("          ","6248", " - ","UNIFORMS")</f>
        <v xml:space="preserve">          6248 - UNIFORMS</v>
      </c>
      <c r="C68" s="15"/>
      <c r="D68" s="2"/>
      <c r="E68" s="2"/>
      <c r="F68" s="2"/>
      <c r="G68" s="2"/>
      <c r="H68" s="2"/>
      <c r="I68" s="2">
        <v>0</v>
      </c>
      <c r="J68" s="2"/>
      <c r="K68" s="2">
        <v>0</v>
      </c>
      <c r="L68" s="2"/>
      <c r="M68" s="2">
        <v>0</v>
      </c>
      <c r="N68" s="2"/>
      <c r="O68" s="2"/>
      <c r="P68" s="9"/>
      <c r="Q68" s="2">
        <f>SUM(OSRRefD21_11_4x)+IFERROR(SUM(OSRRefE21_11_4x),0)</f>
        <v>0</v>
      </c>
    </row>
    <row r="69" spans="1:17" s="34" customFormat="1" collapsed="1" x14ac:dyDescent="0.25">
      <c r="A69" s="35"/>
      <c r="B69" s="15" t="str">
        <f>CONCATENATE("     ","Telephone/Data Lines                              ")</f>
        <v xml:space="preserve">     Telephone/Data Lines                              </v>
      </c>
      <c r="C69" s="15"/>
      <c r="D69" s="1">
        <f>SUM(OSRRefD21_12x_0)</f>
        <v>53.81</v>
      </c>
      <c r="E69" s="1">
        <f>SUM(OSRRefD21_12x_1)</f>
        <v>128.66</v>
      </c>
      <c r="F69" s="1">
        <f>SUM(OSRRefD21_12x_2)</f>
        <v>-11.37</v>
      </c>
      <c r="G69" s="1">
        <f>SUM(OSRRefD21_12x_3)</f>
        <v>49.93</v>
      </c>
      <c r="H69" s="1">
        <f>SUM(OSRRefE21_12x_0)</f>
        <v>0</v>
      </c>
      <c r="I69" s="1">
        <f>SUM(OSRRefE21_12x_1)</f>
        <v>0</v>
      </c>
      <c r="J69" s="1">
        <f>SUM(OSRRefE21_12x_2)</f>
        <v>0</v>
      </c>
      <c r="K69" s="1">
        <f>SUM(OSRRefE21_12x_3)</f>
        <v>0</v>
      </c>
      <c r="L69" s="1">
        <f>SUM(OSRRefE21_12x_4)</f>
        <v>0</v>
      </c>
      <c r="M69" s="1">
        <f>SUM(OSRRefE21_12x_5)</f>
        <v>0</v>
      </c>
      <c r="N69" s="1">
        <f>SUM(OSRRefE21_12x_6)</f>
        <v>0</v>
      </c>
      <c r="O69" s="1">
        <f>SUM(OSRRefE21_12x_7)</f>
        <v>0</v>
      </c>
      <c r="Q69" s="2">
        <f>SUM(OSRRefD20_12x)+IFERROR(SUM(OSRRefE20_12x),0)</f>
        <v>221.03</v>
      </c>
    </row>
    <row r="70" spans="1:17" s="34" customFormat="1" hidden="1" outlineLevel="1" x14ac:dyDescent="0.25">
      <c r="A70" s="35"/>
      <c r="B70" s="13" t="str">
        <f>CONCATENATE("          ","6303", " - ","DATA PHONE LINES")</f>
        <v xml:space="preserve">          6303 - DATA PHONE LINES</v>
      </c>
      <c r="C70" s="15"/>
      <c r="D70" s="2"/>
      <c r="E70" s="2"/>
      <c r="F70" s="2"/>
      <c r="G70" s="2"/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9"/>
      <c r="Q70" s="2">
        <f>SUM(OSRRefD21_12_0x)+IFERROR(SUM(OSRRefE21_12_0x),0)</f>
        <v>0</v>
      </c>
    </row>
    <row r="71" spans="1:17" s="34" customFormat="1" hidden="1" outlineLevel="1" x14ac:dyDescent="0.25">
      <c r="A71" s="35"/>
      <c r="B71" s="13" t="str">
        <f>CONCATENATE("          ","6309", " - ","TELEPHONE")</f>
        <v xml:space="preserve">          6309 - TELEPHONE</v>
      </c>
      <c r="C71" s="15"/>
      <c r="D71" s="2">
        <v>53.81</v>
      </c>
      <c r="E71" s="2">
        <v>128.66</v>
      </c>
      <c r="F71" s="2">
        <v>-11.37</v>
      </c>
      <c r="G71" s="2">
        <v>49.93</v>
      </c>
      <c r="H71" s="2"/>
      <c r="I71" s="2"/>
      <c r="J71" s="2"/>
      <c r="K71" s="2"/>
      <c r="L71" s="2"/>
      <c r="M71" s="2"/>
      <c r="N71" s="2"/>
      <c r="O71" s="2"/>
      <c r="P71" s="9"/>
      <c r="Q71" s="2">
        <f>SUM(OSRRefD21_12_1x)+IFERROR(SUM(OSRRefE21_12_1x),0)</f>
        <v>221.03</v>
      </c>
    </row>
    <row r="72" spans="1:17" s="34" customFormat="1" collapsed="1" x14ac:dyDescent="0.25">
      <c r="A72" s="35"/>
      <c r="B72" s="15" t="str">
        <f>CONCATENATE("     ","Utilities                                         ")</f>
        <v xml:space="preserve">     Utilities                                         </v>
      </c>
      <c r="C72" s="15"/>
      <c r="D72" s="1">
        <f>SUM(OSRRefD21_13x_0)</f>
        <v>0</v>
      </c>
      <c r="E72" s="1">
        <f>SUM(OSRRefD21_13x_1)</f>
        <v>0</v>
      </c>
      <c r="F72" s="1">
        <f>SUM(OSRRefD21_13x_2)</f>
        <v>0</v>
      </c>
      <c r="G72" s="1">
        <f>SUM(OSRRefD21_13x_3)</f>
        <v>0</v>
      </c>
      <c r="H72" s="1">
        <f>SUM(OSRRefE21_13x_0)</f>
        <v>0</v>
      </c>
      <c r="I72" s="1">
        <f>SUM(OSRRefE21_13x_1)</f>
        <v>0</v>
      </c>
      <c r="J72" s="1">
        <f>SUM(OSRRefE21_13x_2)</f>
        <v>0</v>
      </c>
      <c r="K72" s="1">
        <f>SUM(OSRRefE21_13x_3)</f>
        <v>0</v>
      </c>
      <c r="L72" s="1">
        <f>SUM(OSRRefE21_13x_4)</f>
        <v>0</v>
      </c>
      <c r="M72" s="1">
        <f>SUM(OSRRefE21_13x_5)</f>
        <v>0</v>
      </c>
      <c r="N72" s="1">
        <f>SUM(OSRRefE21_13x_6)</f>
        <v>0</v>
      </c>
      <c r="O72" s="1">
        <f>SUM(OSRRefE21_13x_7)</f>
        <v>0</v>
      </c>
      <c r="Q72" s="2">
        <f>SUM(OSRRefD20_13x)+IFERROR(SUM(OSRRefE20_13x),0)</f>
        <v>0</v>
      </c>
    </row>
    <row r="73" spans="1:17" s="34" customFormat="1" hidden="1" outlineLevel="1" x14ac:dyDescent="0.25">
      <c r="A73" s="35"/>
      <c r="B73" s="13" t="str">
        <f>CONCATENATE("          ","6274", " - ","UTILITIES")</f>
        <v xml:space="preserve">          6274 - UTILITIES</v>
      </c>
      <c r="C73" s="15"/>
      <c r="D73" s="2"/>
      <c r="E73" s="2"/>
      <c r="F73" s="2"/>
      <c r="G73" s="2"/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SUM(OSRRefD21_13_0x)+IFERROR(SUM(OSRRefE21_13_0x),0)</f>
        <v>0</v>
      </c>
    </row>
    <row r="74" spans="1:17" s="28" customFormat="1" x14ac:dyDescent="0.25">
      <c r="A74" s="20"/>
      <c r="B74" s="20"/>
      <c r="C74" s="20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Q74" s="1"/>
    </row>
    <row r="75" spans="1:17" s="9" customFormat="1" x14ac:dyDescent="0.25">
      <c r="A75" s="22"/>
      <c r="B75" s="16" t="s">
        <v>0</v>
      </c>
      <c r="C75" s="23"/>
      <c r="D75" s="3">
        <f t="shared" ref="D75:G75" si="3">0</f>
        <v>0</v>
      </c>
      <c r="E75" s="3">
        <f t="shared" si="3"/>
        <v>0</v>
      </c>
      <c r="F75" s="3">
        <f t="shared" si="3"/>
        <v>0</v>
      </c>
      <c r="G75" s="3">
        <f t="shared" si="3"/>
        <v>0</v>
      </c>
      <c r="H75" s="3"/>
      <c r="I75" s="3"/>
      <c r="J75" s="3"/>
      <c r="K75" s="3"/>
      <c r="L75" s="3"/>
      <c r="M75" s="3"/>
      <c r="N75" s="3"/>
      <c r="O75" s="3"/>
      <c r="Q75" s="2">
        <f>SUM(OSRRefD23_0x)+IFERROR(SUM(OSRRefE23_0x),0)</f>
        <v>0</v>
      </c>
    </row>
    <row r="76" spans="1:17" x14ac:dyDescent="0.25">
      <c r="A76" s="5"/>
      <c r="B76" s="8"/>
      <c r="C76" s="8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4" customFormat="1" x14ac:dyDescent="0.25">
      <c r="A77" s="8"/>
      <c r="B77" s="17" t="s">
        <v>3</v>
      </c>
      <c r="C77" s="17"/>
      <c r="D77" s="6">
        <f t="shared" ref="D77:O77" si="4">IFERROR(+D16-D19+D75, 0)</f>
        <v>-1080.99</v>
      </c>
      <c r="E77" s="6">
        <f t="shared" si="4"/>
        <v>-976.21999999999991</v>
      </c>
      <c r="F77" s="6">
        <f t="shared" si="4"/>
        <v>-739.58</v>
      </c>
      <c r="G77" s="6">
        <f t="shared" si="4"/>
        <v>-627.29</v>
      </c>
      <c r="H77" s="6">
        <f t="shared" si="4"/>
        <v>-848</v>
      </c>
      <c r="I77" s="6">
        <f t="shared" si="4"/>
        <v>-848</v>
      </c>
      <c r="J77" s="6">
        <f t="shared" si="4"/>
        <v>-848</v>
      </c>
      <c r="K77" s="6">
        <f t="shared" si="4"/>
        <v>-848</v>
      </c>
      <c r="L77" s="6">
        <f t="shared" si="4"/>
        <v>-848</v>
      </c>
      <c r="M77" s="6">
        <f t="shared" si="4"/>
        <v>-848</v>
      </c>
      <c r="N77" s="6">
        <f t="shared" si="4"/>
        <v>-848</v>
      </c>
      <c r="O77" s="6">
        <f t="shared" si="4"/>
        <v>-848</v>
      </c>
      <c r="Q77" s="6">
        <f>IFERROR(+Q16-Q19+Q75, 0)</f>
        <v>-10208.08</v>
      </c>
    </row>
    <row r="78" spans="1:17" s="8" customFormat="1" x14ac:dyDescent="0.25">
      <c r="B78" s="16"/>
      <c r="C78" s="16"/>
      <c r="D78" s="4">
        <f t="shared" ref="D78:O78" si="5">IFERROR(D77/D10, 0)</f>
        <v>0</v>
      </c>
      <c r="E78" s="4">
        <f t="shared" si="5"/>
        <v>0</v>
      </c>
      <c r="F78" s="4">
        <f t="shared" si="5"/>
        <v>0</v>
      </c>
      <c r="G78" s="4">
        <f t="shared" si="5"/>
        <v>0</v>
      </c>
      <c r="H78" s="4">
        <f t="shared" si="5"/>
        <v>0</v>
      </c>
      <c r="I78" s="4">
        <f t="shared" si="5"/>
        <v>0</v>
      </c>
      <c r="J78" s="4">
        <f t="shared" si="5"/>
        <v>0</v>
      </c>
      <c r="K78" s="4">
        <f t="shared" si="5"/>
        <v>0</v>
      </c>
      <c r="L78" s="4">
        <f t="shared" si="5"/>
        <v>0</v>
      </c>
      <c r="M78" s="4">
        <f t="shared" si="5"/>
        <v>0</v>
      </c>
      <c r="N78" s="4">
        <f t="shared" si="5"/>
        <v>0</v>
      </c>
      <c r="O78" s="4">
        <f t="shared" si="5"/>
        <v>0</v>
      </c>
      <c r="P78" s="18"/>
      <c r="Q78" s="4">
        <f>IFERROR(Q77/Q10, 0)</f>
        <v>0</v>
      </c>
    </row>
    <row r="79" spans="1:17" x14ac:dyDescent="0.25">
      <c r="A79" s="5"/>
      <c r="B79" s="8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4" customFormat="1" x14ac:dyDescent="0.25">
      <c r="A80" s="25"/>
      <c r="B80" s="8" t="s">
        <v>8</v>
      </c>
      <c r="C80" s="8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2">
        <f>SUM(OSRRefD28_0x)+IFERROR(SUM(OSRRefE28_0x),0)</f>
        <v>0</v>
      </c>
    </row>
    <row r="81" spans="1:17" x14ac:dyDescent="0.25">
      <c r="A81" s="5"/>
      <c r="B81" s="8"/>
      <c r="C81" s="8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4" customFormat="1" ht="15.75" thickBot="1" x14ac:dyDescent="0.3">
      <c r="A82" s="8"/>
      <c r="B82" s="17" t="s">
        <v>4</v>
      </c>
      <c r="C82" s="17"/>
      <c r="D82" s="7">
        <f t="shared" ref="D82:O82" si="6">IFERROR(+D77-D80, 0)</f>
        <v>-1080.99</v>
      </c>
      <c r="E82" s="7">
        <f t="shared" si="6"/>
        <v>-976.21999999999991</v>
      </c>
      <c r="F82" s="7">
        <f t="shared" si="6"/>
        <v>-739.58</v>
      </c>
      <c r="G82" s="7">
        <f t="shared" si="6"/>
        <v>-627.29</v>
      </c>
      <c r="H82" s="7">
        <f t="shared" si="6"/>
        <v>-848</v>
      </c>
      <c r="I82" s="7">
        <f t="shared" si="6"/>
        <v>-848</v>
      </c>
      <c r="J82" s="7">
        <f t="shared" si="6"/>
        <v>-848</v>
      </c>
      <c r="K82" s="7">
        <f t="shared" si="6"/>
        <v>-848</v>
      </c>
      <c r="L82" s="7">
        <f t="shared" si="6"/>
        <v>-848</v>
      </c>
      <c r="M82" s="7">
        <f t="shared" si="6"/>
        <v>-848</v>
      </c>
      <c r="N82" s="7">
        <f t="shared" si="6"/>
        <v>-848</v>
      </c>
      <c r="O82" s="7">
        <f t="shared" si="6"/>
        <v>-848</v>
      </c>
      <c r="Q82" s="7">
        <f>IFERROR(+Q77-Q80, 0)</f>
        <v>-10208.08</v>
      </c>
    </row>
    <row r="83" spans="1:17" ht="15.75" thickTop="1" x14ac:dyDescent="0.25">
      <c r="A83" s="5"/>
      <c r="B83" s="5"/>
      <c r="C83" s="5"/>
      <c r="D83" s="4">
        <f t="shared" ref="D83:O83" si="7">IFERROR(D82/D10, 0)</f>
        <v>0</v>
      </c>
      <c r="E83" s="4">
        <f t="shared" si="7"/>
        <v>0</v>
      </c>
      <c r="F83" s="4">
        <f t="shared" si="7"/>
        <v>0</v>
      </c>
      <c r="G83" s="4">
        <f t="shared" si="7"/>
        <v>0</v>
      </c>
      <c r="H83" s="4">
        <f t="shared" si="7"/>
        <v>0</v>
      </c>
      <c r="I83" s="4">
        <f t="shared" si="7"/>
        <v>0</v>
      </c>
      <c r="J83" s="4">
        <f t="shared" si="7"/>
        <v>0</v>
      </c>
      <c r="K83" s="4">
        <f t="shared" si="7"/>
        <v>0</v>
      </c>
      <c r="L83" s="4">
        <f t="shared" si="7"/>
        <v>0</v>
      </c>
      <c r="M83" s="4">
        <f t="shared" si="7"/>
        <v>0</v>
      </c>
      <c r="N83" s="4">
        <f t="shared" si="7"/>
        <v>0</v>
      </c>
      <c r="O83" s="4">
        <f t="shared" si="7"/>
        <v>0</v>
      </c>
      <c r="P83" s="18"/>
      <c r="Q83" s="4">
        <f>IFERROR(Q82/Q10, 0)</f>
        <v>0</v>
      </c>
    </row>
    <row r="84" spans="1:17" x14ac:dyDescent="0.25">
      <c r="A84" s="5"/>
      <c r="B84" s="5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x14ac:dyDescent="0.25">
      <c r="A85" s="5"/>
      <c r="B85" s="5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s="14" customFormat="1" ht="15.75" thickBot="1" x14ac:dyDescent="0.3">
      <c r="A86" s="8"/>
      <c r="B86" s="17" t="s">
        <v>5</v>
      </c>
      <c r="C86" s="17"/>
      <c r="D86" s="7">
        <f t="shared" ref="D86:O86" si="8">IFERROR(SUM(D82:D85), 0)</f>
        <v>-1080.99</v>
      </c>
      <c r="E86" s="7">
        <f t="shared" si="8"/>
        <v>-976.21999999999991</v>
      </c>
      <c r="F86" s="7">
        <f t="shared" si="8"/>
        <v>-739.58</v>
      </c>
      <c r="G86" s="7">
        <f t="shared" si="8"/>
        <v>-627.29</v>
      </c>
      <c r="H86" s="7">
        <f t="shared" si="8"/>
        <v>-848</v>
      </c>
      <c r="I86" s="7">
        <f t="shared" si="8"/>
        <v>-848</v>
      </c>
      <c r="J86" s="7">
        <f t="shared" si="8"/>
        <v>-848</v>
      </c>
      <c r="K86" s="7">
        <f t="shared" si="8"/>
        <v>-848</v>
      </c>
      <c r="L86" s="7">
        <f t="shared" si="8"/>
        <v>-848</v>
      </c>
      <c r="M86" s="7">
        <f t="shared" si="8"/>
        <v>-848</v>
      </c>
      <c r="N86" s="7">
        <f t="shared" si="8"/>
        <v>-848</v>
      </c>
      <c r="O86" s="7">
        <f t="shared" si="8"/>
        <v>-848</v>
      </c>
      <c r="Q86" s="7">
        <f>IFERROR(SUM(Q82:Q85), 0)</f>
        <v>-10208.08</v>
      </c>
    </row>
    <row r="87" spans="1:17" ht="15.75" thickTop="1" x14ac:dyDescent="0.25">
      <c r="A87" s="5"/>
      <c r="C87" s="5"/>
      <c r="D87" s="4">
        <f t="shared" ref="D87:O87" si="9">IFERROR(D86/D10, 0)</f>
        <v>0</v>
      </c>
      <c r="E87" s="4">
        <f t="shared" si="9"/>
        <v>0</v>
      </c>
      <c r="F87" s="4">
        <f t="shared" si="9"/>
        <v>0</v>
      </c>
      <c r="G87" s="4">
        <f t="shared" si="9"/>
        <v>0</v>
      </c>
      <c r="H87" s="4">
        <f t="shared" si="9"/>
        <v>0</v>
      </c>
      <c r="I87" s="4">
        <f t="shared" si="9"/>
        <v>0</v>
      </c>
      <c r="J87" s="4">
        <f t="shared" si="9"/>
        <v>0</v>
      </c>
      <c r="K87" s="4">
        <f t="shared" si="9"/>
        <v>0</v>
      </c>
      <c r="L87" s="4">
        <f t="shared" si="9"/>
        <v>0</v>
      </c>
      <c r="M87" s="4">
        <f t="shared" si="9"/>
        <v>0</v>
      </c>
      <c r="N87" s="4">
        <f t="shared" si="9"/>
        <v>0</v>
      </c>
      <c r="O87" s="4">
        <f t="shared" si="9"/>
        <v>0</v>
      </c>
      <c r="P87" s="18"/>
      <c r="Q87" s="4">
        <f>IFERROR(Q86/Q10, 0)</f>
        <v>0</v>
      </c>
    </row>
    <row r="88" spans="1:17" x14ac:dyDescent="0.25">
      <c r="A88" s="5"/>
      <c r="B88" s="26">
        <v>44151.564992673608</v>
      </c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Q88" s="12"/>
    </row>
    <row r="89" spans="1:17" x14ac:dyDescent="0.25">
      <c r="A89" s="5"/>
      <c r="B89" s="30" t="s">
        <v>311</v>
      </c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Q89" s="12"/>
    </row>
    <row r="90" spans="1:17" x14ac:dyDescent="0.25">
      <c r="A90" s="5"/>
      <c r="B90" s="31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Q90" s="12"/>
    </row>
    <row r="91" spans="1:17" x14ac:dyDescent="0.25"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Q9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","413", " - ", "Beach Walk")</f>
        <v>Department 413 - Beach Walk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SUM(OSRRefE11x_0)</f>
        <v>0</v>
      </c>
      <c r="I10" s="3">
        <f>SUM(OSRRefE11x_1)</f>
        <v>0</v>
      </c>
      <c r="J10" s="3">
        <f>SUM(OSRRefE11x_2)</f>
        <v>0</v>
      </c>
      <c r="K10" s="3">
        <f>SUM(OSRRefE11x_3)</f>
        <v>0</v>
      </c>
      <c r="L10" s="3">
        <f>SUM(OSRRefE11x_4)</f>
        <v>0</v>
      </c>
      <c r="M10" s="3">
        <f>SUM(OSRRefE11x_5)</f>
        <v>0</v>
      </c>
      <c r="N10" s="3">
        <f>SUM(OSRRefE11x_6)</f>
        <v>0</v>
      </c>
      <c r="O10" s="3">
        <f>SUM(OSRRefE11x_7)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G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2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/>
      <c r="Q12" s="2">
        <f>SUM(OSRRefD11_1x)+IFERROR(SUM(OSRRefE11_1x),0)</f>
        <v>0</v>
      </c>
    </row>
    <row r="13" spans="1:18" x14ac:dyDescent="0.2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290</v>
      </c>
      <c r="C14" s="23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SUM(OSRRefE14x_0)</f>
        <v>0</v>
      </c>
      <c r="I14" s="3">
        <f>SUM(OSRRefE14x_1)</f>
        <v>0</v>
      </c>
      <c r="J14" s="3">
        <f>SUM(OSRRefE14x_2)</f>
        <v>0</v>
      </c>
      <c r="K14" s="3">
        <f>SUM(OSRRefE14x_3)</f>
        <v>0</v>
      </c>
      <c r="L14" s="3">
        <f>SUM(OSRRefE14x_4)</f>
        <v>0</v>
      </c>
      <c r="M14" s="3">
        <f>SUM(OSRRefE14x_5)</f>
        <v>0</v>
      </c>
      <c r="N14" s="3">
        <f>SUM(OSRRefE14x_6)</f>
        <v>0</v>
      </c>
      <c r="O14" s="3">
        <f>SUM(OSRRefE14x_7)</f>
        <v>0</v>
      </c>
      <c r="Q14" s="3">
        <f>SUM(OSRRefG14x)</f>
        <v>0</v>
      </c>
    </row>
    <row r="15" spans="1:18" s="9" customFormat="1" hidden="1" outlineLevel="1" x14ac:dyDescent="0.25">
      <c r="A15" s="22"/>
      <c r="B15" s="13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Q15" s="2">
        <f>SUM(OSRRefD14_0x)+IFERROR(SUM(OSRRefE14_0x),0)</f>
        <v>0</v>
      </c>
    </row>
    <row r="16" spans="1:18" x14ac:dyDescent="0.25">
      <c r="A16" s="5"/>
      <c r="B16" s="8"/>
      <c r="C16" s="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4" customFormat="1" x14ac:dyDescent="0.25">
      <c r="A17" s="8"/>
      <c r="B17" s="17" t="s">
        <v>6</v>
      </c>
      <c r="C17" s="17"/>
      <c r="D17" s="6">
        <f t="shared" ref="D17:O17" si="1">IFERROR(+D10-D14, 0)</f>
        <v>0</v>
      </c>
      <c r="E17" s="6">
        <f t="shared" si="1"/>
        <v>0</v>
      </c>
      <c r="F17" s="6">
        <f t="shared" si="1"/>
        <v>0</v>
      </c>
      <c r="G17" s="6">
        <f t="shared" si="1"/>
        <v>0</v>
      </c>
      <c r="H17" s="6">
        <f t="shared" si="1"/>
        <v>0</v>
      </c>
      <c r="I17" s="6">
        <f t="shared" si="1"/>
        <v>0</v>
      </c>
      <c r="J17" s="6">
        <f t="shared" si="1"/>
        <v>0</v>
      </c>
      <c r="K17" s="6">
        <f t="shared" si="1"/>
        <v>0</v>
      </c>
      <c r="L17" s="6">
        <f t="shared" si="1"/>
        <v>0</v>
      </c>
      <c r="M17" s="6">
        <f t="shared" si="1"/>
        <v>0</v>
      </c>
      <c r="N17" s="6">
        <f t="shared" si="1"/>
        <v>0</v>
      </c>
      <c r="O17" s="6">
        <f t="shared" si="1"/>
        <v>0</v>
      </c>
      <c r="Q17" s="6">
        <f>IFERROR(+Q10-Q14, 0)</f>
        <v>0</v>
      </c>
    </row>
    <row r="18" spans="1:17" s="8" customFormat="1" x14ac:dyDescent="0.25">
      <c r="B18" s="16"/>
      <c r="C18" s="16"/>
      <c r="D18" s="4">
        <f t="shared" ref="D18:O18" si="2">IFERROR(D17/D10, 0)</f>
        <v>0</v>
      </c>
      <c r="E18" s="4">
        <f t="shared" si="2"/>
        <v>0</v>
      </c>
      <c r="F18" s="4">
        <f t="shared" si="2"/>
        <v>0</v>
      </c>
      <c r="G18" s="4">
        <f t="shared" si="2"/>
        <v>0</v>
      </c>
      <c r="H18" s="4">
        <f t="shared" si="2"/>
        <v>0</v>
      </c>
      <c r="I18" s="4">
        <f t="shared" si="2"/>
        <v>0</v>
      </c>
      <c r="J18" s="4">
        <f t="shared" si="2"/>
        <v>0</v>
      </c>
      <c r="K18" s="4">
        <f t="shared" si="2"/>
        <v>0</v>
      </c>
      <c r="L18" s="4">
        <f t="shared" si="2"/>
        <v>0</v>
      </c>
      <c r="M18" s="4">
        <f t="shared" si="2"/>
        <v>0</v>
      </c>
      <c r="N18" s="4">
        <f t="shared" si="2"/>
        <v>0</v>
      </c>
      <c r="O18" s="4">
        <f t="shared" si="2"/>
        <v>0</v>
      </c>
      <c r="P18" s="18"/>
      <c r="Q18" s="4">
        <f>IFERROR(Q17/Q10, 0)</f>
        <v>0</v>
      </c>
    </row>
    <row r="19" spans="1:17" x14ac:dyDescent="0.25">
      <c r="A19" s="5"/>
      <c r="B19" s="8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4" customFormat="1" x14ac:dyDescent="0.25">
      <c r="A20" s="8"/>
      <c r="B20" s="16" t="s">
        <v>291</v>
      </c>
      <c r="C20" s="8"/>
      <c r="D20" s="10">
        <f>SUM(OSRRefD20x_0)</f>
        <v>4118.5600000000004</v>
      </c>
      <c r="E20" s="10">
        <f>SUM(OSRRefD20x_1)</f>
        <v>157.63</v>
      </c>
      <c r="F20" s="10">
        <f>SUM(OSRRefD20x_2)</f>
        <v>223.78</v>
      </c>
      <c r="G20" s="10">
        <f>SUM(OSRRefD20x_3)</f>
        <v>65.73</v>
      </c>
      <c r="H20" s="10">
        <f>SUM(OSRRefE20x_0)</f>
        <v>630</v>
      </c>
      <c r="I20" s="10">
        <f>SUM(OSRRefE20x_1)</f>
        <v>630</v>
      </c>
      <c r="J20" s="10">
        <f>SUM(OSRRefE20x_2)</f>
        <v>630</v>
      </c>
      <c r="K20" s="10">
        <f>SUM(OSRRefE20x_3)</f>
        <v>630</v>
      </c>
      <c r="L20" s="10">
        <f>SUM(OSRRefE20x_4)</f>
        <v>630</v>
      </c>
      <c r="M20" s="10">
        <f>SUM(OSRRefE20x_5)</f>
        <v>630</v>
      </c>
      <c r="N20" s="10">
        <f>SUM(OSRRefE20x_6)</f>
        <v>630</v>
      </c>
      <c r="O20" s="10">
        <f>SUM(OSRRefE20x_7)</f>
        <v>630</v>
      </c>
      <c r="Q20" s="10">
        <f>SUM(OSRRefG20x)</f>
        <v>9605.7000000000007</v>
      </c>
    </row>
    <row r="21" spans="1:17" s="34" customFormat="1" collapsed="1" x14ac:dyDescent="0.25">
      <c r="A21" s="35"/>
      <c r="B21" s="15" t="str">
        <f>CONCATENATE("     ","*Benefits                                         ")</f>
        <v xml:space="preserve">     *Benefits                                         </v>
      </c>
      <c r="C21" s="15"/>
      <c r="D21" s="1">
        <f>SUM(OSRRefD21_0x_0)</f>
        <v>1493.43</v>
      </c>
      <c r="E21" s="1">
        <f>SUM(OSRRefD21_0x_1)</f>
        <v>0</v>
      </c>
      <c r="F21" s="1">
        <f>SUM(OSRRefD21_0x_2)</f>
        <v>0</v>
      </c>
      <c r="G21" s="1">
        <f>SUM(OSRRefD21_0x_3)</f>
        <v>0</v>
      </c>
      <c r="H21" s="1">
        <f>SUM(OSRRefE21_0x_0)</f>
        <v>0</v>
      </c>
      <c r="I21" s="1">
        <f>SUM(OSRRefE21_0x_1)</f>
        <v>0</v>
      </c>
      <c r="J21" s="1">
        <f>SUM(OSRRefE21_0x_2)</f>
        <v>0</v>
      </c>
      <c r="K21" s="1">
        <f>SUM(OSRRefE21_0x_3)</f>
        <v>0</v>
      </c>
      <c r="L21" s="1">
        <f>SUM(OSRRefE21_0x_4)</f>
        <v>0</v>
      </c>
      <c r="M21" s="1">
        <f>SUM(OSRRefE21_0x_5)</f>
        <v>0</v>
      </c>
      <c r="N21" s="1">
        <f>SUM(OSRRefE21_0x_6)</f>
        <v>0</v>
      </c>
      <c r="O21" s="1">
        <f>SUM(OSRRefE21_0x_7)</f>
        <v>0</v>
      </c>
      <c r="Q21" s="2">
        <f>SUM(OSRRefD20_0x)+IFERROR(SUM(OSRRefE20_0x),0)</f>
        <v>1493.43</v>
      </c>
    </row>
    <row r="22" spans="1:17" s="34" customFormat="1" hidden="1" outlineLevel="1" x14ac:dyDescent="0.25">
      <c r="A22" s="35"/>
      <c r="B22" s="13" t="str">
        <f>CONCATENATE("          ","6111", " - ","F.I.C.A.")</f>
        <v xml:space="preserve">          6111 - F.I.C.A.</v>
      </c>
      <c r="C22" s="15"/>
      <c r="D22" s="2">
        <v>191.51</v>
      </c>
      <c r="E22" s="2"/>
      <c r="F22" s="2"/>
      <c r="G22" s="2"/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SUM(OSRRefD21_0_0x)+IFERROR(SUM(OSRRefE21_0_0x),0)</f>
        <v>191.51</v>
      </c>
    </row>
    <row r="23" spans="1:17" s="34" customFormat="1" hidden="1" outlineLevel="1" x14ac:dyDescent="0.25">
      <c r="A23" s="35"/>
      <c r="B23" s="13" t="str">
        <f>CONCATENATE("          ","6112", " - ","COMPENSATION INSURANCE")</f>
        <v xml:space="preserve">          6112 - COMPENSATION INSURANCE</v>
      </c>
      <c r="C23" s="15"/>
      <c r="D23" s="2"/>
      <c r="E23" s="2"/>
      <c r="F23" s="2"/>
      <c r="G23" s="2"/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SUM(OSRRefD21_0_1x)+IFERROR(SUM(OSRRefE21_0_1x),0)</f>
        <v>0</v>
      </c>
    </row>
    <row r="24" spans="1:17" s="34" customFormat="1" hidden="1" outlineLevel="1" x14ac:dyDescent="0.25">
      <c r="A24" s="35"/>
      <c r="B24" s="13" t="str">
        <f>CONCATENATE("          ","6113", " - ","GROUP INSURANCE")</f>
        <v xml:space="preserve">          6113 - GROUP INSURANCE</v>
      </c>
      <c r="C24" s="15"/>
      <c r="D24" s="2">
        <v>718.51</v>
      </c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SUM(OSRRefD21_0_2x)+IFERROR(SUM(OSRRefE21_0_2x),0)</f>
        <v>718.51</v>
      </c>
    </row>
    <row r="25" spans="1:17" s="34" customFormat="1" hidden="1" outlineLevel="1" x14ac:dyDescent="0.25">
      <c r="A25" s="35"/>
      <c r="B25" s="13" t="str">
        <f>CONCATENATE("          ","6114", " - ","STATE UNEMPLOYMENT INSURANCE")</f>
        <v xml:space="preserve">          6114 - STATE UNEMPLOYMENT INSURANCE</v>
      </c>
      <c r="C25" s="15"/>
      <c r="D25" s="2"/>
      <c r="E25" s="2"/>
      <c r="F25" s="2"/>
      <c r="G25" s="2"/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SUM(OSRRefD21_0_3x)+IFERROR(SUM(OSRRefE21_0_3x),0)</f>
        <v>0</v>
      </c>
    </row>
    <row r="26" spans="1:17" s="34" customFormat="1" hidden="1" outlineLevel="1" x14ac:dyDescent="0.25">
      <c r="A26" s="35"/>
      <c r="B26" s="13" t="str">
        <f>CONCATENATE("          ","6115", " - ","P.E.R.S.")</f>
        <v xml:space="preserve">          6115 - P.E.R.S.</v>
      </c>
      <c r="C26" s="15"/>
      <c r="D26" s="2">
        <v>377.03</v>
      </c>
      <c r="E26" s="2"/>
      <c r="F26" s="2"/>
      <c r="G26" s="2"/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SUM(OSRRefD21_0_4x)+IFERROR(SUM(OSRRefE21_0_4x),0)</f>
        <v>377.03</v>
      </c>
    </row>
    <row r="27" spans="1:17" s="34" customFormat="1" hidden="1" outlineLevel="1" x14ac:dyDescent="0.25">
      <c r="A27" s="35"/>
      <c r="B27" s="13" t="str">
        <f>CONCATENATE("          ","6116", " - ","EDUCATIONAL BENEFITS")</f>
        <v xml:space="preserve">          6116 - EDUCATIONAL BENEFITS</v>
      </c>
      <c r="C27" s="15"/>
      <c r="D27" s="2"/>
      <c r="E27" s="2"/>
      <c r="F27" s="2"/>
      <c r="G27" s="2"/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4" customFormat="1" hidden="1" outlineLevel="1" x14ac:dyDescent="0.25">
      <c r="A28" s="35"/>
      <c r="B28" s="13" t="str">
        <f>CONCATENATE("          ","6118", " - ","VACATION")</f>
        <v xml:space="preserve">          6118 - VACATION</v>
      </c>
      <c r="C28" s="15"/>
      <c r="D28" s="2">
        <v>93.89</v>
      </c>
      <c r="E28" s="2"/>
      <c r="F28" s="2"/>
      <c r="G28" s="2"/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SUM(OSRRefD21_0_6x)+IFERROR(SUM(OSRRefE21_0_6x),0)</f>
        <v>93.89</v>
      </c>
    </row>
    <row r="29" spans="1:17" s="34" customFormat="1" hidden="1" outlineLevel="1" x14ac:dyDescent="0.25">
      <c r="A29" s="35"/>
      <c r="B29" s="13" t="str">
        <f>CONCATENATE("          ","6119", " - ","SICK LEAVE")</f>
        <v xml:space="preserve">          6119 - SICK LEAVE</v>
      </c>
      <c r="C29" s="15"/>
      <c r="D29" s="2">
        <v>112.49</v>
      </c>
      <c r="E29" s="2"/>
      <c r="F29" s="2"/>
      <c r="G29" s="2"/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SUM(OSRRefD21_0_7x)+IFERROR(SUM(OSRRefE21_0_7x),0)</f>
        <v>112.49</v>
      </c>
    </row>
    <row r="30" spans="1:17" s="34" customFormat="1" hidden="1" outlineLevel="1" x14ac:dyDescent="0.25">
      <c r="A30" s="35"/>
      <c r="B30" s="13" t="str">
        <f>CONCATENATE("          ","6156", " - ","EMPLOYEE MEALS")</f>
        <v xml:space="preserve">          6156 - EMPLOYEE MEALS</v>
      </c>
      <c r="C30" s="15"/>
      <c r="D30" s="2"/>
      <c r="E30" s="2"/>
      <c r="F30" s="2"/>
      <c r="G30" s="2"/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SUM(OSRRefD21_0_8x)+IFERROR(SUM(OSRRefE21_0_8x),0)</f>
        <v>0</v>
      </c>
    </row>
    <row r="31" spans="1:17" s="34" customFormat="1" collapsed="1" x14ac:dyDescent="0.25">
      <c r="A31" s="35"/>
      <c r="B31" s="15" t="str">
        <f>CONCATENATE("     ","*Payroll                                          ")</f>
        <v xml:space="preserve">     *Payroll                                          </v>
      </c>
      <c r="C31" s="15"/>
      <c r="D31" s="1">
        <f>SUM(OSRRefD21_1x_0)</f>
        <v>2259.48</v>
      </c>
      <c r="E31" s="1">
        <f>SUM(OSRRefD21_1x_1)</f>
        <v>0</v>
      </c>
      <c r="F31" s="1">
        <f>SUM(OSRRefD21_1x_2)</f>
        <v>0</v>
      </c>
      <c r="G31" s="1">
        <f>SUM(OSRRefD21_1x_3)</f>
        <v>0</v>
      </c>
      <c r="H31" s="1">
        <f>SUM(OSRRefE21_1x_0)</f>
        <v>0</v>
      </c>
      <c r="I31" s="1">
        <f>SUM(OSRRefE21_1x_1)</f>
        <v>0</v>
      </c>
      <c r="J31" s="1">
        <f>SUM(OSRRefE21_1x_2)</f>
        <v>0</v>
      </c>
      <c r="K31" s="1">
        <f>SUM(OSRRefE21_1x_3)</f>
        <v>0</v>
      </c>
      <c r="L31" s="1">
        <f>SUM(OSRRefE21_1x_4)</f>
        <v>0</v>
      </c>
      <c r="M31" s="1">
        <f>SUM(OSRRefE21_1x_5)</f>
        <v>0</v>
      </c>
      <c r="N31" s="1">
        <f>SUM(OSRRefE21_1x_6)</f>
        <v>0</v>
      </c>
      <c r="O31" s="1">
        <f>SUM(OSRRefE21_1x_7)</f>
        <v>0</v>
      </c>
      <c r="Q31" s="2">
        <f>SUM(OSRRefD20_1x)+IFERROR(SUM(OSRRefE20_1x),0)</f>
        <v>2259.48</v>
      </c>
    </row>
    <row r="32" spans="1:17" s="34" customFormat="1" hidden="1" outlineLevel="1" x14ac:dyDescent="0.25">
      <c r="A32" s="35"/>
      <c r="B32" s="13" t="str">
        <f>CONCATENATE("          ","6001", " - ","ADMINISTRATIVE SALARIES")</f>
        <v xml:space="preserve">          6001 - ADMINISTRATIVE SALARIES</v>
      </c>
      <c r="C32" s="15"/>
      <c r="D32" s="2"/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SUM(OSRRefD21_1_0x)+IFERROR(SUM(OSRRefE21_1_0x),0)</f>
        <v>0</v>
      </c>
    </row>
    <row r="33" spans="1:17" s="34" customFormat="1" hidden="1" outlineLevel="1" x14ac:dyDescent="0.25">
      <c r="A33" s="35"/>
      <c r="B33" s="13" t="str">
        <f>CONCATENATE("          ","6002", " - ","STAFF SALARIES")</f>
        <v xml:space="preserve">          6002 - STAFF SALARIES</v>
      </c>
      <c r="C33" s="15"/>
      <c r="D33" s="2">
        <v>2259.48</v>
      </c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SUM(OSRRefD21_1_1x)+IFERROR(SUM(OSRRefE21_1_1x),0)</f>
        <v>2259.48</v>
      </c>
    </row>
    <row r="34" spans="1:17" s="34" customFormat="1" hidden="1" outlineLevel="1" x14ac:dyDescent="0.25">
      <c r="A34" s="35"/>
      <c r="B34" s="13" t="str">
        <f>CONCATENATE("          ","6003", " - ","STAFF HOURLY-9 MONTH")</f>
        <v xml:space="preserve">          6003 - STAFF HOURLY-9 MONTH</v>
      </c>
      <c r="C34" s="15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4" customFormat="1" hidden="1" outlineLevel="1" x14ac:dyDescent="0.25">
      <c r="A35" s="35"/>
      <c r="B35" s="13" t="str">
        <f>CONCATENATE("          ","6004", " - ","STAFF HOURLY")</f>
        <v xml:space="preserve">          6004 - STAFF HOURLY</v>
      </c>
      <c r="C35" s="15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SUM(OSRRefD21_1_3x)+IFERROR(SUM(OSRRefE21_1_3x),0)</f>
        <v>0</v>
      </c>
    </row>
    <row r="36" spans="1:17" s="34" customFormat="1" hidden="1" outlineLevel="1" x14ac:dyDescent="0.25">
      <c r="A36" s="35"/>
      <c r="B36" s="13" t="str">
        <f>CONCATENATE("          ","6005", " - ","TEMPORARY WAGES-HOURLY")</f>
        <v xml:space="preserve">          6005 - TEMPORARY WAGES-HOURLY</v>
      </c>
      <c r="C36" s="15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SUM(OSRRefD21_1_4x)+IFERROR(SUM(OSRRefE21_1_4x),0)</f>
        <v>0</v>
      </c>
    </row>
    <row r="37" spans="1:17" s="34" customFormat="1" hidden="1" outlineLevel="1" x14ac:dyDescent="0.25">
      <c r="A37" s="35"/>
      <c r="B37" s="13" t="str">
        <f>CONCATENATE("          ","6006", " - ","TEMPORARY PART TIME")</f>
        <v xml:space="preserve">          6006 - TEMPORARY PART TIME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4" customFormat="1" hidden="1" outlineLevel="1" x14ac:dyDescent="0.25">
      <c r="A38" s="35"/>
      <c r="B38" s="13" t="str">
        <f>CONCATENATE("          ","6007", " - ","STUDENT HOURLY")</f>
        <v xml:space="preserve">          6007 - STUDENT HOURLY</v>
      </c>
      <c r="C38" s="15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SUM(OSRRefD21_1_6x)+IFERROR(SUM(OSRRefE21_1_6x),0)</f>
        <v>0</v>
      </c>
    </row>
    <row r="39" spans="1:17" s="34" customFormat="1" hidden="1" outlineLevel="1" x14ac:dyDescent="0.25">
      <c r="A39" s="35"/>
      <c r="B39" s="13" t="str">
        <f>CONCATENATE("          ","6008", " - ","STUDENT HOURLY-FICA EXEMPT")</f>
        <v xml:space="preserve">          6008 - STUDENT HOURLY-FICA EXEMPT</v>
      </c>
      <c r="C39" s="15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SUM(OSRRefD21_1_7x)+IFERROR(SUM(OSRRefE21_1_7x),0)</f>
        <v>0</v>
      </c>
    </row>
    <row r="40" spans="1:17" s="34" customFormat="1" hidden="1" outlineLevel="1" x14ac:dyDescent="0.25">
      <c r="A40" s="35"/>
      <c r="B40" s="13" t="str">
        <f>CONCATENATE("          ","6009", " - ","TEMPORARY-SEASONAL")</f>
        <v xml:space="preserve">          6009 - TEMPORARY-SEASONAL</v>
      </c>
      <c r="C40" s="15"/>
      <c r="D40" s="2"/>
      <c r="E40" s="2"/>
      <c r="F40" s="2"/>
      <c r="G40" s="2"/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4" customFormat="1" hidden="1" outlineLevel="1" x14ac:dyDescent="0.25">
      <c r="A41" s="35"/>
      <c r="B41" s="13" t="str">
        <f>CONCATENATE("          ","6010", " - ","GRATUITY")</f>
        <v xml:space="preserve">          6010 - GRATUITY</v>
      </c>
      <c r="C41" s="15"/>
      <c r="D41" s="2"/>
      <c r="E41" s="2"/>
      <c r="F41" s="2"/>
      <c r="G41" s="2"/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4" customFormat="1" collapsed="1" x14ac:dyDescent="0.25">
      <c r="A42" s="35"/>
      <c r="B42" s="15" t="str">
        <f>CONCATENATE("     ","Advertising/Promo                                 ")</f>
        <v xml:space="preserve">     Advertising/Promo                                 </v>
      </c>
      <c r="C42" s="15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SUM(OSRRefE21_2x_0)</f>
        <v>0</v>
      </c>
      <c r="I42" s="1">
        <f>SUM(OSRRefE21_2x_1)</f>
        <v>0</v>
      </c>
      <c r="J42" s="1">
        <f>SUM(OSRRefE21_2x_2)</f>
        <v>0</v>
      </c>
      <c r="K42" s="1">
        <f>SUM(OSRRefE21_2x_3)</f>
        <v>0</v>
      </c>
      <c r="L42" s="1">
        <f>SUM(OSRRefE21_2x_4)</f>
        <v>0</v>
      </c>
      <c r="M42" s="1">
        <f>SUM(OSRRefE21_2x_5)</f>
        <v>0</v>
      </c>
      <c r="N42" s="1">
        <f>SUM(OSRRefE21_2x_6)</f>
        <v>0</v>
      </c>
      <c r="O42" s="1">
        <f>SUM(OSRRefE21_2x_7)</f>
        <v>0</v>
      </c>
      <c r="Q42" s="2">
        <f>SUM(OSRRefD20_2x)+IFERROR(SUM(OSRRefE20_2x),0)</f>
        <v>0</v>
      </c>
    </row>
    <row r="43" spans="1:17" s="34" customFormat="1" hidden="1" outlineLevel="1" x14ac:dyDescent="0.25">
      <c r="A43" s="35"/>
      <c r="B43" s="13" t="str">
        <f>CONCATENATE("          ","6362", " - ","ADVERTISING EXPENSE")</f>
        <v xml:space="preserve">          6362 - ADVERTISING EXPENSE</v>
      </c>
      <c r="C43" s="15"/>
      <c r="D43" s="2"/>
      <c r="E43" s="2"/>
      <c r="F43" s="2"/>
      <c r="G43" s="2"/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SUM(OSRRefD21_2_0x)+IFERROR(SUM(OSRRefE21_2_0x),0)</f>
        <v>0</v>
      </c>
    </row>
    <row r="44" spans="1:17" s="34" customFormat="1" collapsed="1" x14ac:dyDescent="0.25">
      <c r="A44" s="35"/>
      <c r="B44" s="15" t="str">
        <f>CONCATENATE("     ","Bad Debts/Over/Short                              ")</f>
        <v xml:space="preserve">     Bad Debts/Over/Short                              </v>
      </c>
      <c r="C44" s="15"/>
      <c r="D44" s="1">
        <f>SUM(OSRRefD21_3x_0)</f>
        <v>0</v>
      </c>
      <c r="E44" s="1">
        <f>SUM(OSRRefD21_3x_1)</f>
        <v>0</v>
      </c>
      <c r="F44" s="1">
        <f>SUM(OSRRefD21_3x_2)</f>
        <v>0</v>
      </c>
      <c r="G44" s="1">
        <f>SUM(OSRRefD21_3x_3)</f>
        <v>0</v>
      </c>
      <c r="H44" s="1">
        <f>SUM(OSRRefE21_3x_0)</f>
        <v>0</v>
      </c>
      <c r="I44" s="1">
        <f>SUM(OSRRefE21_3x_1)</f>
        <v>0</v>
      </c>
      <c r="J44" s="1">
        <f>SUM(OSRRefE21_3x_2)</f>
        <v>0</v>
      </c>
      <c r="K44" s="1">
        <f>SUM(OSRRefE21_3x_3)</f>
        <v>0</v>
      </c>
      <c r="L44" s="1">
        <f>SUM(OSRRefE21_3x_4)</f>
        <v>0</v>
      </c>
      <c r="M44" s="1">
        <f>SUM(OSRRefE21_3x_5)</f>
        <v>0</v>
      </c>
      <c r="N44" s="1">
        <f>SUM(OSRRefE21_3x_6)</f>
        <v>0</v>
      </c>
      <c r="O44" s="1">
        <f>SUM(OSRRefE21_3x_7)</f>
        <v>0</v>
      </c>
      <c r="Q44" s="2">
        <f>SUM(OSRRefD20_3x)+IFERROR(SUM(OSRRefE20_3x),0)</f>
        <v>0</v>
      </c>
    </row>
    <row r="45" spans="1:17" s="34" customFormat="1" hidden="1" outlineLevel="1" x14ac:dyDescent="0.25">
      <c r="A45" s="35"/>
      <c r="B45" s="13" t="str">
        <f>CONCATENATE("          ","6272", " - ","CASH (OVER/SHORT)")</f>
        <v xml:space="preserve">          6272 - CASH (OVER/SHORT)</v>
      </c>
      <c r="C45" s="15"/>
      <c r="D45" s="2"/>
      <c r="E45" s="2"/>
      <c r="F45" s="2"/>
      <c r="G45" s="2"/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SUM(OSRRefD21_3_0x)+IFERROR(SUM(OSRRefE21_3_0x),0)</f>
        <v>0</v>
      </c>
    </row>
    <row r="46" spans="1:17" s="34" customFormat="1" collapsed="1" x14ac:dyDescent="0.25">
      <c r="A46" s="35"/>
      <c r="B46" s="15" t="str">
        <f>CONCATENATE("     ","Bank/card Fees                                    ")</f>
        <v xml:space="preserve">     Bank/card Fees                                    </v>
      </c>
      <c r="C46" s="15"/>
      <c r="D46" s="1">
        <f>SUM(OSRRefD21_4x_0)</f>
        <v>0</v>
      </c>
      <c r="E46" s="1">
        <f>SUM(OSRRefD21_4x_1)</f>
        <v>0</v>
      </c>
      <c r="F46" s="1">
        <f>SUM(OSRRefD21_4x_2)</f>
        <v>0</v>
      </c>
      <c r="G46" s="1">
        <f>SUM(OSRRefD21_4x_3)</f>
        <v>0</v>
      </c>
      <c r="H46" s="1">
        <f>SUM(OSRRefE21_4x_0)</f>
        <v>0</v>
      </c>
      <c r="I46" s="1">
        <f>SUM(OSRRefE21_4x_1)</f>
        <v>0</v>
      </c>
      <c r="J46" s="1">
        <f>SUM(OSRRefE21_4x_2)</f>
        <v>0</v>
      </c>
      <c r="K46" s="1">
        <f>SUM(OSRRefE21_4x_3)</f>
        <v>0</v>
      </c>
      <c r="L46" s="1">
        <f>SUM(OSRRefE21_4x_4)</f>
        <v>0</v>
      </c>
      <c r="M46" s="1">
        <f>SUM(OSRRefE21_4x_5)</f>
        <v>0</v>
      </c>
      <c r="N46" s="1">
        <f>SUM(OSRRefE21_4x_6)</f>
        <v>0</v>
      </c>
      <c r="O46" s="1">
        <f>SUM(OSRRefE21_4x_7)</f>
        <v>0</v>
      </c>
      <c r="Q46" s="2">
        <f>SUM(OSRRefD20_4x)+IFERROR(SUM(OSRRefE20_4x),0)</f>
        <v>0</v>
      </c>
    </row>
    <row r="47" spans="1:17" s="34" customFormat="1" hidden="1" outlineLevel="1" x14ac:dyDescent="0.25">
      <c r="A47" s="35"/>
      <c r="B47" s="13" t="str">
        <f>CONCATENATE("          ","6381", " - ","BANK/CREDIT CARD FEES")</f>
        <v xml:space="preserve">          6381 - BANK/CREDIT CARD FEES</v>
      </c>
      <c r="C47" s="15"/>
      <c r="D47" s="2"/>
      <c r="E47" s="2"/>
      <c r="F47" s="2"/>
      <c r="G47" s="2"/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SUM(OSRRefD21_4_0x)+IFERROR(SUM(OSRRefE21_4_0x),0)</f>
        <v>0</v>
      </c>
    </row>
    <row r="48" spans="1:17" s="34" customFormat="1" collapsed="1" x14ac:dyDescent="0.25">
      <c r="A48" s="35"/>
      <c r="B48" s="15" t="str">
        <f>CONCATENATE("     ","Depreciation                                      ")</f>
        <v xml:space="preserve">     Depreciation                                      </v>
      </c>
      <c r="C48" s="15"/>
      <c r="D48" s="1">
        <f>SUM(OSRRefD21_5x_0)</f>
        <v>58.03</v>
      </c>
      <c r="E48" s="1">
        <f>SUM(OSRRefD21_5x_1)</f>
        <v>58.03</v>
      </c>
      <c r="F48" s="1">
        <f>SUM(OSRRefD21_5x_2)</f>
        <v>58.03</v>
      </c>
      <c r="G48" s="1">
        <f>SUM(OSRRefD21_5x_3)</f>
        <v>58.03</v>
      </c>
      <c r="H48" s="1">
        <f>SUM(OSRRefE21_5x_0)</f>
        <v>630</v>
      </c>
      <c r="I48" s="1">
        <f>SUM(OSRRefE21_5x_1)</f>
        <v>630</v>
      </c>
      <c r="J48" s="1">
        <f>SUM(OSRRefE21_5x_2)</f>
        <v>630</v>
      </c>
      <c r="K48" s="1">
        <f>SUM(OSRRefE21_5x_3)</f>
        <v>630</v>
      </c>
      <c r="L48" s="1">
        <f>SUM(OSRRefE21_5x_4)</f>
        <v>630</v>
      </c>
      <c r="M48" s="1">
        <f>SUM(OSRRefE21_5x_5)</f>
        <v>630</v>
      </c>
      <c r="N48" s="1">
        <f>SUM(OSRRefE21_5x_6)</f>
        <v>630</v>
      </c>
      <c r="O48" s="1">
        <f>SUM(OSRRefE21_5x_7)</f>
        <v>630</v>
      </c>
      <c r="Q48" s="2">
        <f>SUM(OSRRefD20_5x)+IFERROR(SUM(OSRRefE20_5x),0)</f>
        <v>5272.12</v>
      </c>
    </row>
    <row r="49" spans="1:17" s="34" customFormat="1" hidden="1" outlineLevel="1" x14ac:dyDescent="0.25">
      <c r="A49" s="35"/>
      <c r="B49" s="13" t="str">
        <f>CONCATENATE("          ","6322", " - ","EQUIPMENT DEPRECIATION EXPENSE")</f>
        <v xml:space="preserve">          6322 - EQUIPMENT DEPRECIATION EXPENSE</v>
      </c>
      <c r="C49" s="15"/>
      <c r="D49" s="2">
        <v>58.03</v>
      </c>
      <c r="E49" s="2">
        <v>58.03</v>
      </c>
      <c r="F49" s="2">
        <v>58.03</v>
      </c>
      <c r="G49" s="2">
        <v>58.03</v>
      </c>
      <c r="H49" s="2">
        <v>630</v>
      </c>
      <c r="I49" s="2">
        <v>630</v>
      </c>
      <c r="J49" s="2">
        <v>630</v>
      </c>
      <c r="K49" s="2">
        <v>630</v>
      </c>
      <c r="L49" s="2">
        <v>630</v>
      </c>
      <c r="M49" s="2">
        <v>630</v>
      </c>
      <c r="N49" s="2">
        <v>630</v>
      </c>
      <c r="O49" s="2">
        <v>630</v>
      </c>
      <c r="P49" s="9"/>
      <c r="Q49" s="2">
        <f>SUM(OSRRefD21_5_0x)+IFERROR(SUM(OSRRefE21_5_0x),0)</f>
        <v>5272.12</v>
      </c>
    </row>
    <row r="50" spans="1:17" s="34" customFormat="1" collapsed="1" x14ac:dyDescent="0.25">
      <c r="A50" s="35"/>
      <c r="B50" s="15" t="str">
        <f>CONCATENATE("     ","Employees' Appreciation                           ")</f>
        <v xml:space="preserve">     Employees' Appreciation                           </v>
      </c>
      <c r="C50" s="15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SUM(OSRRefE21_6x_0)</f>
        <v>0</v>
      </c>
      <c r="I50" s="1">
        <f>SUM(OSRRefE21_6x_1)</f>
        <v>0</v>
      </c>
      <c r="J50" s="1">
        <f>SUM(OSRRefE21_6x_2)</f>
        <v>0</v>
      </c>
      <c r="K50" s="1">
        <f>SUM(OSRRefE21_6x_3)</f>
        <v>0</v>
      </c>
      <c r="L50" s="1">
        <f>SUM(OSRRefE21_6x_4)</f>
        <v>0</v>
      </c>
      <c r="M50" s="1">
        <f>SUM(OSRRefE21_6x_5)</f>
        <v>0</v>
      </c>
      <c r="N50" s="1">
        <f>SUM(OSRRefE21_6x_6)</f>
        <v>0</v>
      </c>
      <c r="O50" s="1">
        <f>SUM(OSRRefE21_6x_7)</f>
        <v>0</v>
      </c>
      <c r="Q50" s="2">
        <f>SUM(OSRRefD20_6x)+IFERROR(SUM(OSRRefE20_6x),0)</f>
        <v>0</v>
      </c>
    </row>
    <row r="51" spans="1:17" s="34" customFormat="1" hidden="1" outlineLevel="1" x14ac:dyDescent="0.25">
      <c r="A51" s="35"/>
      <c r="B51" s="13" t="str">
        <f>CONCATENATE("          ","6277", " - ","EMPLOYEE APPRECIATION")</f>
        <v xml:space="preserve">          6277 - EMPLOYEE APPRECIATION</v>
      </c>
      <c r="C51" s="15"/>
      <c r="D51" s="2"/>
      <c r="E51" s="2"/>
      <c r="F51" s="2"/>
      <c r="G51" s="2"/>
      <c r="H51" s="2"/>
      <c r="I51" s="2"/>
      <c r="J51" s="2"/>
      <c r="K51" s="2"/>
      <c r="L51" s="2">
        <v>0</v>
      </c>
      <c r="M51" s="2"/>
      <c r="N51" s="2"/>
      <c r="O51" s="2"/>
      <c r="P51" s="9"/>
      <c r="Q51" s="2">
        <f>SUM(OSRRefD21_6_0x)+IFERROR(SUM(OSRRefE21_6_0x),0)</f>
        <v>0</v>
      </c>
    </row>
    <row r="52" spans="1:17" s="34" customFormat="1" collapsed="1" x14ac:dyDescent="0.25">
      <c r="A52" s="35"/>
      <c r="B52" s="15" t="str">
        <f>CONCATENATE("     ","General                                           ")</f>
        <v xml:space="preserve">     General                                           </v>
      </c>
      <c r="C52" s="15"/>
      <c r="D52" s="1">
        <f>SUM(OSRRefD21_7x_0)</f>
        <v>0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SUM(OSRRefE21_7x_0)</f>
        <v>0</v>
      </c>
      <c r="I52" s="1">
        <f>SUM(OSRRefE21_7x_1)</f>
        <v>0</v>
      </c>
      <c r="J52" s="1">
        <f>SUM(OSRRefE21_7x_2)</f>
        <v>0</v>
      </c>
      <c r="K52" s="1">
        <f>SUM(OSRRefE21_7x_3)</f>
        <v>0</v>
      </c>
      <c r="L52" s="1">
        <f>SUM(OSRRefE21_7x_4)</f>
        <v>0</v>
      </c>
      <c r="M52" s="1">
        <f>SUM(OSRRefE21_7x_5)</f>
        <v>0</v>
      </c>
      <c r="N52" s="1">
        <f>SUM(OSRRefE21_7x_6)</f>
        <v>0</v>
      </c>
      <c r="O52" s="1">
        <f>SUM(OSRRefE21_7x_7)</f>
        <v>0</v>
      </c>
      <c r="Q52" s="2">
        <f>SUM(OSRRefD20_7x)+IFERROR(SUM(OSRRefE20_7x),0)</f>
        <v>0</v>
      </c>
    </row>
    <row r="53" spans="1:17" s="34" customFormat="1" hidden="1" outlineLevel="1" x14ac:dyDescent="0.25">
      <c r="A53" s="35"/>
      <c r="B53" s="13" t="str">
        <f>CONCATENATE("          ","6279", " - ","GENERAL EXPENSE")</f>
        <v xml:space="preserve">          6279 - GENERAL EXPENSE</v>
      </c>
      <c r="C53" s="15"/>
      <c r="D53" s="2"/>
      <c r="E53" s="2"/>
      <c r="F53" s="2"/>
      <c r="G53" s="2"/>
      <c r="H53" s="2"/>
      <c r="I53" s="2"/>
      <c r="J53" s="2">
        <v>0</v>
      </c>
      <c r="K53" s="2">
        <v>0</v>
      </c>
      <c r="L53" s="2"/>
      <c r="M53" s="2"/>
      <c r="N53" s="2"/>
      <c r="O53" s="2"/>
      <c r="P53" s="9"/>
      <c r="Q53" s="2">
        <f>SUM(OSRRefD21_7_0x)+IFERROR(SUM(OSRRefE21_7_0x),0)</f>
        <v>0</v>
      </c>
    </row>
    <row r="54" spans="1:17" s="34" customFormat="1" collapsed="1" x14ac:dyDescent="0.25">
      <c r="A54" s="35"/>
      <c r="B54" s="15" t="str">
        <f>CONCATENATE("     ","Repair and Maintenance                            ")</f>
        <v xml:space="preserve">     Repair and Maintenance                            </v>
      </c>
      <c r="C54" s="15"/>
      <c r="D54" s="1">
        <f>SUM(OSRRefD21_8x_0)</f>
        <v>0</v>
      </c>
      <c r="E54" s="1">
        <f>SUM(OSRRefD21_8x_1)</f>
        <v>78.599999999999994</v>
      </c>
      <c r="F54" s="1">
        <f>SUM(OSRRefD21_8x_2)</f>
        <v>165.75</v>
      </c>
      <c r="G54" s="1">
        <f>SUM(OSRRefD21_8x_3)</f>
        <v>0</v>
      </c>
      <c r="H54" s="1">
        <f>SUM(OSRRefE21_8x_0)</f>
        <v>0</v>
      </c>
      <c r="I54" s="1">
        <f>SUM(OSRRefE21_8x_1)</f>
        <v>0</v>
      </c>
      <c r="J54" s="1">
        <f>SUM(OSRRefE21_8x_2)</f>
        <v>0</v>
      </c>
      <c r="K54" s="1">
        <f>SUM(OSRRefE21_8x_3)</f>
        <v>0</v>
      </c>
      <c r="L54" s="1">
        <f>SUM(OSRRefE21_8x_4)</f>
        <v>0</v>
      </c>
      <c r="M54" s="1">
        <f>SUM(OSRRefE21_8x_5)</f>
        <v>0</v>
      </c>
      <c r="N54" s="1">
        <f>SUM(OSRRefE21_8x_6)</f>
        <v>0</v>
      </c>
      <c r="O54" s="1">
        <f>SUM(OSRRefE21_8x_7)</f>
        <v>0</v>
      </c>
      <c r="Q54" s="2">
        <f>SUM(OSRRefD20_8x)+IFERROR(SUM(OSRRefE20_8x),0)</f>
        <v>244.35</v>
      </c>
    </row>
    <row r="55" spans="1:17" s="34" customFormat="1" hidden="1" outlineLevel="1" x14ac:dyDescent="0.25">
      <c r="A55" s="35"/>
      <c r="B55" s="13" t="str">
        <f>CONCATENATE("          ","6372", " - ","COMPUTER HARDWARE MAINTENANCE")</f>
        <v xml:space="preserve">          6372 - COMPUTER HARDWARE MAINTENANCE</v>
      </c>
      <c r="C55" s="15"/>
      <c r="D55" s="2"/>
      <c r="E55" s="2"/>
      <c r="F55" s="2"/>
      <c r="G55" s="2"/>
      <c r="H55" s="2"/>
      <c r="I55" s="2"/>
      <c r="J55" s="2">
        <v>0</v>
      </c>
      <c r="K55" s="2"/>
      <c r="L55" s="2"/>
      <c r="M55" s="2"/>
      <c r="N55" s="2"/>
      <c r="O55" s="2"/>
      <c r="P55" s="9"/>
      <c r="Q55" s="2">
        <f>SUM(OSRRefD21_8_0x)+IFERROR(SUM(OSRRefE21_8_0x),0)</f>
        <v>0</v>
      </c>
    </row>
    <row r="56" spans="1:17" s="34" customFormat="1" hidden="1" outlineLevel="1" x14ac:dyDescent="0.25">
      <c r="A56" s="35"/>
      <c r="B56" s="13" t="str">
        <f>CONCATENATE("          ","6373", " - ","MAINTENANCE CONTRACTS")</f>
        <v xml:space="preserve">          6373 - MAINTENANCE CONTRACTS</v>
      </c>
      <c r="C56" s="15"/>
      <c r="D56" s="2"/>
      <c r="E56" s="2">
        <v>78.599999999999994</v>
      </c>
      <c r="F56" s="2">
        <v>165.75</v>
      </c>
      <c r="G56" s="2"/>
      <c r="H56" s="2"/>
      <c r="I56" s="2"/>
      <c r="J56" s="2">
        <v>0</v>
      </c>
      <c r="K56" s="2">
        <v>0</v>
      </c>
      <c r="L56" s="2"/>
      <c r="M56" s="2">
        <v>0</v>
      </c>
      <c r="N56" s="2">
        <v>0</v>
      </c>
      <c r="O56" s="2"/>
      <c r="P56" s="9"/>
      <c r="Q56" s="2">
        <f>SUM(OSRRefD21_8_1x)+IFERROR(SUM(OSRRefE21_8_1x),0)</f>
        <v>244.35</v>
      </c>
    </row>
    <row r="57" spans="1:17" s="34" customFormat="1" hidden="1" outlineLevel="1" x14ac:dyDescent="0.25">
      <c r="A57" s="35"/>
      <c r="B57" s="13" t="str">
        <f>CONCATENATE("          ","6375", " - ","OUTSIDE REPAIRS &amp; MAINTENANCE")</f>
        <v xml:space="preserve">          6375 - OUTSIDE REPAIRS &amp; MAINTENANCE</v>
      </c>
      <c r="C57" s="15"/>
      <c r="D57" s="2"/>
      <c r="E57" s="2"/>
      <c r="F57" s="2"/>
      <c r="G57" s="2"/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/>
      <c r="N57" s="2">
        <v>0</v>
      </c>
      <c r="O57" s="2">
        <v>0</v>
      </c>
      <c r="P57" s="9"/>
      <c r="Q57" s="2">
        <f>SUM(OSRRefD21_8_2x)+IFERROR(SUM(OSRRefE21_8_2x),0)</f>
        <v>0</v>
      </c>
    </row>
    <row r="58" spans="1:17" s="34" customFormat="1" collapsed="1" x14ac:dyDescent="0.25">
      <c r="A58" s="35"/>
      <c r="B58" s="15" t="str">
        <f>CONCATENATE("     ","Services                                          ")</f>
        <v xml:space="preserve">     Services                                          </v>
      </c>
      <c r="C58" s="15"/>
      <c r="D58" s="1">
        <f>SUM(OSRRefD21_9x_0)</f>
        <v>286.62</v>
      </c>
      <c r="E58" s="1">
        <f>SUM(OSRRefD21_9x_1)</f>
        <v>0</v>
      </c>
      <c r="F58" s="1">
        <f>SUM(OSRRefD21_9x_2)</f>
        <v>0</v>
      </c>
      <c r="G58" s="1">
        <f>SUM(OSRRefD21_9x_3)</f>
        <v>0</v>
      </c>
      <c r="H58" s="1">
        <f>SUM(OSRRefE21_9x_0)</f>
        <v>0</v>
      </c>
      <c r="I58" s="1">
        <f>SUM(OSRRefE21_9x_1)</f>
        <v>0</v>
      </c>
      <c r="J58" s="1">
        <f>SUM(OSRRefE21_9x_2)</f>
        <v>0</v>
      </c>
      <c r="K58" s="1">
        <f>SUM(OSRRefE21_9x_3)</f>
        <v>0</v>
      </c>
      <c r="L58" s="1">
        <f>SUM(OSRRefE21_9x_4)</f>
        <v>0</v>
      </c>
      <c r="M58" s="1">
        <f>SUM(OSRRefE21_9x_5)</f>
        <v>0</v>
      </c>
      <c r="N58" s="1">
        <f>SUM(OSRRefE21_9x_6)</f>
        <v>0</v>
      </c>
      <c r="O58" s="1">
        <f>SUM(OSRRefE21_9x_7)</f>
        <v>0</v>
      </c>
      <c r="Q58" s="2">
        <f>SUM(OSRRefD20_9x)+IFERROR(SUM(OSRRefE20_9x),0)</f>
        <v>286.62</v>
      </c>
    </row>
    <row r="59" spans="1:17" s="34" customFormat="1" hidden="1" outlineLevel="1" x14ac:dyDescent="0.25">
      <c r="A59" s="35"/>
      <c r="B59" s="13" t="str">
        <f>CONCATENATE("          ","6282", " - ","JANITORIAL/EXTERMINATOR EXPENS")</f>
        <v xml:space="preserve">          6282 - JANITORIAL/EXTERMINATOR EXPENS</v>
      </c>
      <c r="C59" s="15"/>
      <c r="D59" s="2">
        <v>286.62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9"/>
      <c r="Q59" s="2">
        <f>SUM(OSRRefD21_9_0x)+IFERROR(SUM(OSRRefE21_9_0x),0)</f>
        <v>286.62</v>
      </c>
    </row>
    <row r="60" spans="1:17" s="34" customFormat="1" hidden="1" outlineLevel="1" x14ac:dyDescent="0.25">
      <c r="A60" s="35"/>
      <c r="B60" s="13" t="str">
        <f>CONCATENATE("          ","6286", " - ","LAUNDRY EXPENSE")</f>
        <v xml:space="preserve">          6286 - LAUNDRY EXPENSE</v>
      </c>
      <c r="C60" s="15"/>
      <c r="D60" s="2"/>
      <c r="E60" s="2"/>
      <c r="F60" s="2"/>
      <c r="G60" s="2"/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SUM(OSRRefD21_9_1x)+IFERROR(SUM(OSRRefE21_9_1x),0)</f>
        <v>0</v>
      </c>
    </row>
    <row r="61" spans="1:17" s="34" customFormat="1" collapsed="1" x14ac:dyDescent="0.25">
      <c r="A61" s="35"/>
      <c r="B61" s="15" t="str">
        <f>CONCATENATE("     ","Supplies                                          ")</f>
        <v xml:space="preserve">     Supplies                                          </v>
      </c>
      <c r="C61" s="15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0</v>
      </c>
      <c r="H61" s="1">
        <f>SUM(OSRRefE21_10x_0)</f>
        <v>0</v>
      </c>
      <c r="I61" s="1">
        <f>SUM(OSRRefE21_10x_1)</f>
        <v>0</v>
      </c>
      <c r="J61" s="1">
        <f>SUM(OSRRefE21_10x_2)</f>
        <v>0</v>
      </c>
      <c r="K61" s="1">
        <f>SUM(OSRRefE21_10x_3)</f>
        <v>0</v>
      </c>
      <c r="L61" s="1">
        <f>SUM(OSRRefE21_10x_4)</f>
        <v>0</v>
      </c>
      <c r="M61" s="1">
        <f>SUM(OSRRefE21_10x_5)</f>
        <v>0</v>
      </c>
      <c r="N61" s="1">
        <f>SUM(OSRRefE21_10x_6)</f>
        <v>0</v>
      </c>
      <c r="O61" s="1">
        <f>SUM(OSRRefE21_10x_7)</f>
        <v>0</v>
      </c>
      <c r="Q61" s="2">
        <f>SUM(OSRRefD20_10x)+IFERROR(SUM(OSRRefE20_10x),0)</f>
        <v>0</v>
      </c>
    </row>
    <row r="62" spans="1:17" s="34" customFormat="1" hidden="1" outlineLevel="1" x14ac:dyDescent="0.25">
      <c r="A62" s="35"/>
      <c r="B62" s="13" t="str">
        <f>CONCATENATE("          ","6235", " - ","COVID-19 EXPENSES")</f>
        <v xml:space="preserve">          6235 - COVID-19 EXPENSES</v>
      </c>
      <c r="C62" s="15"/>
      <c r="D62" s="2"/>
      <c r="E62" s="2"/>
      <c r="F62" s="2"/>
      <c r="G62" s="2"/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SUM(OSRRefD21_10_0x)+IFERROR(SUM(OSRRefE21_10_0x),0)</f>
        <v>0</v>
      </c>
    </row>
    <row r="63" spans="1:17" s="34" customFormat="1" hidden="1" outlineLevel="1" x14ac:dyDescent="0.25">
      <c r="A63" s="35"/>
      <c r="B63" s="13" t="str">
        <f>CONCATENATE("          ","6239", " - ","KITCHEN SUPPLIES")</f>
        <v xml:space="preserve">          6239 - KITCHEN SUPPLIES</v>
      </c>
      <c r="C63" s="15"/>
      <c r="D63" s="2"/>
      <c r="E63" s="2"/>
      <c r="F63" s="2"/>
      <c r="G63" s="2"/>
      <c r="H63" s="2"/>
      <c r="I63" s="2"/>
      <c r="J63" s="2">
        <v>0</v>
      </c>
      <c r="K63" s="2"/>
      <c r="L63" s="2"/>
      <c r="M63" s="2"/>
      <c r="N63" s="2"/>
      <c r="O63" s="2"/>
      <c r="P63" s="9"/>
      <c r="Q63" s="2">
        <f>SUM(OSRRefD21_10_1x)+IFERROR(SUM(OSRRefE21_10_1x),0)</f>
        <v>0</v>
      </c>
    </row>
    <row r="64" spans="1:17" s="34" customFormat="1" hidden="1" outlineLevel="1" x14ac:dyDescent="0.25">
      <c r="A64" s="35"/>
      <c r="B64" s="13" t="str">
        <f>CONCATENATE("          ","6241", " - ","OFFICE EXPENSE")</f>
        <v xml:space="preserve">          6241 - OFFICE EXPENSE</v>
      </c>
      <c r="C64" s="15"/>
      <c r="D64" s="2"/>
      <c r="E64" s="2"/>
      <c r="F64" s="2"/>
      <c r="G64" s="2"/>
      <c r="H64" s="2"/>
      <c r="I64" s="2"/>
      <c r="J64" s="2">
        <v>0</v>
      </c>
      <c r="K64" s="2"/>
      <c r="L64" s="2"/>
      <c r="M64" s="2"/>
      <c r="N64" s="2"/>
      <c r="O64" s="2"/>
      <c r="P64" s="9"/>
      <c r="Q64" s="2">
        <f>SUM(OSRRefD21_10_2x)+IFERROR(SUM(OSRRefE21_10_2x),0)</f>
        <v>0</v>
      </c>
    </row>
    <row r="65" spans="1:17" s="34" customFormat="1" hidden="1" outlineLevel="1" x14ac:dyDescent="0.25">
      <c r="A65" s="35"/>
      <c r="B65" s="13" t="str">
        <f>CONCATENATE("          ","6243", " - ","PAPER SUPPLIES")</f>
        <v xml:space="preserve">          6243 - PAPER SUPPLIES</v>
      </c>
      <c r="C65" s="15"/>
      <c r="D65" s="2"/>
      <c r="E65" s="2"/>
      <c r="F65" s="2"/>
      <c r="G65" s="2"/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SUM(OSRRefD21_10_3x)+IFERROR(SUM(OSRRefE21_10_3x),0)</f>
        <v>0</v>
      </c>
    </row>
    <row r="66" spans="1:17" s="34" customFormat="1" hidden="1" outlineLevel="1" x14ac:dyDescent="0.25">
      <c r="A66" s="35"/>
      <c r="B66" s="13" t="str">
        <f>CONCATENATE("          ","6244", " - ","SAFETY SUPPLY EXPENSE")</f>
        <v xml:space="preserve">          6244 - SAFETY SUPPLY EXPENSE</v>
      </c>
      <c r="C66" s="15"/>
      <c r="D66" s="2"/>
      <c r="E66" s="2"/>
      <c r="F66" s="2"/>
      <c r="G66" s="2"/>
      <c r="H66" s="2"/>
      <c r="I66" s="2"/>
      <c r="J66" s="2">
        <v>0</v>
      </c>
      <c r="K66" s="2"/>
      <c r="L66" s="2"/>
      <c r="M66" s="2"/>
      <c r="N66" s="2"/>
      <c r="O66" s="2"/>
      <c r="P66" s="9"/>
      <c r="Q66" s="2">
        <f>SUM(OSRRefD21_10_4x)+IFERROR(SUM(OSRRefE21_10_4x),0)</f>
        <v>0</v>
      </c>
    </row>
    <row r="67" spans="1:17" s="34" customFormat="1" hidden="1" outlineLevel="1" x14ac:dyDescent="0.25">
      <c r="A67" s="35"/>
      <c r="B67" s="13" t="str">
        <f>CONCATENATE("          ","6245", " - ","PRINTING")</f>
        <v xml:space="preserve">          6245 - PRINTING</v>
      </c>
      <c r="C67" s="15"/>
      <c r="D67" s="2"/>
      <c r="E67" s="2"/>
      <c r="F67" s="2"/>
      <c r="G67" s="2"/>
      <c r="H67" s="2"/>
      <c r="I67" s="2"/>
      <c r="J67" s="2">
        <v>0</v>
      </c>
      <c r="K67" s="2"/>
      <c r="L67" s="2"/>
      <c r="M67" s="2"/>
      <c r="N67" s="2"/>
      <c r="O67" s="2"/>
      <c r="P67" s="9"/>
      <c r="Q67" s="2">
        <f>SUM(OSRRefD21_10_5x)+IFERROR(SUM(OSRRefE21_10_5x),0)</f>
        <v>0</v>
      </c>
    </row>
    <row r="68" spans="1:17" s="34" customFormat="1" hidden="1" outlineLevel="1" x14ac:dyDescent="0.25">
      <c r="A68" s="35"/>
      <c r="B68" s="13" t="str">
        <f>CONCATENATE("          ","6247", " - ","STORE SUPPLIES")</f>
        <v xml:space="preserve">          6247 - STORE SUPPLIES</v>
      </c>
      <c r="C68" s="15"/>
      <c r="D68" s="2"/>
      <c r="E68" s="2"/>
      <c r="F68" s="2"/>
      <c r="G68" s="2"/>
      <c r="H68" s="2"/>
      <c r="I68" s="2"/>
      <c r="J68" s="2">
        <v>0</v>
      </c>
      <c r="K68" s="2"/>
      <c r="L68" s="2"/>
      <c r="M68" s="2"/>
      <c r="N68" s="2"/>
      <c r="O68" s="2"/>
      <c r="P68" s="9"/>
      <c r="Q68" s="2">
        <f>SUM(OSRRefD21_10_6x)+IFERROR(SUM(OSRRefE21_10_6x),0)</f>
        <v>0</v>
      </c>
    </row>
    <row r="69" spans="1:17" s="34" customFormat="1" collapsed="1" x14ac:dyDescent="0.25">
      <c r="A69" s="35"/>
      <c r="B69" s="15" t="str">
        <f>CONCATENATE("     ","Telephone/Data Lines                              ")</f>
        <v xml:space="preserve">     Telephone/Data Lines                              </v>
      </c>
      <c r="C69" s="15"/>
      <c r="D69" s="1">
        <f>SUM(OSRRefD21_11x_0)</f>
        <v>21</v>
      </c>
      <c r="E69" s="1">
        <f>SUM(OSRRefD21_11x_1)</f>
        <v>21</v>
      </c>
      <c r="F69" s="1">
        <f>SUM(OSRRefD21_11x_2)</f>
        <v>0</v>
      </c>
      <c r="G69" s="1">
        <f>SUM(OSRRefD21_11x_3)</f>
        <v>7.7</v>
      </c>
      <c r="H69" s="1">
        <f>SUM(OSRRefE21_11x_0)</f>
        <v>0</v>
      </c>
      <c r="I69" s="1">
        <f>SUM(OSRRefE21_11x_1)</f>
        <v>0</v>
      </c>
      <c r="J69" s="1">
        <f>SUM(OSRRefE21_11x_2)</f>
        <v>0</v>
      </c>
      <c r="K69" s="1">
        <f>SUM(OSRRefE21_11x_3)</f>
        <v>0</v>
      </c>
      <c r="L69" s="1">
        <f>SUM(OSRRefE21_11x_4)</f>
        <v>0</v>
      </c>
      <c r="M69" s="1">
        <f>SUM(OSRRefE21_11x_5)</f>
        <v>0</v>
      </c>
      <c r="N69" s="1">
        <f>SUM(OSRRefE21_11x_6)</f>
        <v>0</v>
      </c>
      <c r="O69" s="1">
        <f>SUM(OSRRefE21_11x_7)</f>
        <v>0</v>
      </c>
      <c r="Q69" s="2">
        <f>SUM(OSRRefD20_11x)+IFERROR(SUM(OSRRefE20_11x),0)</f>
        <v>49.7</v>
      </c>
    </row>
    <row r="70" spans="1:17" s="34" customFormat="1" hidden="1" outlineLevel="1" x14ac:dyDescent="0.25">
      <c r="A70" s="35"/>
      <c r="B70" s="13" t="str">
        <f>CONCATENATE("          ","6303", " - ","DATA PHONE LINES")</f>
        <v xml:space="preserve">          6303 - DATA PHONE LINES</v>
      </c>
      <c r="C70" s="15"/>
      <c r="D70" s="2"/>
      <c r="E70" s="2"/>
      <c r="F70" s="2"/>
      <c r="G70" s="2"/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9"/>
      <c r="Q70" s="2">
        <f>SUM(OSRRefD21_11_0x)+IFERROR(SUM(OSRRefE21_11_0x),0)</f>
        <v>0</v>
      </c>
    </row>
    <row r="71" spans="1:17" s="34" customFormat="1" hidden="1" outlineLevel="1" x14ac:dyDescent="0.25">
      <c r="A71" s="35"/>
      <c r="B71" s="13" t="str">
        <f>CONCATENATE("          ","6309", " - ","TELEPHONE")</f>
        <v xml:space="preserve">          6309 - TELEPHONE</v>
      </c>
      <c r="C71" s="15"/>
      <c r="D71" s="2">
        <v>21</v>
      </c>
      <c r="E71" s="2">
        <v>21</v>
      </c>
      <c r="F71" s="2"/>
      <c r="G71" s="2">
        <v>7.7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9"/>
      <c r="Q71" s="2">
        <f>SUM(OSRRefD21_11_1x)+IFERROR(SUM(OSRRefE21_11_1x),0)</f>
        <v>49.7</v>
      </c>
    </row>
    <row r="72" spans="1:17" s="28" customFormat="1" x14ac:dyDescent="0.25">
      <c r="A72" s="20"/>
      <c r="B72" s="20"/>
      <c r="C72" s="20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Q72" s="1"/>
    </row>
    <row r="73" spans="1:17" s="9" customFormat="1" x14ac:dyDescent="0.25">
      <c r="A73" s="22"/>
      <c r="B73" s="16" t="s">
        <v>0</v>
      </c>
      <c r="C73" s="23"/>
      <c r="D73" s="3">
        <f t="shared" ref="D73:G73" si="3">0</f>
        <v>0</v>
      </c>
      <c r="E73" s="3">
        <f t="shared" si="3"/>
        <v>0</v>
      </c>
      <c r="F73" s="3">
        <f t="shared" si="3"/>
        <v>0</v>
      </c>
      <c r="G73" s="3">
        <f t="shared" si="3"/>
        <v>0</v>
      </c>
      <c r="H73" s="3"/>
      <c r="I73" s="3"/>
      <c r="J73" s="3"/>
      <c r="K73" s="3"/>
      <c r="L73" s="3"/>
      <c r="M73" s="3"/>
      <c r="N73" s="3"/>
      <c r="O73" s="3"/>
      <c r="Q73" s="2">
        <f>SUM(OSRRefD23_0x)+IFERROR(SUM(OSRRefE23_0x),0)</f>
        <v>0</v>
      </c>
    </row>
    <row r="74" spans="1:17" x14ac:dyDescent="0.25">
      <c r="A74" s="5"/>
      <c r="B74" s="8"/>
      <c r="C74" s="8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4" customFormat="1" x14ac:dyDescent="0.25">
      <c r="A75" s="8"/>
      <c r="B75" s="17" t="s">
        <v>3</v>
      </c>
      <c r="C75" s="17"/>
      <c r="D75" s="6">
        <f t="shared" ref="D75:O75" si="4">IFERROR(+D17-D20+D73, 0)</f>
        <v>-4118.5600000000004</v>
      </c>
      <c r="E75" s="6">
        <f t="shared" si="4"/>
        <v>-157.63</v>
      </c>
      <c r="F75" s="6">
        <f t="shared" si="4"/>
        <v>-223.78</v>
      </c>
      <c r="G75" s="6">
        <f t="shared" si="4"/>
        <v>-65.73</v>
      </c>
      <c r="H75" s="6">
        <f t="shared" si="4"/>
        <v>-630</v>
      </c>
      <c r="I75" s="6">
        <f t="shared" si="4"/>
        <v>-630</v>
      </c>
      <c r="J75" s="6">
        <f t="shared" si="4"/>
        <v>-630</v>
      </c>
      <c r="K75" s="6">
        <f t="shared" si="4"/>
        <v>-630</v>
      </c>
      <c r="L75" s="6">
        <f t="shared" si="4"/>
        <v>-630</v>
      </c>
      <c r="M75" s="6">
        <f t="shared" si="4"/>
        <v>-630</v>
      </c>
      <c r="N75" s="6">
        <f t="shared" si="4"/>
        <v>-630</v>
      </c>
      <c r="O75" s="6">
        <f t="shared" si="4"/>
        <v>-630</v>
      </c>
      <c r="Q75" s="6">
        <f>IFERROR(+Q17-Q20+Q73, 0)</f>
        <v>-9605.7000000000007</v>
      </c>
    </row>
    <row r="76" spans="1:17" s="8" customFormat="1" x14ac:dyDescent="0.25">
      <c r="B76" s="16"/>
      <c r="C76" s="16"/>
      <c r="D76" s="4">
        <f t="shared" ref="D76:O76" si="5">IFERROR(D75/D10, 0)</f>
        <v>0</v>
      </c>
      <c r="E76" s="4">
        <f t="shared" si="5"/>
        <v>0</v>
      </c>
      <c r="F76" s="4">
        <f t="shared" si="5"/>
        <v>0</v>
      </c>
      <c r="G76" s="4">
        <f t="shared" si="5"/>
        <v>0</v>
      </c>
      <c r="H76" s="4">
        <f t="shared" si="5"/>
        <v>0</v>
      </c>
      <c r="I76" s="4">
        <f t="shared" si="5"/>
        <v>0</v>
      </c>
      <c r="J76" s="4">
        <f t="shared" si="5"/>
        <v>0</v>
      </c>
      <c r="K76" s="4">
        <f t="shared" si="5"/>
        <v>0</v>
      </c>
      <c r="L76" s="4">
        <f t="shared" si="5"/>
        <v>0</v>
      </c>
      <c r="M76" s="4">
        <f t="shared" si="5"/>
        <v>0</v>
      </c>
      <c r="N76" s="4">
        <f t="shared" si="5"/>
        <v>0</v>
      </c>
      <c r="O76" s="4">
        <f t="shared" si="5"/>
        <v>0</v>
      </c>
      <c r="P76" s="18"/>
      <c r="Q76" s="4">
        <f>IFERROR(Q75/Q10, 0)</f>
        <v>0</v>
      </c>
    </row>
    <row r="77" spans="1:17" x14ac:dyDescent="0.25">
      <c r="A77" s="5"/>
      <c r="B77" s="8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x14ac:dyDescent="0.25">
      <c r="A78" s="25"/>
      <c r="B78" s="8" t="s">
        <v>8</v>
      </c>
      <c r="C78" s="8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2">
        <f>SUM(OSRRefD28_0x)+IFERROR(SUM(OSRRefE28_0x),0)</f>
        <v>0</v>
      </c>
    </row>
    <row r="79" spans="1:17" x14ac:dyDescent="0.25">
      <c r="A79" s="5"/>
      <c r="B79" s="8"/>
      <c r="C79" s="8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4" customFormat="1" ht="15.75" thickBot="1" x14ac:dyDescent="0.3">
      <c r="A80" s="8"/>
      <c r="B80" s="17" t="s">
        <v>4</v>
      </c>
      <c r="C80" s="17"/>
      <c r="D80" s="7">
        <f t="shared" ref="D80:O80" si="6">IFERROR(+D75-D78, 0)</f>
        <v>-4118.5600000000004</v>
      </c>
      <c r="E80" s="7">
        <f t="shared" si="6"/>
        <v>-157.63</v>
      </c>
      <c r="F80" s="7">
        <f t="shared" si="6"/>
        <v>-223.78</v>
      </c>
      <c r="G80" s="7">
        <f t="shared" si="6"/>
        <v>-65.73</v>
      </c>
      <c r="H80" s="7">
        <f t="shared" si="6"/>
        <v>-630</v>
      </c>
      <c r="I80" s="7">
        <f t="shared" si="6"/>
        <v>-630</v>
      </c>
      <c r="J80" s="7">
        <f t="shared" si="6"/>
        <v>-630</v>
      </c>
      <c r="K80" s="7">
        <f t="shared" si="6"/>
        <v>-630</v>
      </c>
      <c r="L80" s="7">
        <f t="shared" si="6"/>
        <v>-630</v>
      </c>
      <c r="M80" s="7">
        <f t="shared" si="6"/>
        <v>-630</v>
      </c>
      <c r="N80" s="7">
        <f t="shared" si="6"/>
        <v>-630</v>
      </c>
      <c r="O80" s="7">
        <f t="shared" si="6"/>
        <v>-630</v>
      </c>
      <c r="Q80" s="7">
        <f>IFERROR(+Q75-Q78, 0)</f>
        <v>-9605.7000000000007</v>
      </c>
    </row>
    <row r="81" spans="1:17" ht="15.75" thickTop="1" x14ac:dyDescent="0.25">
      <c r="A81" s="5"/>
      <c r="B81" s="5"/>
      <c r="C81" s="5"/>
      <c r="D81" s="4">
        <f t="shared" ref="D81:O81" si="7">IFERROR(D80/D10, 0)</f>
        <v>0</v>
      </c>
      <c r="E81" s="4">
        <f t="shared" si="7"/>
        <v>0</v>
      </c>
      <c r="F81" s="4">
        <f t="shared" si="7"/>
        <v>0</v>
      </c>
      <c r="G81" s="4">
        <f t="shared" si="7"/>
        <v>0</v>
      </c>
      <c r="H81" s="4">
        <f t="shared" si="7"/>
        <v>0</v>
      </c>
      <c r="I81" s="4">
        <f t="shared" si="7"/>
        <v>0</v>
      </c>
      <c r="J81" s="4">
        <f t="shared" si="7"/>
        <v>0</v>
      </c>
      <c r="K81" s="4">
        <f t="shared" si="7"/>
        <v>0</v>
      </c>
      <c r="L81" s="4">
        <f t="shared" si="7"/>
        <v>0</v>
      </c>
      <c r="M81" s="4">
        <f t="shared" si="7"/>
        <v>0</v>
      </c>
      <c r="N81" s="4">
        <f t="shared" si="7"/>
        <v>0</v>
      </c>
      <c r="O81" s="4">
        <f t="shared" si="7"/>
        <v>0</v>
      </c>
      <c r="P81" s="18"/>
      <c r="Q81" s="4">
        <f>IFERROR(Q80/Q10, 0)</f>
        <v>0</v>
      </c>
    </row>
    <row r="82" spans="1:17" x14ac:dyDescent="0.2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x14ac:dyDescent="0.25">
      <c r="A83" s="5"/>
      <c r="B83" s="5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4" customFormat="1" ht="15.75" thickBot="1" x14ac:dyDescent="0.3">
      <c r="A84" s="8"/>
      <c r="B84" s="17" t="s">
        <v>5</v>
      </c>
      <c r="C84" s="17"/>
      <c r="D84" s="7">
        <f t="shared" ref="D84:O84" si="8">IFERROR(SUM(D80:D83), 0)</f>
        <v>-4118.5600000000004</v>
      </c>
      <c r="E84" s="7">
        <f t="shared" si="8"/>
        <v>-157.63</v>
      </c>
      <c r="F84" s="7">
        <f t="shared" si="8"/>
        <v>-223.78</v>
      </c>
      <c r="G84" s="7">
        <f t="shared" si="8"/>
        <v>-65.73</v>
      </c>
      <c r="H84" s="7">
        <f t="shared" si="8"/>
        <v>-630</v>
      </c>
      <c r="I84" s="7">
        <f t="shared" si="8"/>
        <v>-630</v>
      </c>
      <c r="J84" s="7">
        <f t="shared" si="8"/>
        <v>-630</v>
      </c>
      <c r="K84" s="7">
        <f t="shared" si="8"/>
        <v>-630</v>
      </c>
      <c r="L84" s="7">
        <f t="shared" si="8"/>
        <v>-630</v>
      </c>
      <c r="M84" s="7">
        <f t="shared" si="8"/>
        <v>-630</v>
      </c>
      <c r="N84" s="7">
        <f t="shared" si="8"/>
        <v>-630</v>
      </c>
      <c r="O84" s="7">
        <f t="shared" si="8"/>
        <v>-630</v>
      </c>
      <c r="Q84" s="7">
        <f>IFERROR(SUM(Q80:Q83), 0)</f>
        <v>-9605.7000000000007</v>
      </c>
    </row>
    <row r="85" spans="1:17" ht="15.75" thickTop="1" x14ac:dyDescent="0.25">
      <c r="A85" s="5"/>
      <c r="C85" s="5"/>
      <c r="D85" s="4">
        <f t="shared" ref="D85:O85" si="9">IFERROR(D84/D10, 0)</f>
        <v>0</v>
      </c>
      <c r="E85" s="4">
        <f t="shared" si="9"/>
        <v>0</v>
      </c>
      <c r="F85" s="4">
        <f t="shared" si="9"/>
        <v>0</v>
      </c>
      <c r="G85" s="4">
        <f t="shared" si="9"/>
        <v>0</v>
      </c>
      <c r="H85" s="4">
        <f t="shared" si="9"/>
        <v>0</v>
      </c>
      <c r="I85" s="4">
        <f t="shared" si="9"/>
        <v>0</v>
      </c>
      <c r="J85" s="4">
        <f t="shared" si="9"/>
        <v>0</v>
      </c>
      <c r="K85" s="4">
        <f t="shared" si="9"/>
        <v>0</v>
      </c>
      <c r="L85" s="4">
        <f t="shared" si="9"/>
        <v>0</v>
      </c>
      <c r="M85" s="4">
        <f t="shared" si="9"/>
        <v>0</v>
      </c>
      <c r="N85" s="4">
        <f t="shared" si="9"/>
        <v>0</v>
      </c>
      <c r="O85" s="4">
        <f t="shared" si="9"/>
        <v>0</v>
      </c>
      <c r="P85" s="18"/>
      <c r="Q85" s="4">
        <f>IFERROR(Q84/Q10, 0)</f>
        <v>0</v>
      </c>
    </row>
    <row r="86" spans="1:17" x14ac:dyDescent="0.25">
      <c r="A86" s="5"/>
      <c r="B86" s="26">
        <v>44151.565000381946</v>
      </c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Q86" s="12"/>
    </row>
    <row r="87" spans="1:17" x14ac:dyDescent="0.25">
      <c r="A87" s="5"/>
      <c r="B87" s="30" t="s">
        <v>311</v>
      </c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Q87" s="12"/>
    </row>
    <row r="88" spans="1:17" x14ac:dyDescent="0.25">
      <c r="A88" s="5"/>
      <c r="B88" s="31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Q88" s="12"/>
    </row>
    <row r="89" spans="1:17" x14ac:dyDescent="0.25"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Q89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","414", " - ", "Starbucks UDP")</f>
        <v>Department 414 - Starbucks UDP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974.91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SUM(OSRRefE11x_0)</f>
        <v>0</v>
      </c>
      <c r="I10" s="3">
        <f>SUM(OSRRefE11x_1)</f>
        <v>0</v>
      </c>
      <c r="J10" s="3">
        <f>SUM(OSRRefE11x_2)</f>
        <v>0</v>
      </c>
      <c r="K10" s="3">
        <f>SUM(OSRRefE11x_3)</f>
        <v>0</v>
      </c>
      <c r="L10" s="3">
        <f>SUM(OSRRefE11x_4)</f>
        <v>0</v>
      </c>
      <c r="M10" s="3">
        <f>SUM(OSRRefE11x_5)</f>
        <v>0</v>
      </c>
      <c r="N10" s="3">
        <f>SUM(OSRRefE11x_6)</f>
        <v>0</v>
      </c>
      <c r="O10" s="3">
        <f>SUM(OSRRefE11x_7)</f>
        <v>0</v>
      </c>
      <c r="P10" s="24"/>
      <c r="Q10" s="3">
        <f>SUM(OSRRefG11x)</f>
        <v>974.91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G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25">
      <c r="A12" s="22"/>
      <c r="B12" s="13" t="str">
        <f>CONCATENATE("          ","4058", " - ","TAXABLE SALES-FOOD")</f>
        <v xml:space="preserve">          4058 - TAXABLE SALES-FOOD</v>
      </c>
      <c r="C12" s="23"/>
      <c r="D12" s="2">
        <f>--974.91</f>
        <v>974.91</v>
      </c>
      <c r="E12" s="2">
        <f t="shared" ref="E12:G13" si="1">0</f>
        <v>0</v>
      </c>
      <c r="F12" s="2">
        <f t="shared" si="1"/>
        <v>0</v>
      </c>
      <c r="G12" s="2">
        <f t="shared" si="1"/>
        <v>0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974.91</v>
      </c>
    </row>
    <row r="13" spans="1:18" s="9" customFormat="1" hidden="1" outlineLevel="1" x14ac:dyDescent="0.25">
      <c r="A13" s="22"/>
      <c r="B13" s="13" t="str">
        <f>CONCATENATE("          ","4100", " - ","NON-TAXABLE SALES")</f>
        <v xml:space="preserve">          4100 - NON-TAXABLE SALES</v>
      </c>
      <c r="C13" s="23"/>
      <c r="D13" s="2">
        <f>0</f>
        <v>0</v>
      </c>
      <c r="E13" s="2">
        <f t="shared" si="1"/>
        <v>0</v>
      </c>
      <c r="F13" s="2">
        <f t="shared" si="1"/>
        <v>0</v>
      </c>
      <c r="G13" s="2">
        <f t="shared" si="1"/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Q13" s="2">
        <f>SUM(OSRRefD11_2x)+IFERROR(SUM(OSRRefE11_2x),0)</f>
        <v>0</v>
      </c>
    </row>
    <row r="14" spans="1:18" x14ac:dyDescent="0.25">
      <c r="A14" s="5"/>
      <c r="B14" s="8"/>
      <c r="C14" s="5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9" customFormat="1" collapsed="1" x14ac:dyDescent="0.25">
      <c r="A15" s="22"/>
      <c r="B15" s="16" t="s">
        <v>290</v>
      </c>
      <c r="C15" s="23"/>
      <c r="D15" s="3">
        <f>SUM(OSRRefD14x_0)</f>
        <v>0</v>
      </c>
      <c r="E15" s="3">
        <f>SUM(OSRRefD14x_1)</f>
        <v>0</v>
      </c>
      <c r="F15" s="3">
        <f>SUM(OSRRefD14x_2)</f>
        <v>0</v>
      </c>
      <c r="G15" s="3">
        <f>SUM(OSRRefD14x_3)</f>
        <v>0</v>
      </c>
      <c r="H15" s="3">
        <f>SUM(OSRRefE14x_0)</f>
        <v>0</v>
      </c>
      <c r="I15" s="3">
        <f>SUM(OSRRefE14x_1)</f>
        <v>0</v>
      </c>
      <c r="J15" s="3">
        <f>SUM(OSRRefE14x_2)</f>
        <v>0</v>
      </c>
      <c r="K15" s="3">
        <f>SUM(OSRRefE14x_3)</f>
        <v>0</v>
      </c>
      <c r="L15" s="3">
        <f>SUM(OSRRefE14x_4)</f>
        <v>0</v>
      </c>
      <c r="M15" s="3">
        <f>SUM(OSRRefE14x_5)</f>
        <v>0</v>
      </c>
      <c r="N15" s="3">
        <f>SUM(OSRRefE14x_6)</f>
        <v>0</v>
      </c>
      <c r="O15" s="3">
        <f>SUM(OSRRefE14x_7)</f>
        <v>0</v>
      </c>
      <c r="Q15" s="3">
        <f>SUM(OSRRefG14x)</f>
        <v>0</v>
      </c>
    </row>
    <row r="16" spans="1:18" s="9" customFormat="1" hidden="1" outlineLevel="1" x14ac:dyDescent="0.25">
      <c r="A16" s="22"/>
      <c r="B16" s="13" t="str">
        <f>CONCATENATE("          ","5000", " - ","PURCHASES @ COST")</f>
        <v xml:space="preserve">          5000 - PURCHASES @ COST</v>
      </c>
      <c r="C16" s="23"/>
      <c r="D16" s="2"/>
      <c r="E16" s="2"/>
      <c r="F16" s="2"/>
      <c r="G16" s="2"/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Q16" s="2">
        <f>SUM(OSRRefD14_0x)+IFERROR(SUM(OSRRefE14_0x),0)</f>
        <v>0</v>
      </c>
    </row>
    <row r="17" spans="1:17" x14ac:dyDescent="0.25">
      <c r="A17" s="5"/>
      <c r="B17" s="8"/>
      <c r="C17" s="8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4" customFormat="1" x14ac:dyDescent="0.25">
      <c r="A18" s="8"/>
      <c r="B18" s="17" t="s">
        <v>6</v>
      </c>
      <c r="C18" s="17"/>
      <c r="D18" s="6">
        <f t="shared" ref="D18:O18" si="2">IFERROR(+D10-D15, 0)</f>
        <v>974.91</v>
      </c>
      <c r="E18" s="6">
        <f t="shared" si="2"/>
        <v>0</v>
      </c>
      <c r="F18" s="6">
        <f t="shared" si="2"/>
        <v>0</v>
      </c>
      <c r="G18" s="6">
        <f t="shared" si="2"/>
        <v>0</v>
      </c>
      <c r="H18" s="6">
        <f t="shared" si="2"/>
        <v>0</v>
      </c>
      <c r="I18" s="6">
        <f t="shared" si="2"/>
        <v>0</v>
      </c>
      <c r="J18" s="6">
        <f t="shared" si="2"/>
        <v>0</v>
      </c>
      <c r="K18" s="6">
        <f t="shared" si="2"/>
        <v>0</v>
      </c>
      <c r="L18" s="6">
        <f t="shared" si="2"/>
        <v>0</v>
      </c>
      <c r="M18" s="6">
        <f t="shared" si="2"/>
        <v>0</v>
      </c>
      <c r="N18" s="6">
        <f t="shared" si="2"/>
        <v>0</v>
      </c>
      <c r="O18" s="6">
        <f t="shared" si="2"/>
        <v>0</v>
      </c>
      <c r="Q18" s="6">
        <f>IFERROR(+Q10-Q15, 0)</f>
        <v>974.91</v>
      </c>
    </row>
    <row r="19" spans="1:17" s="8" customFormat="1" x14ac:dyDescent="0.25">
      <c r="B19" s="16"/>
      <c r="C19" s="16"/>
      <c r="D19" s="4">
        <f t="shared" ref="D19:O19" si="3">IFERROR(D18/D10, 0)</f>
        <v>1</v>
      </c>
      <c r="E19" s="4">
        <f t="shared" si="3"/>
        <v>0</v>
      </c>
      <c r="F19" s="4">
        <f t="shared" si="3"/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18"/>
      <c r="Q19" s="4">
        <f>IFERROR(Q18/Q10, 0)</f>
        <v>1</v>
      </c>
    </row>
    <row r="20" spans="1:17" x14ac:dyDescent="0.25">
      <c r="A20" s="5"/>
      <c r="B20" s="8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4" customFormat="1" x14ac:dyDescent="0.25">
      <c r="A21" s="8"/>
      <c r="B21" s="16" t="s">
        <v>291</v>
      </c>
      <c r="C21" s="8"/>
      <c r="D21" s="10">
        <f>SUM(OSRRefD20x_0)</f>
        <v>2674.56</v>
      </c>
      <c r="E21" s="10">
        <f>SUM(OSRRefD20x_1)</f>
        <v>1871.84</v>
      </c>
      <c r="F21" s="10">
        <f>SUM(OSRRefD20x_2)</f>
        <v>2251.14</v>
      </c>
      <c r="G21" s="10">
        <f>SUM(OSRRefD20x_3)</f>
        <v>1825.26</v>
      </c>
      <c r="H21" s="10">
        <f>SUM(OSRRefE20x_0)</f>
        <v>1972</v>
      </c>
      <c r="I21" s="10">
        <f>SUM(OSRRefE20x_1)</f>
        <v>1972</v>
      </c>
      <c r="J21" s="10">
        <f>SUM(OSRRefE20x_2)</f>
        <v>1972</v>
      </c>
      <c r="K21" s="10">
        <f>SUM(OSRRefE20x_3)</f>
        <v>1972</v>
      </c>
      <c r="L21" s="10">
        <f>SUM(OSRRefE20x_4)</f>
        <v>1972</v>
      </c>
      <c r="M21" s="10">
        <f>SUM(OSRRefE20x_5)</f>
        <v>1972</v>
      </c>
      <c r="N21" s="10">
        <f>SUM(OSRRefE20x_6)</f>
        <v>1972</v>
      </c>
      <c r="O21" s="10">
        <f>SUM(OSRRefE20x_7)</f>
        <v>1280</v>
      </c>
      <c r="Q21" s="10">
        <f>SUM(OSRRefG20x)</f>
        <v>23706.799999999999</v>
      </c>
    </row>
    <row r="22" spans="1:17" s="34" customFormat="1" collapsed="1" x14ac:dyDescent="0.25">
      <c r="A22" s="35"/>
      <c r="B22" s="15" t="str">
        <f>CONCATENATE("     ","*Benefits                                         ")</f>
        <v xml:space="preserve">     *Benefits                                         </v>
      </c>
      <c r="C22" s="15"/>
      <c r="D22" s="1">
        <f>SUM(OSRRefD21_0x_0)</f>
        <v>702.51</v>
      </c>
      <c r="E22" s="1">
        <f>SUM(OSRRefD21_0x_1)</f>
        <v>0</v>
      </c>
      <c r="F22" s="1">
        <f>SUM(OSRRefD21_0x_2)</f>
        <v>0</v>
      </c>
      <c r="G22" s="1">
        <f>SUM(OSRRefD21_0x_3)</f>
        <v>0</v>
      </c>
      <c r="H22" s="1">
        <f>SUM(OSRRefE21_0x_0)</f>
        <v>0</v>
      </c>
      <c r="I22" s="1">
        <f>SUM(OSRRefE21_0x_1)</f>
        <v>0</v>
      </c>
      <c r="J22" s="1">
        <f>SUM(OSRRefE21_0x_2)</f>
        <v>0</v>
      </c>
      <c r="K22" s="1">
        <f>SUM(OSRRefE21_0x_3)</f>
        <v>0</v>
      </c>
      <c r="L22" s="1">
        <f>SUM(OSRRefE21_0x_4)</f>
        <v>0</v>
      </c>
      <c r="M22" s="1">
        <f>SUM(OSRRefE21_0x_5)</f>
        <v>0</v>
      </c>
      <c r="N22" s="1">
        <f>SUM(OSRRefE21_0x_6)</f>
        <v>0</v>
      </c>
      <c r="O22" s="1">
        <f>SUM(OSRRefE21_0x_7)</f>
        <v>0</v>
      </c>
      <c r="Q22" s="2">
        <f>SUM(OSRRefD20_0x)+IFERROR(SUM(OSRRefE20_0x),0)</f>
        <v>702.51</v>
      </c>
    </row>
    <row r="23" spans="1:17" s="34" customFormat="1" hidden="1" outlineLevel="1" x14ac:dyDescent="0.25">
      <c r="A23" s="35"/>
      <c r="B23" s="13" t="str">
        <f>CONCATENATE("          ","6111", " - ","F.I.C.A.")</f>
        <v xml:space="preserve">          6111 - F.I.C.A.</v>
      </c>
      <c r="C23" s="15"/>
      <c r="D23" s="2"/>
      <c r="E23" s="2"/>
      <c r="F23" s="2"/>
      <c r="G23" s="2"/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SUM(OSRRefD21_0_0x)+IFERROR(SUM(OSRRefE21_0_0x),0)</f>
        <v>0</v>
      </c>
    </row>
    <row r="24" spans="1:17" s="34" customFormat="1" hidden="1" outlineLevel="1" x14ac:dyDescent="0.25">
      <c r="A24" s="35"/>
      <c r="B24" s="13" t="str">
        <f>CONCATENATE("          ","6112", " - ","COMPENSATION INSURANCE")</f>
        <v xml:space="preserve">          6112 - COMPENSATION INSURANCE</v>
      </c>
      <c r="C24" s="15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SUM(OSRRefD21_0_1x)+IFERROR(SUM(OSRRefE21_0_1x),0)</f>
        <v>0</v>
      </c>
    </row>
    <row r="25" spans="1:17" s="34" customFormat="1" hidden="1" outlineLevel="1" x14ac:dyDescent="0.25">
      <c r="A25" s="35"/>
      <c r="B25" s="13" t="str">
        <f>CONCATENATE("          ","6113", " - ","GROUP INSURANCE")</f>
        <v xml:space="preserve">          6113 - GROUP INSURANCE</v>
      </c>
      <c r="C25" s="15"/>
      <c r="D25" s="2">
        <v>702.51</v>
      </c>
      <c r="E25" s="2"/>
      <c r="F25" s="2"/>
      <c r="G25" s="2"/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SUM(OSRRefD21_0_2x)+IFERROR(SUM(OSRRefE21_0_2x),0)</f>
        <v>702.51</v>
      </c>
    </row>
    <row r="26" spans="1:17" s="34" customFormat="1" hidden="1" outlineLevel="1" x14ac:dyDescent="0.25">
      <c r="A26" s="35"/>
      <c r="B26" s="13" t="str">
        <f>CONCATENATE("          ","6114", " - ","STATE UNEMPLOYMENT INSURANCE")</f>
        <v xml:space="preserve">          6114 - STATE UNEMPLOYMENT INSURANCE</v>
      </c>
      <c r="C26" s="15"/>
      <c r="D26" s="2"/>
      <c r="E26" s="2"/>
      <c r="F26" s="2"/>
      <c r="G26" s="2"/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SUM(OSRRefD21_0_3x)+IFERROR(SUM(OSRRefE21_0_3x),0)</f>
        <v>0</v>
      </c>
    </row>
    <row r="27" spans="1:17" s="34" customFormat="1" hidden="1" outlineLevel="1" x14ac:dyDescent="0.25">
      <c r="A27" s="35"/>
      <c r="B27" s="13" t="str">
        <f>CONCATENATE("          ","6115", " - ","P.E.R.S.")</f>
        <v xml:space="preserve">          6115 - P.E.R.S.</v>
      </c>
      <c r="C27" s="15"/>
      <c r="D27" s="2"/>
      <c r="E27" s="2"/>
      <c r="F27" s="2"/>
      <c r="G27" s="2"/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SUM(OSRRefD21_0_4x)+IFERROR(SUM(OSRRefE21_0_4x),0)</f>
        <v>0</v>
      </c>
    </row>
    <row r="28" spans="1:17" s="34" customFormat="1" hidden="1" outlineLevel="1" x14ac:dyDescent="0.25">
      <c r="A28" s="35"/>
      <c r="B28" s="13" t="str">
        <f>CONCATENATE("          ","6116", " - ","EDUCATIONAL BENEFITS")</f>
        <v xml:space="preserve">          6116 - EDUCATIONAL BENEFITS</v>
      </c>
      <c r="C28" s="15"/>
      <c r="D28" s="2"/>
      <c r="E28" s="2"/>
      <c r="F28" s="2"/>
      <c r="G28" s="2"/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SUM(OSRRefD21_0_5x)+IFERROR(SUM(OSRRefE21_0_5x),0)</f>
        <v>0</v>
      </c>
    </row>
    <row r="29" spans="1:17" s="34" customFormat="1" hidden="1" outlineLevel="1" x14ac:dyDescent="0.25">
      <c r="A29" s="35"/>
      <c r="B29" s="13" t="str">
        <f>CONCATENATE("          ","6118", " - ","VACATION")</f>
        <v xml:space="preserve">          6118 - VACATION</v>
      </c>
      <c r="C29" s="15"/>
      <c r="D29" s="2"/>
      <c r="E29" s="2"/>
      <c r="F29" s="2"/>
      <c r="G29" s="2"/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SUM(OSRRefD21_0_6x)+IFERROR(SUM(OSRRefE21_0_6x),0)</f>
        <v>0</v>
      </c>
    </row>
    <row r="30" spans="1:17" s="34" customFormat="1" hidden="1" outlineLevel="1" x14ac:dyDescent="0.25">
      <c r="A30" s="35"/>
      <c r="B30" s="13" t="str">
        <f>CONCATENATE("          ","6119", " - ","SICK LEAVE")</f>
        <v xml:space="preserve">          6119 - SICK LEAVE</v>
      </c>
      <c r="C30" s="15"/>
      <c r="D30" s="2"/>
      <c r="E30" s="2"/>
      <c r="F30" s="2"/>
      <c r="G30" s="2"/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SUM(OSRRefD21_0_7x)+IFERROR(SUM(OSRRefE21_0_7x),0)</f>
        <v>0</v>
      </c>
    </row>
    <row r="31" spans="1:17" s="34" customFormat="1" hidden="1" outlineLevel="1" x14ac:dyDescent="0.25">
      <c r="A31" s="35"/>
      <c r="B31" s="13" t="str">
        <f>CONCATENATE("          ","6156", " - ","EMPLOYEE MEALS")</f>
        <v xml:space="preserve">          6156 - EMPLOYEE MEALS</v>
      </c>
      <c r="C31" s="15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SUM(OSRRefD21_0_8x)+IFERROR(SUM(OSRRefE21_0_8x),0)</f>
        <v>0</v>
      </c>
    </row>
    <row r="32" spans="1:17" s="34" customFormat="1" collapsed="1" x14ac:dyDescent="0.25">
      <c r="A32" s="35"/>
      <c r="B32" s="15" t="str">
        <f>CONCATENATE("     ","*Payroll                                          ")</f>
        <v xml:space="preserve">     *Payroll                                          </v>
      </c>
      <c r="C32" s="15"/>
      <c r="D32" s="1">
        <f>SUM(OSRRefD21_1x_0)</f>
        <v>0</v>
      </c>
      <c r="E32" s="1">
        <f>SUM(OSRRefD21_1x_1)</f>
        <v>0</v>
      </c>
      <c r="F32" s="1">
        <f>SUM(OSRRefD21_1x_2)</f>
        <v>0</v>
      </c>
      <c r="G32" s="1">
        <f>SUM(OSRRefD21_1x_3)</f>
        <v>0</v>
      </c>
      <c r="H32" s="1">
        <f>SUM(OSRRefE21_1x_0)</f>
        <v>0</v>
      </c>
      <c r="I32" s="1">
        <f>SUM(OSRRefE21_1x_1)</f>
        <v>0</v>
      </c>
      <c r="J32" s="1">
        <f>SUM(OSRRefE21_1x_2)</f>
        <v>0</v>
      </c>
      <c r="K32" s="1">
        <f>SUM(OSRRefE21_1x_3)</f>
        <v>0</v>
      </c>
      <c r="L32" s="1">
        <f>SUM(OSRRefE21_1x_4)</f>
        <v>0</v>
      </c>
      <c r="M32" s="1">
        <f>SUM(OSRRefE21_1x_5)</f>
        <v>0</v>
      </c>
      <c r="N32" s="1">
        <f>SUM(OSRRefE21_1x_6)</f>
        <v>0</v>
      </c>
      <c r="O32" s="1">
        <f>SUM(OSRRefE21_1x_7)</f>
        <v>0</v>
      </c>
      <c r="Q32" s="2">
        <f>SUM(OSRRefD20_1x)+IFERROR(SUM(OSRRefE20_1x),0)</f>
        <v>0</v>
      </c>
    </row>
    <row r="33" spans="1:17" s="34" customFormat="1" hidden="1" outlineLevel="1" x14ac:dyDescent="0.25">
      <c r="A33" s="35"/>
      <c r="B33" s="13" t="str">
        <f>CONCATENATE("          ","6001", " - ","ADMINISTRATIVE SALARIES")</f>
        <v xml:space="preserve">          6001 - ADMINISTRATIVE SALARIES</v>
      </c>
      <c r="C33" s="15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SUM(OSRRefD21_1_0x)+IFERROR(SUM(OSRRefE21_1_0x),0)</f>
        <v>0</v>
      </c>
    </row>
    <row r="34" spans="1:17" s="34" customFormat="1" hidden="1" outlineLevel="1" x14ac:dyDescent="0.25">
      <c r="A34" s="35"/>
      <c r="B34" s="13" t="str">
        <f>CONCATENATE("          ","6002", " - ","STAFF SALARIES")</f>
        <v xml:space="preserve">          6002 - STAFF SALARIES</v>
      </c>
      <c r="C34" s="15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SUM(OSRRefD21_1_1x)+IFERROR(SUM(OSRRefE21_1_1x),0)</f>
        <v>0</v>
      </c>
    </row>
    <row r="35" spans="1:17" s="34" customFormat="1" hidden="1" outlineLevel="1" x14ac:dyDescent="0.25">
      <c r="A35" s="35"/>
      <c r="B35" s="13" t="str">
        <f>CONCATENATE("          ","6003", " - ","STAFF HOURLY-9 MONTH")</f>
        <v xml:space="preserve">          6003 - STAFF HOURLY-9 MONTH</v>
      </c>
      <c r="C35" s="15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SUM(OSRRefD21_1_2x)+IFERROR(SUM(OSRRefE21_1_2x),0)</f>
        <v>0</v>
      </c>
    </row>
    <row r="36" spans="1:17" s="34" customFormat="1" hidden="1" outlineLevel="1" x14ac:dyDescent="0.25">
      <c r="A36" s="35"/>
      <c r="B36" s="13" t="str">
        <f>CONCATENATE("          ","6004", " - ","STAFF HOURLY")</f>
        <v xml:space="preserve">          6004 - STAFF HOURLY</v>
      </c>
      <c r="C36" s="15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SUM(OSRRefD21_1_3x)+IFERROR(SUM(OSRRefE21_1_3x),0)</f>
        <v>0</v>
      </c>
    </row>
    <row r="37" spans="1:17" s="34" customFormat="1" hidden="1" outlineLevel="1" x14ac:dyDescent="0.25">
      <c r="A37" s="35"/>
      <c r="B37" s="13" t="str">
        <f>CONCATENATE("          ","6005", " - ","TEMPORARY WAGES-HOURLY")</f>
        <v xml:space="preserve">          6005 - TEMPORARY WAGES-HOURLY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SUM(OSRRefD21_1_4x)+IFERROR(SUM(OSRRefE21_1_4x),0)</f>
        <v>0</v>
      </c>
    </row>
    <row r="38" spans="1:17" s="34" customFormat="1" hidden="1" outlineLevel="1" x14ac:dyDescent="0.25">
      <c r="A38" s="35"/>
      <c r="B38" s="13" t="str">
        <f>CONCATENATE("          ","6006", " - ","TEMPORARY PART TIME")</f>
        <v xml:space="preserve">          6006 - TEMPORARY PART TIME</v>
      </c>
      <c r="C38" s="15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SUM(OSRRefD21_1_5x)+IFERROR(SUM(OSRRefE21_1_5x),0)</f>
        <v>0</v>
      </c>
    </row>
    <row r="39" spans="1:17" s="34" customFormat="1" hidden="1" outlineLevel="1" x14ac:dyDescent="0.25">
      <c r="A39" s="35"/>
      <c r="B39" s="13" t="str">
        <f>CONCATENATE("          ","6007", " - ","STUDENT HOURLY")</f>
        <v xml:space="preserve">          6007 - STUDENT HOURLY</v>
      </c>
      <c r="C39" s="15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SUM(OSRRefD21_1_6x)+IFERROR(SUM(OSRRefE21_1_6x),0)</f>
        <v>0</v>
      </c>
    </row>
    <row r="40" spans="1:17" s="34" customFormat="1" hidden="1" outlineLevel="1" x14ac:dyDescent="0.25">
      <c r="A40" s="35"/>
      <c r="B40" s="13" t="str">
        <f>CONCATENATE("          ","6008", " - ","STUDENT HOURLY-FICA EXEMPT")</f>
        <v xml:space="preserve">          6008 - STUDENT HOURLY-FICA EXEMPT</v>
      </c>
      <c r="C40" s="15"/>
      <c r="D40" s="2"/>
      <c r="E40" s="2"/>
      <c r="F40" s="2"/>
      <c r="G40" s="2"/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SUM(OSRRefD21_1_7x)+IFERROR(SUM(OSRRefE21_1_7x),0)</f>
        <v>0</v>
      </c>
    </row>
    <row r="41" spans="1:17" s="34" customFormat="1" hidden="1" outlineLevel="1" x14ac:dyDescent="0.25">
      <c r="A41" s="35"/>
      <c r="B41" s="13" t="str">
        <f>CONCATENATE("          ","6009", " - ","TEMPORARY-SEASONAL")</f>
        <v xml:space="preserve">          6009 - TEMPORARY-SEASONAL</v>
      </c>
      <c r="C41" s="15"/>
      <c r="D41" s="2"/>
      <c r="E41" s="2"/>
      <c r="F41" s="2"/>
      <c r="G41" s="2"/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SUM(OSRRefD21_1_8x)+IFERROR(SUM(OSRRefE21_1_8x),0)</f>
        <v>0</v>
      </c>
    </row>
    <row r="42" spans="1:17" s="34" customFormat="1" hidden="1" outlineLevel="1" x14ac:dyDescent="0.25">
      <c r="A42" s="35"/>
      <c r="B42" s="13" t="str">
        <f>CONCATENATE("          ","6010", " - ","GRATUITY")</f>
        <v xml:space="preserve">          6010 - GRATUITY</v>
      </c>
      <c r="C42" s="15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SUM(OSRRefD21_1_9x)+IFERROR(SUM(OSRRefE21_1_9x),0)</f>
        <v>0</v>
      </c>
    </row>
    <row r="43" spans="1:17" s="34" customFormat="1" collapsed="1" x14ac:dyDescent="0.25">
      <c r="A43" s="35"/>
      <c r="B43" s="15" t="str">
        <f>CONCATENATE("     ","Advertising/Promo                                 ")</f>
        <v xml:space="preserve">     Advertising/Promo                                 </v>
      </c>
      <c r="C43" s="15"/>
      <c r="D43" s="1">
        <f>SUM(OSRRefD21_2x_0)</f>
        <v>0</v>
      </c>
      <c r="E43" s="1">
        <f>SUM(OSRRefD21_2x_1)</f>
        <v>0</v>
      </c>
      <c r="F43" s="1">
        <f>SUM(OSRRefD21_2x_2)</f>
        <v>0</v>
      </c>
      <c r="G43" s="1">
        <f>SUM(OSRRefD21_2x_3)</f>
        <v>0</v>
      </c>
      <c r="H43" s="1">
        <f>SUM(OSRRefE21_2x_0)</f>
        <v>0</v>
      </c>
      <c r="I43" s="1">
        <f>SUM(OSRRefE21_2x_1)</f>
        <v>0</v>
      </c>
      <c r="J43" s="1">
        <f>SUM(OSRRefE21_2x_2)</f>
        <v>0</v>
      </c>
      <c r="K43" s="1">
        <f>SUM(OSRRefE21_2x_3)</f>
        <v>0</v>
      </c>
      <c r="L43" s="1">
        <f>SUM(OSRRefE21_2x_4)</f>
        <v>0</v>
      </c>
      <c r="M43" s="1">
        <f>SUM(OSRRefE21_2x_5)</f>
        <v>0</v>
      </c>
      <c r="N43" s="1">
        <f>SUM(OSRRefE21_2x_6)</f>
        <v>0</v>
      </c>
      <c r="O43" s="1">
        <f>SUM(OSRRefE21_2x_7)</f>
        <v>0</v>
      </c>
      <c r="Q43" s="2">
        <f>SUM(OSRRefD20_2x)+IFERROR(SUM(OSRRefE20_2x),0)</f>
        <v>0</v>
      </c>
    </row>
    <row r="44" spans="1:17" s="34" customFormat="1" hidden="1" outlineLevel="1" x14ac:dyDescent="0.25">
      <c r="A44" s="35"/>
      <c r="B44" s="13" t="str">
        <f>CONCATENATE("          ","6362", " - ","ADVERTISING EXPENSE")</f>
        <v xml:space="preserve">          6362 - ADVERTISING EXPENSE</v>
      </c>
      <c r="C44" s="15"/>
      <c r="D44" s="2"/>
      <c r="E44" s="2"/>
      <c r="F44" s="2"/>
      <c r="G44" s="2"/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SUM(OSRRefD21_2_0x)+IFERROR(SUM(OSRRefE21_2_0x),0)</f>
        <v>0</v>
      </c>
    </row>
    <row r="45" spans="1:17" s="34" customFormat="1" collapsed="1" x14ac:dyDescent="0.25">
      <c r="A45" s="35"/>
      <c r="B45" s="15" t="str">
        <f>CONCATENATE("     ","Bank/card Fees                                    ")</f>
        <v xml:space="preserve">     Bank/card Fees                                    </v>
      </c>
      <c r="C45" s="15"/>
      <c r="D45" s="1">
        <f>SUM(OSRRefD21_3x_0)</f>
        <v>0</v>
      </c>
      <c r="E45" s="1">
        <f>SUM(OSRRefD21_3x_1)</f>
        <v>0</v>
      </c>
      <c r="F45" s="1">
        <f>SUM(OSRRefD21_3x_2)</f>
        <v>0</v>
      </c>
      <c r="G45" s="1">
        <f>SUM(OSRRefD21_3x_3)</f>
        <v>0</v>
      </c>
      <c r="H45" s="1">
        <f>SUM(OSRRefE21_3x_0)</f>
        <v>0</v>
      </c>
      <c r="I45" s="1">
        <f>SUM(OSRRefE21_3x_1)</f>
        <v>0</v>
      </c>
      <c r="J45" s="1">
        <f>SUM(OSRRefE21_3x_2)</f>
        <v>0</v>
      </c>
      <c r="K45" s="1">
        <f>SUM(OSRRefE21_3x_3)</f>
        <v>0</v>
      </c>
      <c r="L45" s="1">
        <f>SUM(OSRRefE21_3x_4)</f>
        <v>0</v>
      </c>
      <c r="M45" s="1">
        <f>SUM(OSRRefE21_3x_5)</f>
        <v>0</v>
      </c>
      <c r="N45" s="1">
        <f>SUM(OSRRefE21_3x_6)</f>
        <v>0</v>
      </c>
      <c r="O45" s="1">
        <f>SUM(OSRRefE21_3x_7)</f>
        <v>0</v>
      </c>
      <c r="Q45" s="2">
        <f>SUM(OSRRefD20_3x)+IFERROR(SUM(OSRRefE20_3x),0)</f>
        <v>0</v>
      </c>
    </row>
    <row r="46" spans="1:17" s="34" customFormat="1" hidden="1" outlineLevel="1" x14ac:dyDescent="0.25">
      <c r="A46" s="35"/>
      <c r="B46" s="13" t="str">
        <f>CONCATENATE("          ","6381", " - ","BANK/CREDIT CARD FEES")</f>
        <v xml:space="preserve">          6381 - BANK/CREDIT CARD FEES</v>
      </c>
      <c r="C46" s="15"/>
      <c r="D46" s="2"/>
      <c r="E46" s="2"/>
      <c r="F46" s="2"/>
      <c r="G46" s="2"/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SUM(OSRRefD21_3_0x)+IFERROR(SUM(OSRRefE21_3_0x),0)</f>
        <v>0</v>
      </c>
    </row>
    <row r="47" spans="1:17" s="34" customFormat="1" collapsed="1" x14ac:dyDescent="0.25">
      <c r="A47" s="35"/>
      <c r="B47" s="15" t="str">
        <f>CONCATENATE("     ","Depreciation                                      ")</f>
        <v xml:space="preserve">     Depreciation                                      </v>
      </c>
      <c r="C47" s="15"/>
      <c r="D47" s="1">
        <f>SUM(OSRRefD21_4x_0)</f>
        <v>1972.05</v>
      </c>
      <c r="E47" s="1">
        <f>SUM(OSRRefD21_4x_1)</f>
        <v>1825.26</v>
      </c>
      <c r="F47" s="1">
        <f>SUM(OSRRefD21_4x_2)</f>
        <v>1825.26</v>
      </c>
      <c r="G47" s="1">
        <f>SUM(OSRRefD21_4x_3)</f>
        <v>1825.26</v>
      </c>
      <c r="H47" s="1">
        <f>SUM(OSRRefE21_4x_0)</f>
        <v>1972</v>
      </c>
      <c r="I47" s="1">
        <f>SUM(OSRRefE21_4x_1)</f>
        <v>1972</v>
      </c>
      <c r="J47" s="1">
        <f>SUM(OSRRefE21_4x_2)</f>
        <v>1972</v>
      </c>
      <c r="K47" s="1">
        <f>SUM(OSRRefE21_4x_3)</f>
        <v>1972</v>
      </c>
      <c r="L47" s="1">
        <f>SUM(OSRRefE21_4x_4)</f>
        <v>1972</v>
      </c>
      <c r="M47" s="1">
        <f>SUM(OSRRefE21_4x_5)</f>
        <v>1972</v>
      </c>
      <c r="N47" s="1">
        <f>SUM(OSRRefE21_4x_6)</f>
        <v>1972</v>
      </c>
      <c r="O47" s="1">
        <f>SUM(OSRRefE21_4x_7)</f>
        <v>1280</v>
      </c>
      <c r="Q47" s="2">
        <f>SUM(OSRRefD20_4x)+IFERROR(SUM(OSRRefE20_4x),0)</f>
        <v>22531.83</v>
      </c>
    </row>
    <row r="48" spans="1:17" s="34" customFormat="1" hidden="1" outlineLevel="1" x14ac:dyDescent="0.25">
      <c r="A48" s="35"/>
      <c r="B48" s="13" t="str">
        <f>CONCATENATE("          ","6322", " - ","EQUIPMENT DEPRECIATION EXPENSE")</f>
        <v xml:space="preserve">          6322 - EQUIPMENT DEPRECIATION EXPENSE</v>
      </c>
      <c r="C48" s="15"/>
      <c r="D48" s="2">
        <v>1972.05</v>
      </c>
      <c r="E48" s="2">
        <v>1825.26</v>
      </c>
      <c r="F48" s="2">
        <v>1825.26</v>
      </c>
      <c r="G48" s="2">
        <v>1825.26</v>
      </c>
      <c r="H48" s="2">
        <v>1972</v>
      </c>
      <c r="I48" s="2">
        <v>1972</v>
      </c>
      <c r="J48" s="2">
        <v>1972</v>
      </c>
      <c r="K48" s="2">
        <v>1972</v>
      </c>
      <c r="L48" s="2">
        <v>1972</v>
      </c>
      <c r="M48" s="2">
        <v>1972</v>
      </c>
      <c r="N48" s="2">
        <v>1972</v>
      </c>
      <c r="O48" s="2">
        <v>1280</v>
      </c>
      <c r="P48" s="9"/>
      <c r="Q48" s="2">
        <f>SUM(OSRRefD21_4_0x)+IFERROR(SUM(OSRRefE21_4_0x),0)</f>
        <v>22531.83</v>
      </c>
    </row>
    <row r="49" spans="1:17" s="34" customFormat="1" collapsed="1" x14ac:dyDescent="0.25">
      <c r="A49" s="35"/>
      <c r="B49" s="15" t="str">
        <f>CONCATENATE("     ","Employees' Appreciation                           ")</f>
        <v xml:space="preserve">     Employees' Appreciation                           </v>
      </c>
      <c r="C49" s="15"/>
      <c r="D49" s="1">
        <f>SUM(OSRRefD21_5x_0)</f>
        <v>0</v>
      </c>
      <c r="E49" s="1">
        <f>SUM(OSRRefD21_5x_1)</f>
        <v>0</v>
      </c>
      <c r="F49" s="1">
        <f>SUM(OSRRefD21_5x_2)</f>
        <v>0</v>
      </c>
      <c r="G49" s="1">
        <f>SUM(OSRRefD21_5x_3)</f>
        <v>0</v>
      </c>
      <c r="H49" s="1">
        <f>SUM(OSRRefE21_5x_0)</f>
        <v>0</v>
      </c>
      <c r="I49" s="1">
        <f>SUM(OSRRefE21_5x_1)</f>
        <v>0</v>
      </c>
      <c r="J49" s="1">
        <f>SUM(OSRRefE21_5x_2)</f>
        <v>0</v>
      </c>
      <c r="K49" s="1">
        <f>SUM(OSRRefE21_5x_3)</f>
        <v>0</v>
      </c>
      <c r="L49" s="1">
        <f>SUM(OSRRefE21_5x_4)</f>
        <v>0</v>
      </c>
      <c r="M49" s="1">
        <f>SUM(OSRRefE21_5x_5)</f>
        <v>0</v>
      </c>
      <c r="N49" s="1">
        <f>SUM(OSRRefE21_5x_6)</f>
        <v>0</v>
      </c>
      <c r="O49" s="1">
        <f>SUM(OSRRefE21_5x_7)</f>
        <v>0</v>
      </c>
      <c r="Q49" s="2">
        <f>SUM(OSRRefD20_5x)+IFERROR(SUM(OSRRefE20_5x),0)</f>
        <v>0</v>
      </c>
    </row>
    <row r="50" spans="1:17" s="34" customFormat="1" hidden="1" outlineLevel="1" x14ac:dyDescent="0.25">
      <c r="A50" s="35"/>
      <c r="B50" s="13" t="str">
        <f>CONCATENATE("          ","6277", " - ","EMPLOYEE APPRECIATION")</f>
        <v xml:space="preserve">          6277 - EMPLOYEE APPRECIATION</v>
      </c>
      <c r="C50" s="15"/>
      <c r="D50" s="2"/>
      <c r="E50" s="2"/>
      <c r="F50" s="2"/>
      <c r="G50" s="2"/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SUM(OSRRefD21_5_0x)+IFERROR(SUM(OSRRefE21_5_0x),0)</f>
        <v>0</v>
      </c>
    </row>
    <row r="51" spans="1:17" s="34" customFormat="1" collapsed="1" x14ac:dyDescent="0.25">
      <c r="A51" s="35"/>
      <c r="B51" s="15" t="str">
        <f>CONCATENATE("     ","Equipment Rental                                  ")</f>
        <v xml:space="preserve">     Equipment Rental                                  </v>
      </c>
      <c r="C51" s="15"/>
      <c r="D51" s="1">
        <f>SUM(OSRRefD21_6x_0)</f>
        <v>0</v>
      </c>
      <c r="E51" s="1">
        <f>SUM(OSRRefD21_6x_1)</f>
        <v>0</v>
      </c>
      <c r="F51" s="1">
        <f>SUM(OSRRefD21_6x_2)</f>
        <v>96.3</v>
      </c>
      <c r="G51" s="1">
        <f>SUM(OSRRefD21_6x_3)</f>
        <v>0</v>
      </c>
      <c r="H51" s="1">
        <f>SUM(OSRRefE21_6x_0)</f>
        <v>0</v>
      </c>
      <c r="I51" s="1">
        <f>SUM(OSRRefE21_6x_1)</f>
        <v>0</v>
      </c>
      <c r="J51" s="1">
        <f>SUM(OSRRefE21_6x_2)</f>
        <v>0</v>
      </c>
      <c r="K51" s="1">
        <f>SUM(OSRRefE21_6x_3)</f>
        <v>0</v>
      </c>
      <c r="L51" s="1">
        <f>SUM(OSRRefE21_6x_4)</f>
        <v>0</v>
      </c>
      <c r="M51" s="1">
        <f>SUM(OSRRefE21_6x_5)</f>
        <v>0</v>
      </c>
      <c r="N51" s="1">
        <f>SUM(OSRRefE21_6x_6)</f>
        <v>0</v>
      </c>
      <c r="O51" s="1">
        <f>SUM(OSRRefE21_6x_7)</f>
        <v>0</v>
      </c>
      <c r="Q51" s="2">
        <f>SUM(OSRRefD20_6x)+IFERROR(SUM(OSRRefE20_6x),0)</f>
        <v>96.3</v>
      </c>
    </row>
    <row r="52" spans="1:17" s="34" customFormat="1" hidden="1" outlineLevel="1" x14ac:dyDescent="0.25">
      <c r="A52" s="35"/>
      <c r="B52" s="13" t="str">
        <f>CONCATENATE("          ","6351", " - ","EQUIPMENT RENTAL")</f>
        <v xml:space="preserve">          6351 - EQUIPMENT RENTAL</v>
      </c>
      <c r="C52" s="15"/>
      <c r="D52" s="2"/>
      <c r="E52" s="2"/>
      <c r="F52" s="2">
        <v>96.3</v>
      </c>
      <c r="G52" s="2"/>
      <c r="H52" s="2"/>
      <c r="I52" s="2"/>
      <c r="J52" s="2"/>
      <c r="K52" s="2"/>
      <c r="L52" s="2"/>
      <c r="M52" s="2"/>
      <c r="N52" s="2"/>
      <c r="O52" s="2"/>
      <c r="P52" s="9"/>
      <c r="Q52" s="2">
        <f>SUM(OSRRefD21_6_0x)+IFERROR(SUM(OSRRefE21_6_0x),0)</f>
        <v>96.3</v>
      </c>
    </row>
    <row r="53" spans="1:17" s="34" customFormat="1" collapsed="1" x14ac:dyDescent="0.25">
      <c r="A53" s="35"/>
      <c r="B53" s="15" t="str">
        <f>CONCATENATE("     ","General                                           ")</f>
        <v xml:space="preserve">     General                                           </v>
      </c>
      <c r="C53" s="15"/>
      <c r="D53" s="1">
        <f>SUM(OSRRefD21_7x_0)</f>
        <v>0</v>
      </c>
      <c r="E53" s="1">
        <f>SUM(OSRRefD21_7x_1)</f>
        <v>7.28</v>
      </c>
      <c r="F53" s="1">
        <f>SUM(OSRRefD21_7x_2)</f>
        <v>0</v>
      </c>
      <c r="G53" s="1">
        <f>SUM(OSRRefD21_7x_3)</f>
        <v>0</v>
      </c>
      <c r="H53" s="1">
        <f>SUM(OSRRefE21_7x_0)</f>
        <v>0</v>
      </c>
      <c r="I53" s="1">
        <f>SUM(OSRRefE21_7x_1)</f>
        <v>0</v>
      </c>
      <c r="J53" s="1">
        <f>SUM(OSRRefE21_7x_2)</f>
        <v>0</v>
      </c>
      <c r="K53" s="1">
        <f>SUM(OSRRefE21_7x_3)</f>
        <v>0</v>
      </c>
      <c r="L53" s="1">
        <f>SUM(OSRRefE21_7x_4)</f>
        <v>0</v>
      </c>
      <c r="M53" s="1">
        <f>SUM(OSRRefE21_7x_5)</f>
        <v>0</v>
      </c>
      <c r="N53" s="1">
        <f>SUM(OSRRefE21_7x_6)</f>
        <v>0</v>
      </c>
      <c r="O53" s="1">
        <f>SUM(OSRRefE21_7x_7)</f>
        <v>0</v>
      </c>
      <c r="Q53" s="2">
        <f>SUM(OSRRefD20_7x)+IFERROR(SUM(OSRRefE20_7x),0)</f>
        <v>7.28</v>
      </c>
    </row>
    <row r="54" spans="1:17" s="34" customFormat="1" hidden="1" outlineLevel="1" x14ac:dyDescent="0.25">
      <c r="A54" s="35"/>
      <c r="B54" s="13" t="str">
        <f>CONCATENATE("          ","6279", " - ","GENERAL EXPENSE")</f>
        <v xml:space="preserve">          6279 - GENERAL EXPENSE</v>
      </c>
      <c r="C54" s="15"/>
      <c r="D54" s="2"/>
      <c r="E54" s="2">
        <v>7.28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9"/>
      <c r="Q54" s="2">
        <f>SUM(OSRRefD21_7_0x)+IFERROR(SUM(OSRRefE21_7_0x),0)</f>
        <v>7.28</v>
      </c>
    </row>
    <row r="55" spans="1:17" s="34" customFormat="1" collapsed="1" x14ac:dyDescent="0.25">
      <c r="A55" s="35"/>
      <c r="B55" s="15" t="str">
        <f>CONCATENATE("     ","Repair and Maintenance                            ")</f>
        <v xml:space="preserve">     Repair and Maintenance                            </v>
      </c>
      <c r="C55" s="15"/>
      <c r="D55" s="1">
        <f>SUM(OSRRefD21_8x_0)</f>
        <v>0</v>
      </c>
      <c r="E55" s="1">
        <f>SUM(OSRRefD21_8x_1)</f>
        <v>39.299999999999997</v>
      </c>
      <c r="F55" s="1">
        <f>SUM(OSRRefD21_8x_2)</f>
        <v>329.58000000000004</v>
      </c>
      <c r="G55" s="1">
        <f>SUM(OSRRefD21_8x_3)</f>
        <v>0</v>
      </c>
      <c r="H55" s="1">
        <f>SUM(OSRRefE21_8x_0)</f>
        <v>0</v>
      </c>
      <c r="I55" s="1">
        <f>SUM(OSRRefE21_8x_1)</f>
        <v>0</v>
      </c>
      <c r="J55" s="1">
        <f>SUM(OSRRefE21_8x_2)</f>
        <v>0</v>
      </c>
      <c r="K55" s="1">
        <f>SUM(OSRRefE21_8x_3)</f>
        <v>0</v>
      </c>
      <c r="L55" s="1">
        <f>SUM(OSRRefE21_8x_4)</f>
        <v>0</v>
      </c>
      <c r="M55" s="1">
        <f>SUM(OSRRefE21_8x_5)</f>
        <v>0</v>
      </c>
      <c r="N55" s="1">
        <f>SUM(OSRRefE21_8x_6)</f>
        <v>0</v>
      </c>
      <c r="O55" s="1">
        <f>SUM(OSRRefE21_8x_7)</f>
        <v>0</v>
      </c>
      <c r="Q55" s="2">
        <f>SUM(OSRRefD20_8x)+IFERROR(SUM(OSRRefE20_8x),0)</f>
        <v>368.88000000000005</v>
      </c>
    </row>
    <row r="56" spans="1:17" s="34" customFormat="1" hidden="1" outlineLevel="1" x14ac:dyDescent="0.25">
      <c r="A56" s="35"/>
      <c r="B56" s="13" t="str">
        <f>CONCATENATE("          ","6373", " - ","MAINTENANCE CONTRACTS")</f>
        <v xml:space="preserve">          6373 - MAINTENANCE CONTRACTS</v>
      </c>
      <c r="C56" s="15"/>
      <c r="D56" s="2"/>
      <c r="E56" s="2">
        <v>39.299999999999997</v>
      </c>
      <c r="F56" s="2">
        <v>129.58000000000001</v>
      </c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SUM(OSRRefD21_8_0x)+IFERROR(SUM(OSRRefE21_8_0x),0)</f>
        <v>168.88</v>
      </c>
    </row>
    <row r="57" spans="1:17" s="34" customFormat="1" hidden="1" outlineLevel="1" x14ac:dyDescent="0.25">
      <c r="A57" s="35"/>
      <c r="B57" s="13" t="str">
        <f>CONCATENATE("          ","6375", " - ","OUTSIDE REPAIRS &amp; MAINTENANCE")</f>
        <v xml:space="preserve">          6375 - OUTSIDE REPAIRS &amp; MAINTENANCE</v>
      </c>
      <c r="C57" s="15"/>
      <c r="D57" s="2"/>
      <c r="E57" s="2"/>
      <c r="F57" s="2">
        <v>200</v>
      </c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SUM(OSRRefD21_8_1x)+IFERROR(SUM(OSRRefE21_8_1x),0)</f>
        <v>200</v>
      </c>
    </row>
    <row r="58" spans="1:17" s="34" customFormat="1" collapsed="1" x14ac:dyDescent="0.25">
      <c r="A58" s="35"/>
      <c r="B58" s="15" t="str">
        <f>CONCATENATE("     ","Royalty &amp; Commissions                             ")</f>
        <v xml:space="preserve">     Royalty &amp; Commissions                             </v>
      </c>
      <c r="C58" s="15"/>
      <c r="D58" s="1">
        <f>SUM(OSRRefD21_9x_0)</f>
        <v>0</v>
      </c>
      <c r="E58" s="1">
        <f>SUM(OSRRefD21_9x_1)</f>
        <v>0</v>
      </c>
      <c r="F58" s="1">
        <f>SUM(OSRRefD21_9x_2)</f>
        <v>0</v>
      </c>
      <c r="G58" s="1">
        <f>SUM(OSRRefD21_9x_3)</f>
        <v>0</v>
      </c>
      <c r="H58" s="1">
        <f>SUM(OSRRefE21_9x_0)</f>
        <v>0</v>
      </c>
      <c r="I58" s="1">
        <f>SUM(OSRRefE21_9x_1)</f>
        <v>0</v>
      </c>
      <c r="J58" s="1">
        <f>SUM(OSRRefE21_9x_2)</f>
        <v>0</v>
      </c>
      <c r="K58" s="1">
        <f>SUM(OSRRefE21_9x_3)</f>
        <v>0</v>
      </c>
      <c r="L58" s="1">
        <f>SUM(OSRRefE21_9x_4)</f>
        <v>0</v>
      </c>
      <c r="M58" s="1">
        <f>SUM(OSRRefE21_9x_5)</f>
        <v>0</v>
      </c>
      <c r="N58" s="1">
        <f>SUM(OSRRefE21_9x_6)</f>
        <v>0</v>
      </c>
      <c r="O58" s="1">
        <f>SUM(OSRRefE21_9x_7)</f>
        <v>0</v>
      </c>
      <c r="Q58" s="2">
        <f>SUM(OSRRefD20_9x)+IFERROR(SUM(OSRRefE20_9x),0)</f>
        <v>0</v>
      </c>
    </row>
    <row r="59" spans="1:17" s="34" customFormat="1" hidden="1" outlineLevel="1" x14ac:dyDescent="0.25">
      <c r="A59" s="35"/>
      <c r="B59" s="13" t="str">
        <f>CONCATENATE("          ","6259", " - ","ROYALTY &amp; COMMISSIONS")</f>
        <v xml:space="preserve">          6259 - ROYALTY &amp; COMMISSIONS</v>
      </c>
      <c r="C59" s="15"/>
      <c r="D59" s="2"/>
      <c r="E59" s="2"/>
      <c r="F59" s="2"/>
      <c r="G59" s="2"/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SUM(OSRRefD21_9_0x)+IFERROR(SUM(OSRRefE21_9_0x),0)</f>
        <v>0</v>
      </c>
    </row>
    <row r="60" spans="1:17" s="34" customFormat="1" collapsed="1" x14ac:dyDescent="0.25">
      <c r="A60" s="35"/>
      <c r="B60" s="15" t="str">
        <f>CONCATENATE("     ","Services                                          ")</f>
        <v xml:space="preserve">     Services                                          </v>
      </c>
      <c r="C60" s="15"/>
      <c r="D60" s="1">
        <f>SUM(OSRRefD21_10x_0)</f>
        <v>0</v>
      </c>
      <c r="E60" s="1">
        <f>SUM(OSRRefD21_10x_1)</f>
        <v>0</v>
      </c>
      <c r="F60" s="1">
        <f>SUM(OSRRefD21_10x_2)</f>
        <v>0</v>
      </c>
      <c r="G60" s="1">
        <f>SUM(OSRRefD21_10x_3)</f>
        <v>0</v>
      </c>
      <c r="H60" s="1">
        <f>SUM(OSRRefE21_10x_0)</f>
        <v>0</v>
      </c>
      <c r="I60" s="1">
        <f>SUM(OSRRefE21_10x_1)</f>
        <v>0</v>
      </c>
      <c r="J60" s="1">
        <f>SUM(OSRRefE21_10x_2)</f>
        <v>0</v>
      </c>
      <c r="K60" s="1">
        <f>SUM(OSRRefE21_10x_3)</f>
        <v>0</v>
      </c>
      <c r="L60" s="1">
        <f>SUM(OSRRefE21_10x_4)</f>
        <v>0</v>
      </c>
      <c r="M60" s="1">
        <f>SUM(OSRRefE21_10x_5)</f>
        <v>0</v>
      </c>
      <c r="N60" s="1">
        <f>SUM(OSRRefE21_10x_6)</f>
        <v>0</v>
      </c>
      <c r="O60" s="1">
        <f>SUM(OSRRefE21_10x_7)</f>
        <v>0</v>
      </c>
      <c r="Q60" s="2">
        <f>SUM(OSRRefD20_10x)+IFERROR(SUM(OSRRefE20_10x),0)</f>
        <v>0</v>
      </c>
    </row>
    <row r="61" spans="1:17" s="34" customFormat="1" hidden="1" outlineLevel="1" x14ac:dyDescent="0.25">
      <c r="A61" s="35"/>
      <c r="B61" s="13" t="str">
        <f>CONCATENATE("          ","6286", " - ","LAUNDRY EXPENSE")</f>
        <v xml:space="preserve">          6286 - LAUNDRY EXPENSE</v>
      </c>
      <c r="C61" s="15"/>
      <c r="D61" s="2"/>
      <c r="E61" s="2"/>
      <c r="F61" s="2"/>
      <c r="G61" s="2"/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SUM(OSRRefD21_10_0x)+IFERROR(SUM(OSRRefE21_10_0x),0)</f>
        <v>0</v>
      </c>
    </row>
    <row r="62" spans="1:17" s="34" customFormat="1" collapsed="1" x14ac:dyDescent="0.25">
      <c r="A62" s="35"/>
      <c r="B62" s="15" t="str">
        <f>CONCATENATE("     ","Subscriptions &amp; Dues                              ")</f>
        <v xml:space="preserve">     Subscriptions &amp; Dues                              </v>
      </c>
      <c r="C62" s="15"/>
      <c r="D62" s="1">
        <f>SUM(OSRRefD21_11x_0)</f>
        <v>0</v>
      </c>
      <c r="E62" s="1">
        <f>SUM(OSRRefD21_11x_1)</f>
        <v>0</v>
      </c>
      <c r="F62" s="1">
        <f>SUM(OSRRefD21_11x_2)</f>
        <v>0</v>
      </c>
      <c r="G62" s="1">
        <f>SUM(OSRRefD21_11x_3)</f>
        <v>0</v>
      </c>
      <c r="H62" s="1">
        <f>SUM(OSRRefE21_11x_0)</f>
        <v>0</v>
      </c>
      <c r="I62" s="1">
        <f>SUM(OSRRefE21_11x_1)</f>
        <v>0</v>
      </c>
      <c r="J62" s="1">
        <f>SUM(OSRRefE21_11x_2)</f>
        <v>0</v>
      </c>
      <c r="K62" s="1">
        <f>SUM(OSRRefE21_11x_3)</f>
        <v>0</v>
      </c>
      <c r="L62" s="1">
        <f>SUM(OSRRefE21_11x_4)</f>
        <v>0</v>
      </c>
      <c r="M62" s="1">
        <f>SUM(OSRRefE21_11x_5)</f>
        <v>0</v>
      </c>
      <c r="N62" s="1">
        <f>SUM(OSRRefE21_11x_6)</f>
        <v>0</v>
      </c>
      <c r="O62" s="1">
        <f>SUM(OSRRefE21_11x_7)</f>
        <v>0</v>
      </c>
      <c r="Q62" s="2">
        <f>SUM(OSRRefD20_11x)+IFERROR(SUM(OSRRefE20_11x),0)</f>
        <v>0</v>
      </c>
    </row>
    <row r="63" spans="1:17" s="34" customFormat="1" hidden="1" outlineLevel="1" x14ac:dyDescent="0.25">
      <c r="A63" s="35"/>
      <c r="B63" s="13" t="str">
        <f>CONCATENATE("          ","6275", " - ","SUBSCRIPTIONS")</f>
        <v xml:space="preserve">          6275 - SUBSCRIPTIONS</v>
      </c>
      <c r="C63" s="15"/>
      <c r="D63" s="2"/>
      <c r="E63" s="2"/>
      <c r="F63" s="2"/>
      <c r="G63" s="2"/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SUM(OSRRefD21_11_0x)+IFERROR(SUM(OSRRefE21_11_0x),0)</f>
        <v>0</v>
      </c>
    </row>
    <row r="64" spans="1:17" s="34" customFormat="1" collapsed="1" x14ac:dyDescent="0.25">
      <c r="A64" s="35"/>
      <c r="B64" s="15" t="str">
        <f>CONCATENATE("     ","Supplies                                          ")</f>
        <v xml:space="preserve">     Supplies                                          </v>
      </c>
      <c r="C64" s="15"/>
      <c r="D64" s="1">
        <f>SUM(OSRRefD21_12x_0)</f>
        <v>0</v>
      </c>
      <c r="E64" s="1">
        <f>SUM(OSRRefD21_12x_1)</f>
        <v>0</v>
      </c>
      <c r="F64" s="1">
        <f>SUM(OSRRefD21_12x_2)</f>
        <v>0</v>
      </c>
      <c r="G64" s="1">
        <f>SUM(OSRRefD21_12x_3)</f>
        <v>0</v>
      </c>
      <c r="H64" s="1">
        <f>SUM(OSRRefE21_12x_0)</f>
        <v>0</v>
      </c>
      <c r="I64" s="1">
        <f>SUM(OSRRefE21_12x_1)</f>
        <v>0</v>
      </c>
      <c r="J64" s="1">
        <f>SUM(OSRRefE21_12x_2)</f>
        <v>0</v>
      </c>
      <c r="K64" s="1">
        <f>SUM(OSRRefE21_12x_3)</f>
        <v>0</v>
      </c>
      <c r="L64" s="1">
        <f>SUM(OSRRefE21_12x_4)</f>
        <v>0</v>
      </c>
      <c r="M64" s="1">
        <f>SUM(OSRRefE21_12x_5)</f>
        <v>0</v>
      </c>
      <c r="N64" s="1">
        <f>SUM(OSRRefE21_12x_6)</f>
        <v>0</v>
      </c>
      <c r="O64" s="1">
        <f>SUM(OSRRefE21_12x_7)</f>
        <v>0</v>
      </c>
      <c r="Q64" s="2">
        <f>SUM(OSRRefD20_12x)+IFERROR(SUM(OSRRefE20_12x),0)</f>
        <v>0</v>
      </c>
    </row>
    <row r="65" spans="1:17" s="34" customFormat="1" hidden="1" outlineLevel="1" x14ac:dyDescent="0.25">
      <c r="A65" s="35"/>
      <c r="B65" s="13" t="str">
        <f>CONCATENATE("          ","6235", " - ","COVID-19 EXPENSES")</f>
        <v xml:space="preserve">          6235 - COVID-19 EXPENSES</v>
      </c>
      <c r="C65" s="15"/>
      <c r="D65" s="2"/>
      <c r="E65" s="2"/>
      <c r="F65" s="2"/>
      <c r="G65" s="2"/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SUM(OSRRefD21_12_0x)+IFERROR(SUM(OSRRefE21_12_0x),0)</f>
        <v>0</v>
      </c>
    </row>
    <row r="66" spans="1:17" s="34" customFormat="1" hidden="1" outlineLevel="1" x14ac:dyDescent="0.25">
      <c r="A66" s="35"/>
      <c r="B66" s="13" t="str">
        <f>CONCATENATE("          ","6241", " - ","OFFICE EXPENSE")</f>
        <v xml:space="preserve">          6241 - OFFICE EXPENSE</v>
      </c>
      <c r="C66" s="15"/>
      <c r="D66" s="2"/>
      <c r="E66" s="2"/>
      <c r="F66" s="2"/>
      <c r="G66" s="2"/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SUM(OSRRefD21_12_1x)+IFERROR(SUM(OSRRefE21_12_1x),0)</f>
        <v>0</v>
      </c>
    </row>
    <row r="67" spans="1:17" s="34" customFormat="1" hidden="1" outlineLevel="1" x14ac:dyDescent="0.25">
      <c r="A67" s="35"/>
      <c r="B67" s="13" t="str">
        <f>CONCATENATE("          ","6247", " - ","STORE SUPPLIES")</f>
        <v xml:space="preserve">          6247 - STORE SUPPLIES</v>
      </c>
      <c r="C67" s="15"/>
      <c r="D67" s="2"/>
      <c r="E67" s="2"/>
      <c r="F67" s="2"/>
      <c r="G67" s="2"/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SUM(OSRRefD21_12_2x)+IFERROR(SUM(OSRRefE21_12_2x),0)</f>
        <v>0</v>
      </c>
    </row>
    <row r="68" spans="1:17" s="34" customFormat="1" collapsed="1" x14ac:dyDescent="0.25">
      <c r="A68" s="35"/>
      <c r="B68" s="15" t="str">
        <f>CONCATENATE("     ","Telephone/Data Lines                              ")</f>
        <v xml:space="preserve">     Telephone/Data Lines                              </v>
      </c>
      <c r="C68" s="15"/>
      <c r="D68" s="1">
        <f>SUM(OSRRefD21_13x_0)</f>
        <v>0</v>
      </c>
      <c r="E68" s="1">
        <f>SUM(OSRRefD21_13x_1)</f>
        <v>0</v>
      </c>
      <c r="F68" s="1">
        <f>SUM(OSRRefD21_13x_2)</f>
        <v>0</v>
      </c>
      <c r="G68" s="1">
        <f>SUM(OSRRefD21_13x_3)</f>
        <v>0</v>
      </c>
      <c r="H68" s="1">
        <f>SUM(OSRRefE21_13x_0)</f>
        <v>0</v>
      </c>
      <c r="I68" s="1">
        <f>SUM(OSRRefE21_13x_1)</f>
        <v>0</v>
      </c>
      <c r="J68" s="1">
        <f>SUM(OSRRefE21_13x_2)</f>
        <v>0</v>
      </c>
      <c r="K68" s="1">
        <f>SUM(OSRRefE21_13x_3)</f>
        <v>0</v>
      </c>
      <c r="L68" s="1">
        <f>SUM(OSRRefE21_13x_4)</f>
        <v>0</v>
      </c>
      <c r="M68" s="1">
        <f>SUM(OSRRefE21_13x_5)</f>
        <v>0</v>
      </c>
      <c r="N68" s="1">
        <f>SUM(OSRRefE21_13x_6)</f>
        <v>0</v>
      </c>
      <c r="O68" s="1">
        <f>SUM(OSRRefE21_13x_7)</f>
        <v>0</v>
      </c>
      <c r="Q68" s="2">
        <f>SUM(OSRRefD20_13x)+IFERROR(SUM(OSRRefE20_13x),0)</f>
        <v>0</v>
      </c>
    </row>
    <row r="69" spans="1:17" s="34" customFormat="1" hidden="1" outlineLevel="1" x14ac:dyDescent="0.25">
      <c r="A69" s="35"/>
      <c r="B69" s="13" t="str">
        <f>CONCATENATE("          ","6309", " - ","TELEPHONE")</f>
        <v xml:space="preserve">          6309 - TELEPHONE</v>
      </c>
      <c r="C69" s="15"/>
      <c r="D69" s="2"/>
      <c r="E69" s="2"/>
      <c r="F69" s="2"/>
      <c r="G69" s="2"/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SUM(OSRRefD21_13_0x)+IFERROR(SUM(OSRRefE21_13_0x),0)</f>
        <v>0</v>
      </c>
    </row>
    <row r="70" spans="1:17" s="34" customFormat="1" collapsed="1" x14ac:dyDescent="0.25">
      <c r="A70" s="35"/>
      <c r="B70" s="15" t="str">
        <f>CONCATENATE("     ","Training                                          ")</f>
        <v xml:space="preserve">     Training                                          </v>
      </c>
      <c r="C70" s="15"/>
      <c r="D70" s="1">
        <f>SUM(OSRRefD21_14x_0)</f>
        <v>0</v>
      </c>
      <c r="E70" s="1">
        <f>SUM(OSRRefD21_14x_1)</f>
        <v>0</v>
      </c>
      <c r="F70" s="1">
        <f>SUM(OSRRefD21_14x_2)</f>
        <v>0</v>
      </c>
      <c r="G70" s="1">
        <f>SUM(OSRRefD21_14x_3)</f>
        <v>0</v>
      </c>
      <c r="H70" s="1">
        <f>SUM(OSRRefE21_14x_0)</f>
        <v>0</v>
      </c>
      <c r="I70" s="1">
        <f>SUM(OSRRefE21_14x_1)</f>
        <v>0</v>
      </c>
      <c r="J70" s="1">
        <f>SUM(OSRRefE21_14x_2)</f>
        <v>0</v>
      </c>
      <c r="K70" s="1">
        <f>SUM(OSRRefE21_14x_3)</f>
        <v>0</v>
      </c>
      <c r="L70" s="1">
        <f>SUM(OSRRefE21_14x_4)</f>
        <v>0</v>
      </c>
      <c r="M70" s="1">
        <f>SUM(OSRRefE21_14x_5)</f>
        <v>0</v>
      </c>
      <c r="N70" s="1">
        <f>SUM(OSRRefE21_14x_6)</f>
        <v>0</v>
      </c>
      <c r="O70" s="1">
        <f>SUM(OSRRefE21_14x_7)</f>
        <v>0</v>
      </c>
      <c r="Q70" s="2">
        <f>SUM(OSRRefD20_14x)+IFERROR(SUM(OSRRefE20_14x),0)</f>
        <v>0</v>
      </c>
    </row>
    <row r="71" spans="1:17" s="34" customFormat="1" hidden="1" outlineLevel="1" x14ac:dyDescent="0.25">
      <c r="A71" s="35"/>
      <c r="B71" s="13" t="str">
        <f>CONCATENATE("          ","6376", " - ","TRAINING")</f>
        <v xml:space="preserve">          6376 - TRAINING</v>
      </c>
      <c r="C71" s="15"/>
      <c r="D71" s="2"/>
      <c r="E71" s="2"/>
      <c r="F71" s="2"/>
      <c r="G71" s="2"/>
      <c r="H71" s="2"/>
      <c r="I71" s="2"/>
      <c r="J71" s="2">
        <v>0</v>
      </c>
      <c r="K71" s="2"/>
      <c r="L71" s="2"/>
      <c r="M71" s="2"/>
      <c r="N71" s="2"/>
      <c r="O71" s="2"/>
      <c r="P71" s="9"/>
      <c r="Q71" s="2">
        <f>SUM(OSRRefD21_14_0x)+IFERROR(SUM(OSRRefE21_14_0x),0)</f>
        <v>0</v>
      </c>
    </row>
    <row r="72" spans="1:17" s="28" customFormat="1" x14ac:dyDescent="0.25">
      <c r="A72" s="20"/>
      <c r="B72" s="20"/>
      <c r="C72" s="20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Q72" s="1"/>
    </row>
    <row r="73" spans="1:17" s="9" customFormat="1" x14ac:dyDescent="0.25">
      <c r="A73" s="22"/>
      <c r="B73" s="16" t="s">
        <v>0</v>
      </c>
      <c r="C73" s="23"/>
      <c r="D73" s="3">
        <f t="shared" ref="D73:G73" si="4">0</f>
        <v>0</v>
      </c>
      <c r="E73" s="3">
        <f t="shared" si="4"/>
        <v>0</v>
      </c>
      <c r="F73" s="3">
        <f t="shared" si="4"/>
        <v>0</v>
      </c>
      <c r="G73" s="3">
        <f t="shared" si="4"/>
        <v>0</v>
      </c>
      <c r="H73" s="3"/>
      <c r="I73" s="3"/>
      <c r="J73" s="3"/>
      <c r="K73" s="3"/>
      <c r="L73" s="3"/>
      <c r="M73" s="3"/>
      <c r="N73" s="3"/>
      <c r="O73" s="3"/>
      <c r="Q73" s="2">
        <f>SUM(OSRRefD23_0x)+IFERROR(SUM(OSRRefE23_0x),0)</f>
        <v>0</v>
      </c>
    </row>
    <row r="74" spans="1:17" x14ac:dyDescent="0.25">
      <c r="A74" s="5"/>
      <c r="B74" s="8"/>
      <c r="C74" s="8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4" customFormat="1" x14ac:dyDescent="0.25">
      <c r="A75" s="8"/>
      <c r="B75" s="17" t="s">
        <v>3</v>
      </c>
      <c r="C75" s="17"/>
      <c r="D75" s="6">
        <f t="shared" ref="D75:O75" si="5">IFERROR(+D18-D21+D73, 0)</f>
        <v>-1699.65</v>
      </c>
      <c r="E75" s="6">
        <f t="shared" si="5"/>
        <v>-1871.84</v>
      </c>
      <c r="F75" s="6">
        <f t="shared" si="5"/>
        <v>-2251.14</v>
      </c>
      <c r="G75" s="6">
        <f t="shared" si="5"/>
        <v>-1825.26</v>
      </c>
      <c r="H75" s="6">
        <f t="shared" si="5"/>
        <v>-1972</v>
      </c>
      <c r="I75" s="6">
        <f t="shared" si="5"/>
        <v>-1972</v>
      </c>
      <c r="J75" s="6">
        <f t="shared" si="5"/>
        <v>-1972</v>
      </c>
      <c r="K75" s="6">
        <f t="shared" si="5"/>
        <v>-1972</v>
      </c>
      <c r="L75" s="6">
        <f t="shared" si="5"/>
        <v>-1972</v>
      </c>
      <c r="M75" s="6">
        <f t="shared" si="5"/>
        <v>-1972</v>
      </c>
      <c r="N75" s="6">
        <f t="shared" si="5"/>
        <v>-1972</v>
      </c>
      <c r="O75" s="6">
        <f t="shared" si="5"/>
        <v>-1280</v>
      </c>
      <c r="Q75" s="6">
        <f>IFERROR(+Q18-Q21+Q73, 0)</f>
        <v>-22731.89</v>
      </c>
    </row>
    <row r="76" spans="1:17" s="8" customFormat="1" x14ac:dyDescent="0.25">
      <c r="B76" s="16"/>
      <c r="C76" s="16"/>
      <c r="D76" s="4">
        <f t="shared" ref="D76:O76" si="6">IFERROR(D75/D10, 0)</f>
        <v>-1.743391697695172</v>
      </c>
      <c r="E76" s="4">
        <f t="shared" si="6"/>
        <v>0</v>
      </c>
      <c r="F76" s="4">
        <f t="shared" si="6"/>
        <v>0</v>
      </c>
      <c r="G76" s="4">
        <f t="shared" si="6"/>
        <v>0</v>
      </c>
      <c r="H76" s="4">
        <f t="shared" si="6"/>
        <v>0</v>
      </c>
      <c r="I76" s="4">
        <f t="shared" si="6"/>
        <v>0</v>
      </c>
      <c r="J76" s="4">
        <f t="shared" si="6"/>
        <v>0</v>
      </c>
      <c r="K76" s="4">
        <f t="shared" si="6"/>
        <v>0</v>
      </c>
      <c r="L76" s="4">
        <f t="shared" si="6"/>
        <v>0</v>
      </c>
      <c r="M76" s="4">
        <f t="shared" si="6"/>
        <v>0</v>
      </c>
      <c r="N76" s="4">
        <f t="shared" si="6"/>
        <v>0</v>
      </c>
      <c r="O76" s="4">
        <f t="shared" si="6"/>
        <v>0</v>
      </c>
      <c r="P76" s="18"/>
      <c r="Q76" s="4">
        <f>IFERROR(Q75/Q10, 0)</f>
        <v>-23.316911304633248</v>
      </c>
    </row>
    <row r="77" spans="1:17" x14ac:dyDescent="0.25">
      <c r="A77" s="5"/>
      <c r="B77" s="8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x14ac:dyDescent="0.25">
      <c r="A78" s="25"/>
      <c r="B78" s="8" t="s">
        <v>8</v>
      </c>
      <c r="C78" s="8"/>
      <c r="D78" s="3">
        <v>468.88</v>
      </c>
      <c r="E78" s="3">
        <v>-304.27999999999997</v>
      </c>
      <c r="F78" s="3">
        <v>16.010000000000002</v>
      </c>
      <c r="G78" s="3">
        <v>30.58</v>
      </c>
      <c r="H78" s="3"/>
      <c r="I78" s="3"/>
      <c r="J78" s="3"/>
      <c r="K78" s="3"/>
      <c r="L78" s="3"/>
      <c r="M78" s="3"/>
      <c r="N78" s="3"/>
      <c r="O78" s="3"/>
      <c r="Q78" s="2">
        <f>SUM(OSRRefD28_0x)+IFERROR(SUM(OSRRefE28_0x),0)</f>
        <v>211.19</v>
      </c>
    </row>
    <row r="79" spans="1:17" x14ac:dyDescent="0.25">
      <c r="A79" s="5"/>
      <c r="B79" s="8"/>
      <c r="C79" s="8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4" customFormat="1" ht="15.75" thickBot="1" x14ac:dyDescent="0.3">
      <c r="A80" s="8"/>
      <c r="B80" s="17" t="s">
        <v>4</v>
      </c>
      <c r="C80" s="17"/>
      <c r="D80" s="7">
        <f t="shared" ref="D80:O80" si="7">IFERROR(+D75-D78, 0)</f>
        <v>-2168.5300000000002</v>
      </c>
      <c r="E80" s="7">
        <f t="shared" si="7"/>
        <v>-1567.56</v>
      </c>
      <c r="F80" s="7">
        <f t="shared" si="7"/>
        <v>-2267.15</v>
      </c>
      <c r="G80" s="7">
        <f t="shared" si="7"/>
        <v>-1855.84</v>
      </c>
      <c r="H80" s="7">
        <f t="shared" si="7"/>
        <v>-1972</v>
      </c>
      <c r="I80" s="7">
        <f t="shared" si="7"/>
        <v>-1972</v>
      </c>
      <c r="J80" s="7">
        <f t="shared" si="7"/>
        <v>-1972</v>
      </c>
      <c r="K80" s="7">
        <f t="shared" si="7"/>
        <v>-1972</v>
      </c>
      <c r="L80" s="7">
        <f t="shared" si="7"/>
        <v>-1972</v>
      </c>
      <c r="M80" s="7">
        <f t="shared" si="7"/>
        <v>-1972</v>
      </c>
      <c r="N80" s="7">
        <f t="shared" si="7"/>
        <v>-1972</v>
      </c>
      <c r="O80" s="7">
        <f t="shared" si="7"/>
        <v>-1280</v>
      </c>
      <c r="Q80" s="7">
        <f>IFERROR(+Q75-Q78, 0)</f>
        <v>-22943.079999999998</v>
      </c>
    </row>
    <row r="81" spans="1:17" ht="15.75" thickTop="1" x14ac:dyDescent="0.25">
      <c r="A81" s="5"/>
      <c r="B81" s="5"/>
      <c r="C81" s="5"/>
      <c r="D81" s="4">
        <f t="shared" ref="D81:O81" si="8">IFERROR(D80/D10, 0)</f>
        <v>-2.2243386569016632</v>
      </c>
      <c r="E81" s="4">
        <f t="shared" si="8"/>
        <v>0</v>
      </c>
      <c r="F81" s="4">
        <f t="shared" si="8"/>
        <v>0</v>
      </c>
      <c r="G81" s="4">
        <f t="shared" si="8"/>
        <v>0</v>
      </c>
      <c r="H81" s="4">
        <f t="shared" si="8"/>
        <v>0</v>
      </c>
      <c r="I81" s="4">
        <f t="shared" si="8"/>
        <v>0</v>
      </c>
      <c r="J81" s="4">
        <f t="shared" si="8"/>
        <v>0</v>
      </c>
      <c r="K81" s="4">
        <f t="shared" si="8"/>
        <v>0</v>
      </c>
      <c r="L81" s="4">
        <f t="shared" si="8"/>
        <v>0</v>
      </c>
      <c r="M81" s="4">
        <f t="shared" si="8"/>
        <v>0</v>
      </c>
      <c r="N81" s="4">
        <f t="shared" si="8"/>
        <v>0</v>
      </c>
      <c r="O81" s="4">
        <f t="shared" si="8"/>
        <v>0</v>
      </c>
      <c r="P81" s="18"/>
      <c r="Q81" s="4">
        <f>IFERROR(Q80/Q10, 0)</f>
        <v>-23.533536429003703</v>
      </c>
    </row>
    <row r="82" spans="1:17" x14ac:dyDescent="0.2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x14ac:dyDescent="0.25">
      <c r="A83" s="5"/>
      <c r="B83" s="5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4" customFormat="1" ht="15.75" thickBot="1" x14ac:dyDescent="0.3">
      <c r="A84" s="8"/>
      <c r="B84" s="17" t="s">
        <v>5</v>
      </c>
      <c r="C84" s="17"/>
      <c r="D84" s="7">
        <f t="shared" ref="D84:O84" si="9">IFERROR(SUM(D80:D83), 0)</f>
        <v>-2170.7543386569018</v>
      </c>
      <c r="E84" s="7">
        <f t="shared" si="9"/>
        <v>-1567.56</v>
      </c>
      <c r="F84" s="7">
        <f t="shared" si="9"/>
        <v>-2267.15</v>
      </c>
      <c r="G84" s="7">
        <f t="shared" si="9"/>
        <v>-1855.84</v>
      </c>
      <c r="H84" s="7">
        <f t="shared" si="9"/>
        <v>-1972</v>
      </c>
      <c r="I84" s="7">
        <f t="shared" si="9"/>
        <v>-1972</v>
      </c>
      <c r="J84" s="7">
        <f t="shared" si="9"/>
        <v>-1972</v>
      </c>
      <c r="K84" s="7">
        <f t="shared" si="9"/>
        <v>-1972</v>
      </c>
      <c r="L84" s="7">
        <f t="shared" si="9"/>
        <v>-1972</v>
      </c>
      <c r="M84" s="7">
        <f t="shared" si="9"/>
        <v>-1972</v>
      </c>
      <c r="N84" s="7">
        <f t="shared" si="9"/>
        <v>-1972</v>
      </c>
      <c r="O84" s="7">
        <f t="shared" si="9"/>
        <v>-1280</v>
      </c>
      <c r="Q84" s="7">
        <f>IFERROR(SUM(Q80:Q83), 0)</f>
        <v>-22966.613536429002</v>
      </c>
    </row>
    <row r="85" spans="1:17" ht="15.75" thickTop="1" x14ac:dyDescent="0.25">
      <c r="A85" s="5"/>
      <c r="C85" s="5"/>
      <c r="D85" s="4">
        <f t="shared" ref="D85:O85" si="10">IFERROR(D84/D10, 0)</f>
        <v>-2.2266202404908166</v>
      </c>
      <c r="E85" s="4">
        <f t="shared" si="10"/>
        <v>0</v>
      </c>
      <c r="F85" s="4">
        <f t="shared" si="10"/>
        <v>0</v>
      </c>
      <c r="G85" s="4">
        <f t="shared" si="10"/>
        <v>0</v>
      </c>
      <c r="H85" s="4">
        <f t="shared" si="10"/>
        <v>0</v>
      </c>
      <c r="I85" s="4">
        <f t="shared" si="10"/>
        <v>0</v>
      </c>
      <c r="J85" s="4">
        <f t="shared" si="10"/>
        <v>0</v>
      </c>
      <c r="K85" s="4">
        <f t="shared" si="10"/>
        <v>0</v>
      </c>
      <c r="L85" s="4">
        <f t="shared" si="10"/>
        <v>0</v>
      </c>
      <c r="M85" s="4">
        <f t="shared" si="10"/>
        <v>0</v>
      </c>
      <c r="N85" s="4">
        <f t="shared" si="10"/>
        <v>0</v>
      </c>
      <c r="O85" s="4">
        <f t="shared" si="10"/>
        <v>0</v>
      </c>
      <c r="P85" s="18"/>
      <c r="Q85" s="4">
        <f>IFERROR(Q84/Q10, 0)</f>
        <v>-23.557675617676505</v>
      </c>
    </row>
    <row r="86" spans="1:17" x14ac:dyDescent="0.25">
      <c r="A86" s="5"/>
      <c r="B86" s="26">
        <v>44151.565009027778</v>
      </c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Q86" s="12"/>
    </row>
    <row r="87" spans="1:17" x14ac:dyDescent="0.25">
      <c r="A87" s="5"/>
      <c r="B87" s="30" t="s">
        <v>311</v>
      </c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Q87" s="12"/>
    </row>
    <row r="88" spans="1:17" x14ac:dyDescent="0.25">
      <c r="A88" s="5"/>
      <c r="B88" s="31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Q88" s="12"/>
    </row>
    <row r="89" spans="1:17" x14ac:dyDescent="0.25"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Q89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294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4"/>
      <c r="E18" s="4"/>
      <c r="F18" s="18"/>
      <c r="G18" s="4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s="8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","415", " - ", "Outpost")</f>
        <v>Department 415 - Outpost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4718.9399999999996</v>
      </c>
      <c r="F10" s="3">
        <f>SUM(OSRRefD11x_2)</f>
        <v>8677.65</v>
      </c>
      <c r="G10" s="3">
        <f>SUM(OSRRefD11x_3)</f>
        <v>13289.61</v>
      </c>
      <c r="H10" s="3">
        <f>SUM(OSRRefE11x_0)</f>
        <v>5150</v>
      </c>
      <c r="I10" s="3">
        <f>SUM(OSRRefE11x_1)</f>
        <v>4650</v>
      </c>
      <c r="J10" s="3">
        <f>SUM(OSRRefE11x_2)</f>
        <v>3900</v>
      </c>
      <c r="K10" s="3">
        <f>SUM(OSRRefE11x_3)</f>
        <v>4250</v>
      </c>
      <c r="L10" s="3">
        <f>SUM(OSRRefE11x_4)</f>
        <v>6475</v>
      </c>
      <c r="M10" s="3">
        <f>SUM(OSRRefE11x_5)</f>
        <v>8200</v>
      </c>
      <c r="N10" s="3">
        <f>SUM(OSRRefE11x_6)</f>
        <v>5300</v>
      </c>
      <c r="O10" s="3">
        <f>SUM(OSRRefE11x_7)</f>
        <v>5500</v>
      </c>
      <c r="P10" s="24"/>
      <c r="Q10" s="3">
        <f>SUM(OSRRefG11x)</f>
        <v>70111.199999999997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D14" si="0">0</f>
        <v>0</v>
      </c>
      <c r="E11" s="2">
        <f t="shared" ref="E11:G11" si="1">0</f>
        <v>0</v>
      </c>
      <c r="F11" s="2">
        <f t="shared" si="1"/>
        <v>0</v>
      </c>
      <c r="G11" s="2">
        <f t="shared" si="1"/>
        <v>0</v>
      </c>
      <c r="H11" s="2">
        <v>1602</v>
      </c>
      <c r="I11" s="2">
        <v>1446</v>
      </c>
      <c r="J11" s="2">
        <v>1213</v>
      </c>
      <c r="K11" s="2">
        <v>1322</v>
      </c>
      <c r="L11" s="2">
        <v>2014</v>
      </c>
      <c r="M11" s="2">
        <v>2550</v>
      </c>
      <c r="N11" s="2">
        <v>1648</v>
      </c>
      <c r="O11" s="2">
        <v>1711</v>
      </c>
      <c r="Q11" s="2">
        <f>SUM(OSRRefD11_0x)+IFERROR(SUM(OSRRefE11_0x),0)</f>
        <v>13506</v>
      </c>
    </row>
    <row r="12" spans="1:18" s="9" customFormat="1" hidden="1" outlineLevel="1" x14ac:dyDescent="0.25">
      <c r="A12" s="22"/>
      <c r="B12" s="13" t="str">
        <f>CONCATENATE("          ","4051", " - ","TAXABLE SALES-FOOD")</f>
        <v xml:space="preserve">          4051 - TAXABLE SALES-FOOD</v>
      </c>
      <c r="C12" s="23"/>
      <c r="D12" s="2">
        <f t="shared" si="0"/>
        <v>0</v>
      </c>
      <c r="E12" s="2">
        <f>--2510.72</f>
        <v>2510.7199999999998</v>
      </c>
      <c r="F12" s="2">
        <f>--4141.96</f>
        <v>4141.96</v>
      </c>
      <c r="G12" s="2">
        <f>--6097.26</f>
        <v>6097.26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12749.94</v>
      </c>
    </row>
    <row r="13" spans="1:18" s="9" customFormat="1" hidden="1" outlineLevel="1" x14ac:dyDescent="0.25">
      <c r="A13" s="22"/>
      <c r="B13" s="13" t="str">
        <f>CONCATENATE("          ","4100", " - ","NON-TAXABLE SALES")</f>
        <v xml:space="preserve">          4100 - NON-TAXABLE SALES</v>
      </c>
      <c r="C13" s="23"/>
      <c r="D13" s="2">
        <f t="shared" si="0"/>
        <v>0</v>
      </c>
      <c r="E13" s="2">
        <f t="shared" ref="E13:G13" si="2">0</f>
        <v>0</v>
      </c>
      <c r="F13" s="2">
        <f t="shared" si="2"/>
        <v>0</v>
      </c>
      <c r="G13" s="2">
        <f t="shared" si="2"/>
        <v>0</v>
      </c>
      <c r="H13" s="2">
        <v>3548</v>
      </c>
      <c r="I13" s="2">
        <v>3204</v>
      </c>
      <c r="J13" s="2">
        <v>2687</v>
      </c>
      <c r="K13" s="2">
        <v>2928</v>
      </c>
      <c r="L13" s="2">
        <v>4461</v>
      </c>
      <c r="M13" s="2">
        <v>5650</v>
      </c>
      <c r="N13" s="2">
        <v>3652</v>
      </c>
      <c r="O13" s="2">
        <v>3789</v>
      </c>
      <c r="Q13" s="2">
        <f>SUM(OSRRefD11_2x)+IFERROR(SUM(OSRRefE11_2x),0)</f>
        <v>29919</v>
      </c>
    </row>
    <row r="14" spans="1:18" s="9" customFormat="1" hidden="1" outlineLevel="1" x14ac:dyDescent="0.25">
      <c r="A14" s="22"/>
      <c r="B14" s="13" t="str">
        <f>CONCATENATE("          ","4151", " - ","NON-TAXABLE SALES-FOOD")</f>
        <v xml:space="preserve">          4151 - NON-TAXABLE SALES-FOOD</v>
      </c>
      <c r="C14" s="23"/>
      <c r="D14" s="2">
        <f t="shared" si="0"/>
        <v>0</v>
      </c>
      <c r="E14" s="2">
        <f>--2208.22</f>
        <v>2208.2199999999998</v>
      </c>
      <c r="F14" s="2">
        <f>--4535.69</f>
        <v>4535.6899999999996</v>
      </c>
      <c r="G14" s="2">
        <f>--7192.35</f>
        <v>7192.35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13936.26</v>
      </c>
    </row>
    <row r="15" spans="1:18" x14ac:dyDescent="0.2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290</v>
      </c>
      <c r="C16" s="23"/>
      <c r="D16" s="3">
        <f>SUM(OSRRefD14x_0)</f>
        <v>0</v>
      </c>
      <c r="E16" s="3">
        <f>SUM(OSRRefD14x_1)</f>
        <v>4245.9399999999996</v>
      </c>
      <c r="F16" s="3">
        <f>SUM(OSRRefD14x_2)</f>
        <v>1770.46</v>
      </c>
      <c r="G16" s="3">
        <f>SUM(OSRRefD14x_3)</f>
        <v>5796.07</v>
      </c>
      <c r="H16" s="3">
        <f>SUM(OSRRefE14x_0)</f>
        <v>1700</v>
      </c>
      <c r="I16" s="3">
        <f>SUM(OSRRefE14x_1)</f>
        <v>1488</v>
      </c>
      <c r="J16" s="3">
        <f>SUM(OSRRefE14x_2)</f>
        <v>1209</v>
      </c>
      <c r="K16" s="3">
        <f>SUM(OSRRefE14x_3)</f>
        <v>1318</v>
      </c>
      <c r="L16" s="3">
        <f>SUM(OSRRefE14x_4)</f>
        <v>2072</v>
      </c>
      <c r="M16" s="3">
        <f>SUM(OSRRefE14x_5)</f>
        <v>2706</v>
      </c>
      <c r="N16" s="3">
        <f>SUM(OSRRefE14x_6)</f>
        <v>1749</v>
      </c>
      <c r="O16" s="3">
        <f>SUM(OSRRefE14x_7)</f>
        <v>1430</v>
      </c>
      <c r="Q16" s="3">
        <f>SUM(OSRRefG14x)</f>
        <v>25484.47</v>
      </c>
    </row>
    <row r="17" spans="1:17" s="9" customFormat="1" hidden="1" outlineLevel="1" x14ac:dyDescent="0.25">
      <c r="A17" s="22"/>
      <c r="B17" s="13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>
        <v>1700</v>
      </c>
      <c r="I17" s="2">
        <v>1488</v>
      </c>
      <c r="J17" s="2">
        <v>1209</v>
      </c>
      <c r="K17" s="2">
        <v>1318</v>
      </c>
      <c r="L17" s="2">
        <v>2072</v>
      </c>
      <c r="M17" s="2">
        <v>2706</v>
      </c>
      <c r="N17" s="2">
        <v>1749</v>
      </c>
      <c r="O17" s="2">
        <v>1430</v>
      </c>
      <c r="Q17" s="2">
        <f>SUM(OSRRefD14_0x)+IFERROR(SUM(OSRRefE14_0x),0)</f>
        <v>13672</v>
      </c>
    </row>
    <row r="18" spans="1:17" s="9" customFormat="1" hidden="1" outlineLevel="1" x14ac:dyDescent="0.25">
      <c r="A18" s="22"/>
      <c r="B18" s="13" t="str">
        <f>CONCATENATE("          ","5053", " - ","PURCHASES @ COST-FOOD")</f>
        <v xml:space="preserve">          5053 - PURCHASES @ COST-FOOD</v>
      </c>
      <c r="C18" s="23"/>
      <c r="D18" s="2"/>
      <c r="E18" s="2">
        <v>4200.9399999999996</v>
      </c>
      <c r="F18" s="2">
        <v>1229.4000000000001</v>
      </c>
      <c r="G18" s="2">
        <v>4199.07</v>
      </c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9629.41</v>
      </c>
    </row>
    <row r="19" spans="1:17" s="9" customFormat="1" hidden="1" outlineLevel="1" x14ac:dyDescent="0.25">
      <c r="A19" s="22"/>
      <c r="B19" s="13" t="str">
        <f>CONCATENATE("          ","5059", " - ","PURCHASES @ COST-FOOD")</f>
        <v xml:space="preserve">          5059 - PURCHASES @ COST-FOOD</v>
      </c>
      <c r="C19" s="23"/>
      <c r="D19" s="2"/>
      <c r="E19" s="2">
        <v>45</v>
      </c>
      <c r="F19" s="2">
        <v>541.05999999999995</v>
      </c>
      <c r="G19" s="2">
        <v>1597</v>
      </c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2183.06</v>
      </c>
    </row>
    <row r="20" spans="1:17" x14ac:dyDescent="0.2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25">
      <c r="A21" s="8"/>
      <c r="B21" s="17" t="s">
        <v>6</v>
      </c>
      <c r="C21" s="17"/>
      <c r="D21" s="6">
        <f t="shared" ref="D21:O21" si="3">IFERROR(+D10-D16, 0)</f>
        <v>0</v>
      </c>
      <c r="E21" s="6">
        <f t="shared" si="3"/>
        <v>473</v>
      </c>
      <c r="F21" s="6">
        <f t="shared" si="3"/>
        <v>6907.19</v>
      </c>
      <c r="G21" s="6">
        <f t="shared" si="3"/>
        <v>7493.5400000000009</v>
      </c>
      <c r="H21" s="6">
        <f t="shared" si="3"/>
        <v>3450</v>
      </c>
      <c r="I21" s="6">
        <f t="shared" si="3"/>
        <v>3162</v>
      </c>
      <c r="J21" s="6">
        <f t="shared" si="3"/>
        <v>2691</v>
      </c>
      <c r="K21" s="6">
        <f t="shared" si="3"/>
        <v>2932</v>
      </c>
      <c r="L21" s="6">
        <f t="shared" si="3"/>
        <v>4403</v>
      </c>
      <c r="M21" s="6">
        <f t="shared" si="3"/>
        <v>5494</v>
      </c>
      <c r="N21" s="6">
        <f t="shared" si="3"/>
        <v>3551</v>
      </c>
      <c r="O21" s="6">
        <f t="shared" si="3"/>
        <v>4070</v>
      </c>
      <c r="Q21" s="6">
        <f>IFERROR(+Q10-Q16, 0)</f>
        <v>44626.729999999996</v>
      </c>
    </row>
    <row r="22" spans="1:17" s="8" customFormat="1" x14ac:dyDescent="0.25">
      <c r="B22" s="16"/>
      <c r="C22" s="16"/>
      <c r="D22" s="4">
        <f t="shared" ref="D22:O22" si="4">IFERROR(D21/D10, 0)</f>
        <v>0</v>
      </c>
      <c r="E22" s="4">
        <f t="shared" si="4"/>
        <v>0.10023437466888752</v>
      </c>
      <c r="F22" s="4">
        <f t="shared" si="4"/>
        <v>0.79597471665715946</v>
      </c>
      <c r="G22" s="4">
        <f t="shared" si="4"/>
        <v>0.56386455283488379</v>
      </c>
      <c r="H22" s="4">
        <f t="shared" si="4"/>
        <v>0.66990291262135926</v>
      </c>
      <c r="I22" s="4">
        <f t="shared" si="4"/>
        <v>0.68</v>
      </c>
      <c r="J22" s="4">
        <f t="shared" si="4"/>
        <v>0.69</v>
      </c>
      <c r="K22" s="4">
        <f t="shared" si="4"/>
        <v>0.6898823529411765</v>
      </c>
      <c r="L22" s="4">
        <f t="shared" si="4"/>
        <v>0.68</v>
      </c>
      <c r="M22" s="4">
        <f t="shared" si="4"/>
        <v>0.67</v>
      </c>
      <c r="N22" s="4">
        <f t="shared" si="4"/>
        <v>0.67</v>
      </c>
      <c r="O22" s="4">
        <f t="shared" si="4"/>
        <v>0.74</v>
      </c>
      <c r="P22" s="18"/>
      <c r="Q22" s="4">
        <f>IFERROR(Q21/Q10, 0)</f>
        <v>0.63651356701924944</v>
      </c>
    </row>
    <row r="23" spans="1:17" x14ac:dyDescent="0.2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25">
      <c r="A24" s="8"/>
      <c r="B24" s="16" t="s">
        <v>291</v>
      </c>
      <c r="C24" s="8"/>
      <c r="D24" s="10">
        <f>SUM(OSRRefD20x_0)</f>
        <v>56656.840000000004</v>
      </c>
      <c r="E24" s="10">
        <f>SUM(OSRRefD20x_1)</f>
        <v>67781.87</v>
      </c>
      <c r="F24" s="10">
        <f>SUM(OSRRefD20x_2)</f>
        <v>65605.72</v>
      </c>
      <c r="G24" s="10">
        <f>SUM(OSRRefD20x_3)</f>
        <v>75869.48</v>
      </c>
      <c r="H24" s="10">
        <f>SUM(OSRRefE20x_0)</f>
        <v>44291.890365092309</v>
      </c>
      <c r="I24" s="10">
        <f>SUM(OSRRefE20x_1)</f>
        <v>34415.027133846153</v>
      </c>
      <c r="J24" s="10">
        <f>SUM(OSRRefE20x_2)</f>
        <v>48134.187992980769</v>
      </c>
      <c r="K24" s="10">
        <f>SUM(OSRRefE20x_3)</f>
        <v>44591.890365092309</v>
      </c>
      <c r="L24" s="10">
        <f>SUM(OSRRefE20x_4)</f>
        <v>44126.96540170769</v>
      </c>
      <c r="M24" s="10">
        <f>SUM(OSRRefE20x_5)</f>
        <v>47863.112956365381</v>
      </c>
      <c r="N24" s="10">
        <f>SUM(OSRRefE20x_6)</f>
        <v>43807.96540170769</v>
      </c>
      <c r="O24" s="10">
        <f>SUM(OSRRefE20x_7)</f>
        <v>43432.926578476923</v>
      </c>
      <c r="Q24" s="10">
        <f>SUM(OSRRefG20x)</f>
        <v>616577.87619526917</v>
      </c>
    </row>
    <row r="25" spans="1:17" s="34" customFormat="1" collapsed="1" x14ac:dyDescent="0.25">
      <c r="A25" s="35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7755.9</v>
      </c>
      <c r="E25" s="1">
        <f>SUM(OSRRefD21_0x_1)</f>
        <v>15637.029999999999</v>
      </c>
      <c r="F25" s="1">
        <f>SUM(OSRRefD21_0x_2)</f>
        <v>15801.559999999998</v>
      </c>
      <c r="G25" s="1">
        <f>SUM(OSRRefD21_0x_3)</f>
        <v>15447.64</v>
      </c>
      <c r="H25" s="1">
        <f>SUM(OSRRefE21_0x_0)</f>
        <v>5545.6683650923096</v>
      </c>
      <c r="I25" s="1">
        <f>SUM(OSRRefE21_0x_1)</f>
        <v>1302.7771338461541</v>
      </c>
      <c r="J25" s="1">
        <f>SUM(OSRRefE21_0x_2)</f>
        <v>6456.3504929807696</v>
      </c>
      <c r="K25" s="1">
        <f>SUM(OSRRefE21_0x_3)</f>
        <v>5545.6683650923096</v>
      </c>
      <c r="L25" s="1">
        <f>SUM(OSRRefE21_0x_4)</f>
        <v>5416.1834017076899</v>
      </c>
      <c r="M25" s="1">
        <f>SUM(OSRRefE21_0x_5)</f>
        <v>6585.8354563653802</v>
      </c>
      <c r="N25" s="1">
        <f>SUM(OSRRefE21_0x_6)</f>
        <v>5416.1834017076899</v>
      </c>
      <c r="O25" s="1">
        <f>SUM(OSRRefE21_0x_7)</f>
        <v>5671.1895784769213</v>
      </c>
      <c r="Q25" s="2">
        <f>SUM(OSRRefD20_0x)+IFERROR(SUM(OSRRefE20_0x),0)</f>
        <v>96581.986195269215</v>
      </c>
    </row>
    <row r="26" spans="1:17" s="34" customFormat="1" hidden="1" outlineLevel="1" x14ac:dyDescent="0.25">
      <c r="A26" s="35"/>
      <c r="B26" s="13" t="str">
        <f>CONCATENATE("          ","6111", " - ","F.I.C.A.")</f>
        <v xml:space="preserve">          6111 - F.I.C.A.</v>
      </c>
      <c r="C26" s="15"/>
      <c r="D26" s="2">
        <v>1011.28</v>
      </c>
      <c r="E26" s="2">
        <v>1592.61</v>
      </c>
      <c r="F26" s="2">
        <v>1519.52</v>
      </c>
      <c r="G26" s="2">
        <v>2728.37</v>
      </c>
      <c r="H26" s="2">
        <v>649.01878739999995</v>
      </c>
      <c r="I26" s="2">
        <v>131.32548</v>
      </c>
      <c r="J26" s="2">
        <v>798.14093624999998</v>
      </c>
      <c r="K26" s="2">
        <v>649.01878739999995</v>
      </c>
      <c r="L26" s="2">
        <v>635.88623940000002</v>
      </c>
      <c r="M26" s="2">
        <v>811.27348425000002</v>
      </c>
      <c r="N26" s="2">
        <v>635.88623940000002</v>
      </c>
      <c r="O26" s="2">
        <v>662.15133539999999</v>
      </c>
      <c r="P26" s="9"/>
      <c r="Q26" s="2">
        <f>SUM(OSRRefD21_0_0x)+IFERROR(SUM(OSRRefE21_0_0x),0)</f>
        <v>11824.4812895</v>
      </c>
    </row>
    <row r="27" spans="1:17" s="34" customFormat="1" hidden="1" outlineLevel="1" x14ac:dyDescent="0.25">
      <c r="A27" s="35"/>
      <c r="B27" s="13" t="str">
        <f>CONCATENATE("          ","6112", " - ","COMPENSATION INSURANCE")</f>
        <v xml:space="preserve">          6112 - COMPENSATION INSURANCE</v>
      </c>
      <c r="C27" s="15"/>
      <c r="D27" s="2">
        <v>443.14</v>
      </c>
      <c r="E27" s="2">
        <v>577.34</v>
      </c>
      <c r="F27" s="2">
        <v>788.19</v>
      </c>
      <c r="G27" s="2">
        <v>620.08000000000004</v>
      </c>
      <c r="H27" s="2">
        <v>372.82588199999998</v>
      </c>
      <c r="I27" s="2">
        <v>78.120900000000006</v>
      </c>
      <c r="J27" s="2">
        <v>458.67071249999998</v>
      </c>
      <c r="K27" s="2">
        <v>372.82588199999998</v>
      </c>
      <c r="L27" s="2">
        <v>365.46424200000001</v>
      </c>
      <c r="M27" s="2">
        <v>466.03235249999994</v>
      </c>
      <c r="N27" s="2">
        <v>365.46424200000001</v>
      </c>
      <c r="O27" s="2">
        <v>377.935272</v>
      </c>
      <c r="P27" s="9"/>
      <c r="Q27" s="2">
        <f>SUM(OSRRefD21_0_1x)+IFERROR(SUM(OSRRefE21_0_1x),0)</f>
        <v>5286.0894850000004</v>
      </c>
    </row>
    <row r="28" spans="1:17" s="34" customFormat="1" hidden="1" outlineLevel="1" x14ac:dyDescent="0.25">
      <c r="A28" s="35"/>
      <c r="B28" s="13" t="str">
        <f>CONCATENATE("          ","6113", " - ","GROUP INSURANCE")</f>
        <v xml:space="preserve">          6113 - GROUP INSURANCE</v>
      </c>
      <c r="C28" s="15"/>
      <c r="D28" s="2">
        <v>3371.81</v>
      </c>
      <c r="E28" s="2">
        <v>8711.43</v>
      </c>
      <c r="F28" s="2">
        <v>8711.43</v>
      </c>
      <c r="G28" s="2">
        <v>6712.24</v>
      </c>
      <c r="H28" s="2">
        <v>3212.6923076923099</v>
      </c>
      <c r="I28" s="2">
        <v>913.84615384615404</v>
      </c>
      <c r="J28" s="2">
        <v>3578.23076923077</v>
      </c>
      <c r="K28" s="2">
        <v>3212.6923076923099</v>
      </c>
      <c r="L28" s="2">
        <v>3121.3076923076901</v>
      </c>
      <c r="M28" s="2">
        <v>3669.6153846153798</v>
      </c>
      <c r="N28" s="2">
        <v>3121.3076923076901</v>
      </c>
      <c r="O28" s="2">
        <v>3304.0769230769201</v>
      </c>
      <c r="P28" s="9"/>
      <c r="Q28" s="2">
        <f>SUM(OSRRefD21_0_2x)+IFERROR(SUM(OSRRefE21_0_2x),0)</f>
        <v>51640.679230769223</v>
      </c>
    </row>
    <row r="29" spans="1:17" s="34" customFormat="1" hidden="1" outlineLevel="1" x14ac:dyDescent="0.25">
      <c r="A29" s="35"/>
      <c r="B29" s="13" t="str">
        <f>CONCATENATE("          ","6114", " - ","STATE UNEMPLOYMENT INSURANCE")</f>
        <v xml:space="preserve">          6114 - STATE UNEMPLOYMENT INSURANCE</v>
      </c>
      <c r="C29" s="15"/>
      <c r="D29" s="2">
        <v>47.76</v>
      </c>
      <c r="E29" s="2">
        <v>55.9</v>
      </c>
      <c r="F29" s="2">
        <v>62.52</v>
      </c>
      <c r="G29" s="2">
        <v>52.33</v>
      </c>
      <c r="H29" s="2">
        <v>22.595507999999999</v>
      </c>
      <c r="I29" s="2">
        <v>4.7346000000000004</v>
      </c>
      <c r="J29" s="2">
        <v>27.798224999999999</v>
      </c>
      <c r="K29" s="2">
        <v>22.595507999999999</v>
      </c>
      <c r="L29" s="2">
        <v>22.149348</v>
      </c>
      <c r="M29" s="2">
        <v>28.244385000000001</v>
      </c>
      <c r="N29" s="2">
        <v>22.149348</v>
      </c>
      <c r="O29" s="2">
        <v>22.905168</v>
      </c>
      <c r="P29" s="9"/>
      <c r="Q29" s="2">
        <f>SUM(OSRRefD21_0_3x)+IFERROR(SUM(OSRRefE21_0_3x),0)</f>
        <v>391.68209000000002</v>
      </c>
    </row>
    <row r="30" spans="1:17" s="34" customFormat="1" hidden="1" outlineLevel="1" x14ac:dyDescent="0.25">
      <c r="A30" s="35"/>
      <c r="B30" s="13" t="str">
        <f>CONCATENATE("          ","6115", " - ","P.E.R.S.")</f>
        <v xml:space="preserve">          6115 - P.E.R.S.</v>
      </c>
      <c r="C30" s="15"/>
      <c r="D30" s="2">
        <v>1085.25</v>
      </c>
      <c r="E30" s="2">
        <v>1527.3</v>
      </c>
      <c r="F30" s="2">
        <v>1527.3</v>
      </c>
      <c r="G30" s="2">
        <v>1441.26</v>
      </c>
      <c r="H30" s="2">
        <v>434.17788000000002</v>
      </c>
      <c r="I30" s="2">
        <v>0</v>
      </c>
      <c r="J30" s="2">
        <v>542.72235000000001</v>
      </c>
      <c r="K30" s="2">
        <v>434.17788000000002</v>
      </c>
      <c r="L30" s="2">
        <v>434.17788000000002</v>
      </c>
      <c r="M30" s="2">
        <v>542.72235000000001</v>
      </c>
      <c r="N30" s="2">
        <v>434.17788000000002</v>
      </c>
      <c r="O30" s="2">
        <v>434.17788000000002</v>
      </c>
      <c r="P30" s="9"/>
      <c r="Q30" s="2">
        <f>SUM(OSRRefD21_0_4x)+IFERROR(SUM(OSRRefE21_0_4x),0)</f>
        <v>8837.4441000000006</v>
      </c>
    </row>
    <row r="31" spans="1:17" s="34" customFormat="1" hidden="1" outlineLevel="1" x14ac:dyDescent="0.25">
      <c r="A31" s="35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25">
      <c r="A32" s="35"/>
      <c r="B32" s="13" t="str">
        <f>CONCATENATE("          ","6118", " - ","VACATION")</f>
        <v xml:space="preserve">          6118 - VACATION</v>
      </c>
      <c r="C32" s="15"/>
      <c r="D32" s="2">
        <v>915.11</v>
      </c>
      <c r="E32" s="2">
        <v>1539.3</v>
      </c>
      <c r="F32" s="2">
        <v>1539.3</v>
      </c>
      <c r="G32" s="2">
        <v>2066.79</v>
      </c>
      <c r="H32" s="2">
        <v>424.029</v>
      </c>
      <c r="I32" s="2">
        <v>85.8</v>
      </c>
      <c r="J32" s="2">
        <v>521.45624999999995</v>
      </c>
      <c r="K32" s="2">
        <v>424.029</v>
      </c>
      <c r="L32" s="2">
        <v>415.44900000000001</v>
      </c>
      <c r="M32" s="2">
        <v>530.03625</v>
      </c>
      <c r="N32" s="2">
        <v>415.44900000000001</v>
      </c>
      <c r="O32" s="2">
        <v>432.60899999999998</v>
      </c>
      <c r="P32" s="9"/>
      <c r="Q32" s="2">
        <f>SUM(OSRRefD21_0_6x)+IFERROR(SUM(OSRRefE21_0_6x),0)</f>
        <v>9309.3575000000001</v>
      </c>
    </row>
    <row r="33" spans="1:17" s="34" customFormat="1" hidden="1" outlineLevel="1" x14ac:dyDescent="0.25">
      <c r="A33" s="35"/>
      <c r="B33" s="13" t="str">
        <f>CONCATENATE("          ","6119", " - ","SICK LEAVE")</f>
        <v xml:space="preserve">          6119 - SICK LEAVE</v>
      </c>
      <c r="C33" s="15"/>
      <c r="D33" s="2">
        <v>609.79999999999995</v>
      </c>
      <c r="E33" s="2">
        <v>986.74</v>
      </c>
      <c r="F33" s="2">
        <v>986.74</v>
      </c>
      <c r="G33" s="2">
        <v>1286.28</v>
      </c>
      <c r="H33" s="2">
        <v>430.32900000000001</v>
      </c>
      <c r="I33" s="2">
        <v>88.95</v>
      </c>
      <c r="J33" s="2">
        <v>529.33124999999995</v>
      </c>
      <c r="K33" s="2">
        <v>430.32900000000001</v>
      </c>
      <c r="L33" s="2">
        <v>421.74900000000002</v>
      </c>
      <c r="M33" s="2">
        <v>537.91125</v>
      </c>
      <c r="N33" s="2">
        <v>421.74900000000002</v>
      </c>
      <c r="O33" s="2">
        <v>437.334</v>
      </c>
      <c r="P33" s="9"/>
      <c r="Q33" s="2">
        <f>SUM(OSRRefD21_0_7x)+IFERROR(SUM(OSRRefE21_0_7x),0)</f>
        <v>7167.2424999999994</v>
      </c>
    </row>
    <row r="34" spans="1:17" s="34" customFormat="1" hidden="1" outlineLevel="1" x14ac:dyDescent="0.25">
      <c r="A34" s="35"/>
      <c r="B34" s="13" t="str">
        <f>CONCATENATE("          ","6156", " - ","EMPLOYEE MEALS")</f>
        <v xml:space="preserve">          6156 - EMPLOYEE MEALS</v>
      </c>
      <c r="C34" s="15"/>
      <c r="D34" s="2">
        <v>271.75</v>
      </c>
      <c r="E34" s="2">
        <v>646.41</v>
      </c>
      <c r="F34" s="2">
        <v>666.56</v>
      </c>
      <c r="G34" s="2">
        <v>540.29</v>
      </c>
      <c r="H34" s="2"/>
      <c r="I34" s="2"/>
      <c r="J34" s="2"/>
      <c r="K34" s="2"/>
      <c r="L34" s="2"/>
      <c r="M34" s="2"/>
      <c r="N34" s="2"/>
      <c r="O34" s="2"/>
      <c r="P34" s="9"/>
      <c r="Q34" s="2">
        <f>SUM(OSRRefD21_0_8x)+IFERROR(SUM(OSRRefE21_0_8x),0)</f>
        <v>2125.0099999999998</v>
      </c>
    </row>
    <row r="35" spans="1:17" s="34" customFormat="1" collapsed="1" x14ac:dyDescent="0.25">
      <c r="A35" s="35"/>
      <c r="B35" s="15" t="str">
        <f>CONCATENATE("     ","*Payroll                                          ")</f>
        <v xml:space="preserve">     *Payroll                                          </v>
      </c>
      <c r="C35" s="15"/>
      <c r="D35" s="1">
        <f>SUM(OSRRefD21_1x_0)</f>
        <v>17350.91</v>
      </c>
      <c r="E35" s="1">
        <f>SUM(OSRRefD21_1x_1)</f>
        <v>19671.969999999998</v>
      </c>
      <c r="F35" s="1">
        <f>SUM(OSRRefD21_1x_2)</f>
        <v>18949.330000000002</v>
      </c>
      <c r="G35" s="1">
        <f>SUM(OSRRefD21_1x_3)</f>
        <v>21241.500000000004</v>
      </c>
      <c r="H35" s="1">
        <f>SUM(OSRRefE21_1x_0)</f>
        <v>7836.2219999999998</v>
      </c>
      <c r="I35" s="1">
        <f>SUM(OSRRefE21_1x_1)</f>
        <v>1646.25</v>
      </c>
      <c r="J35" s="1">
        <f>SUM(OSRRefE21_1x_2)</f>
        <v>9640.8374999999996</v>
      </c>
      <c r="K35" s="1">
        <f>SUM(OSRRefE21_1x_3)</f>
        <v>7836.2219999999998</v>
      </c>
      <c r="L35" s="1">
        <f>SUM(OSRRefE21_1x_4)</f>
        <v>7681.7820000000002</v>
      </c>
      <c r="M35" s="1">
        <f>SUM(OSRRefE21_1x_5)</f>
        <v>9795.2775000000001</v>
      </c>
      <c r="N35" s="1">
        <f>SUM(OSRRefE21_1x_6)</f>
        <v>7681.7820000000002</v>
      </c>
      <c r="O35" s="1">
        <f>SUM(OSRRefE21_1x_7)</f>
        <v>7939.7369999999992</v>
      </c>
      <c r="Q35" s="2">
        <f>SUM(OSRRefD20_1x)+IFERROR(SUM(OSRRefE20_1x),0)</f>
        <v>137271.82</v>
      </c>
    </row>
    <row r="36" spans="1:17" s="34" customFormat="1" hidden="1" outlineLevel="1" x14ac:dyDescent="0.25">
      <c r="A36" s="35"/>
      <c r="B36" s="13" t="str">
        <f>CONCATENATE("          ","6001", " - ","ADMINISTRATIVE SALARIES")</f>
        <v xml:space="preserve">          6001 - ADMINISTRATIVE SALARIES</v>
      </c>
      <c r="C36" s="15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4" customFormat="1" hidden="1" outlineLevel="1" x14ac:dyDescent="0.25">
      <c r="A37" s="35"/>
      <c r="B37" s="13" t="str">
        <f>CONCATENATE("          ","6002", " - ","STAFF SALARIES")</f>
        <v xml:space="preserve">          6002 - STAFF SALARIES</v>
      </c>
      <c r="C37" s="15"/>
      <c r="D37" s="2">
        <v>13229.18</v>
      </c>
      <c r="E37" s="2">
        <v>14643.4</v>
      </c>
      <c r="F37" s="2">
        <v>15148.26</v>
      </c>
      <c r="G37" s="2">
        <v>16649.230000000003</v>
      </c>
      <c r="H37" s="2">
        <v>4543.7219999999998</v>
      </c>
      <c r="I37" s="2">
        <v>0</v>
      </c>
      <c r="J37" s="2">
        <v>5679.6524999999992</v>
      </c>
      <c r="K37" s="2">
        <v>4543.7219999999998</v>
      </c>
      <c r="L37" s="2">
        <v>4543.7219999999998</v>
      </c>
      <c r="M37" s="2">
        <v>5679.6524999999992</v>
      </c>
      <c r="N37" s="2">
        <v>4543.7219999999998</v>
      </c>
      <c r="O37" s="2">
        <v>4543.7219999999998</v>
      </c>
      <c r="P37" s="9"/>
      <c r="Q37" s="2">
        <f>SUM(OSRRefD21_1_1x)+IFERROR(SUM(OSRRefE21_1_1x),0)</f>
        <v>93747.985000000015</v>
      </c>
    </row>
    <row r="38" spans="1:17" s="34" customFormat="1" hidden="1" outlineLevel="1" x14ac:dyDescent="0.25">
      <c r="A38" s="35"/>
      <c r="B38" s="13" t="str">
        <f>CONCATENATE("          ","6003", " - ","STAFF HOURLY-9 MONTH")</f>
        <v xml:space="preserve">          6003 - STAFF HOURLY-9 MONTH</v>
      </c>
      <c r="C38" s="15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4" customFormat="1" hidden="1" outlineLevel="1" x14ac:dyDescent="0.25">
      <c r="A39" s="35"/>
      <c r="B39" s="13" t="str">
        <f>CONCATENATE("          ","6004", " - ","STAFF HOURLY")</f>
        <v xml:space="preserve">          6004 - STAFF HOURLY</v>
      </c>
      <c r="C39" s="15"/>
      <c r="D39" s="2">
        <v>2771.73</v>
      </c>
      <c r="E39" s="2">
        <v>4818.47</v>
      </c>
      <c r="F39" s="2">
        <v>3115.4</v>
      </c>
      <c r="G39" s="2">
        <v>4641.7</v>
      </c>
      <c r="H39" s="2">
        <v>3088.8</v>
      </c>
      <c r="I39" s="2">
        <v>1544.4</v>
      </c>
      <c r="J39" s="2">
        <v>3706.56</v>
      </c>
      <c r="K39" s="2">
        <v>3088.8</v>
      </c>
      <c r="L39" s="2">
        <v>2934.36</v>
      </c>
      <c r="M39" s="2">
        <v>3861</v>
      </c>
      <c r="N39" s="2">
        <v>2934.36</v>
      </c>
      <c r="O39" s="2">
        <v>3243.24</v>
      </c>
      <c r="P39" s="9"/>
      <c r="Q39" s="2">
        <f>SUM(OSRRefD21_1_3x)+IFERROR(SUM(OSRRefE21_1_3x),0)</f>
        <v>39748.820000000007</v>
      </c>
    </row>
    <row r="40" spans="1:17" s="34" customFormat="1" hidden="1" outlineLevel="1" x14ac:dyDescent="0.25">
      <c r="A40" s="35"/>
      <c r="B40" s="13" t="str">
        <f>CONCATENATE("          ","6005", " - ","TEMPORARY WAGES-HOURLY")</f>
        <v xml:space="preserve">          6005 - TEMPORARY WAGES-HOURLY</v>
      </c>
      <c r="C40" s="15"/>
      <c r="D40" s="2"/>
      <c r="E40" s="2">
        <v>155.1</v>
      </c>
      <c r="F40" s="2">
        <v>1266.67</v>
      </c>
      <c r="G40" s="2">
        <v>704.86</v>
      </c>
      <c r="H40" s="2">
        <v>203.7</v>
      </c>
      <c r="I40" s="2">
        <v>101.85</v>
      </c>
      <c r="J40" s="2">
        <v>254.625</v>
      </c>
      <c r="K40" s="2">
        <v>203.7</v>
      </c>
      <c r="L40" s="2">
        <v>203.7</v>
      </c>
      <c r="M40" s="2">
        <v>254.625</v>
      </c>
      <c r="N40" s="2">
        <v>203.7</v>
      </c>
      <c r="O40" s="2">
        <v>152.77500000000001</v>
      </c>
      <c r="P40" s="9"/>
      <c r="Q40" s="2">
        <f>SUM(OSRRefD21_1_4x)+IFERROR(SUM(OSRRefE21_1_4x),0)</f>
        <v>3705.3050000000003</v>
      </c>
    </row>
    <row r="41" spans="1:17" s="34" customFormat="1" hidden="1" outlineLevel="1" x14ac:dyDescent="0.25">
      <c r="A41" s="35"/>
      <c r="B41" s="13" t="str">
        <f>CONCATENATE("          ","6006", " - ","TEMPORARY PART TIME")</f>
        <v xml:space="preserve">          6006 - TEMPORARY PART TIME</v>
      </c>
      <c r="C41" s="15"/>
      <c r="D41" s="2"/>
      <c r="E41" s="2"/>
      <c r="F41" s="2"/>
      <c r="G41" s="2"/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4" customFormat="1" hidden="1" outlineLevel="1" x14ac:dyDescent="0.25">
      <c r="A42" s="35"/>
      <c r="B42" s="13" t="str">
        <f>CONCATENATE("          ","6007", " - ","STUDENT HOURLY")</f>
        <v xml:space="preserve">          6007 - STUDENT HOURLY</v>
      </c>
      <c r="C42" s="15"/>
      <c r="D42" s="2">
        <v>1350</v>
      </c>
      <c r="E42" s="2">
        <v>55</v>
      </c>
      <c r="F42" s="2">
        <v>-581</v>
      </c>
      <c r="G42" s="2">
        <v>-754.29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SUM(OSRRefD21_1_6x)+IFERROR(SUM(OSRRefE21_1_6x),0)</f>
        <v>69.710000000000036</v>
      </c>
    </row>
    <row r="43" spans="1:17" s="34" customFormat="1" hidden="1" outlineLevel="1" x14ac:dyDescent="0.25">
      <c r="A43" s="35"/>
      <c r="B43" s="13" t="str">
        <f>CONCATENATE("          ","6008", " - ","STUDENT HOURLY-FICA EXEMPT")</f>
        <v xml:space="preserve">          6008 - STUDENT HOURLY-FICA EXEMPT</v>
      </c>
      <c r="C43" s="15"/>
      <c r="D43" s="2"/>
      <c r="E43" s="2"/>
      <c r="F43" s="2"/>
      <c r="G43" s="2"/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SUM(OSRRefD21_1_7x)+IFERROR(SUM(OSRRefE21_1_7x),0)</f>
        <v>0</v>
      </c>
    </row>
    <row r="44" spans="1:17" s="34" customFormat="1" hidden="1" outlineLevel="1" x14ac:dyDescent="0.25">
      <c r="A44" s="35"/>
      <c r="B44" s="13" t="str">
        <f>CONCATENATE("          ","6009", " - ","TEMPORARY-SEASONAL")</f>
        <v xml:space="preserve">          6009 - TEMPORARY-SEASONAL</v>
      </c>
      <c r="C44" s="15"/>
      <c r="D44" s="2"/>
      <c r="E44" s="2"/>
      <c r="F44" s="2"/>
      <c r="G44" s="2"/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4" customFormat="1" hidden="1" outlineLevel="1" x14ac:dyDescent="0.25">
      <c r="A45" s="35"/>
      <c r="B45" s="13" t="str">
        <f>CONCATENATE("          ","6010", " - ","GRATUITY")</f>
        <v xml:space="preserve">          6010 - GRATUITY</v>
      </c>
      <c r="C45" s="15"/>
      <c r="D45" s="2"/>
      <c r="E45" s="2"/>
      <c r="F45" s="2"/>
      <c r="G45" s="2"/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4" customFormat="1" collapsed="1" x14ac:dyDescent="0.25">
      <c r="A46" s="35"/>
      <c r="B46" s="15" t="str">
        <f>CONCATENATE("     ","Advertising/Promo                                 ")</f>
        <v xml:space="preserve">     Advertising/Promo                                 </v>
      </c>
      <c r="C46" s="15"/>
      <c r="D46" s="1">
        <f>SUM(OSRRefD21_2x_0)</f>
        <v>45.97</v>
      </c>
      <c r="E46" s="1">
        <f>SUM(OSRRefD21_2x_1)</f>
        <v>0</v>
      </c>
      <c r="F46" s="1">
        <f>SUM(OSRRefD21_2x_2)</f>
        <v>49.61</v>
      </c>
      <c r="G46" s="1">
        <f>SUM(OSRRefD21_2x_3)</f>
        <v>15.05</v>
      </c>
      <c r="H46" s="1">
        <f>SUM(OSRRefE21_2x_0)</f>
        <v>0</v>
      </c>
      <c r="I46" s="1">
        <f>SUM(OSRRefE21_2x_1)</f>
        <v>0</v>
      </c>
      <c r="J46" s="1">
        <f>SUM(OSRRefE21_2x_2)</f>
        <v>0</v>
      </c>
      <c r="K46" s="1">
        <f>SUM(OSRRefE21_2x_3)</f>
        <v>0</v>
      </c>
      <c r="L46" s="1">
        <f>SUM(OSRRefE21_2x_4)</f>
        <v>0</v>
      </c>
      <c r="M46" s="1">
        <f>SUM(OSRRefE21_2x_5)</f>
        <v>0</v>
      </c>
      <c r="N46" s="1">
        <f>SUM(OSRRefE21_2x_6)</f>
        <v>0</v>
      </c>
      <c r="O46" s="1">
        <f>SUM(OSRRefE21_2x_7)</f>
        <v>0</v>
      </c>
      <c r="Q46" s="2">
        <f>SUM(OSRRefD20_2x)+IFERROR(SUM(OSRRefE20_2x),0)</f>
        <v>110.63</v>
      </c>
    </row>
    <row r="47" spans="1:17" s="34" customFormat="1" hidden="1" outlineLevel="1" x14ac:dyDescent="0.25">
      <c r="A47" s="35"/>
      <c r="B47" s="13" t="str">
        <f>CONCATENATE("          ","6362", " - ","ADVERTISING EXPENSE")</f>
        <v xml:space="preserve">          6362 - ADVERTISING EXPENSE</v>
      </c>
      <c r="C47" s="15"/>
      <c r="D47" s="2">
        <v>45.97</v>
      </c>
      <c r="E47" s="2"/>
      <c r="F47" s="2">
        <v>49.61</v>
      </c>
      <c r="G47" s="2">
        <v>15.05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SUM(OSRRefD21_2_0x)+IFERROR(SUM(OSRRefE21_2_0x),0)</f>
        <v>110.63</v>
      </c>
    </row>
    <row r="48" spans="1:17" s="34" customFormat="1" collapsed="1" x14ac:dyDescent="0.25">
      <c r="A48" s="35"/>
      <c r="B48" s="15" t="str">
        <f>CONCATENATE("     ","Bad Debts/Over/Short                              ")</f>
        <v xml:space="preserve">     Bad Debts/Over/Short                              </v>
      </c>
      <c r="C48" s="15"/>
      <c r="D48" s="1">
        <f>SUM(OSRRefD21_3x_0)</f>
        <v>0</v>
      </c>
      <c r="E48" s="1">
        <f>SUM(OSRRefD21_3x_1)</f>
        <v>-0.14000000000000001</v>
      </c>
      <c r="F48" s="1">
        <f>SUM(OSRRefD21_3x_2)</f>
        <v>-193.38</v>
      </c>
      <c r="G48" s="1">
        <f>SUM(OSRRefD21_3x_3)</f>
        <v>1531.8</v>
      </c>
      <c r="H48" s="1">
        <f>SUM(OSRRefE21_3x_0)</f>
        <v>0</v>
      </c>
      <c r="I48" s="1">
        <f>SUM(OSRRefE21_3x_1)</f>
        <v>0</v>
      </c>
      <c r="J48" s="1">
        <f>SUM(OSRRefE21_3x_2)</f>
        <v>0</v>
      </c>
      <c r="K48" s="1">
        <f>SUM(OSRRefE21_3x_3)</f>
        <v>0</v>
      </c>
      <c r="L48" s="1">
        <f>SUM(OSRRefE21_3x_4)</f>
        <v>0</v>
      </c>
      <c r="M48" s="1">
        <f>SUM(OSRRefE21_3x_5)</f>
        <v>0</v>
      </c>
      <c r="N48" s="1">
        <f>SUM(OSRRefE21_3x_6)</f>
        <v>0</v>
      </c>
      <c r="O48" s="1">
        <f>SUM(OSRRefE21_3x_7)</f>
        <v>0</v>
      </c>
      <c r="Q48" s="2">
        <f>SUM(OSRRefD20_3x)+IFERROR(SUM(OSRRefE20_3x),0)</f>
        <v>1338.28</v>
      </c>
    </row>
    <row r="49" spans="1:17" s="34" customFormat="1" hidden="1" outlineLevel="1" x14ac:dyDescent="0.25">
      <c r="A49" s="35"/>
      <c r="B49" s="13" t="str">
        <f>CONCATENATE("          ","6272", " - ","CASH (OVER/SHORT)")</f>
        <v xml:space="preserve">          6272 - CASH (OVER/SHORT)</v>
      </c>
      <c r="C49" s="15"/>
      <c r="D49" s="2"/>
      <c r="E49" s="2">
        <v>-0.14000000000000001</v>
      </c>
      <c r="F49" s="2">
        <v>-193.38</v>
      </c>
      <c r="G49" s="2">
        <v>1531.8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SUM(OSRRefD21_3_0x)+IFERROR(SUM(OSRRefE21_3_0x),0)</f>
        <v>1338.28</v>
      </c>
    </row>
    <row r="50" spans="1:17" s="34" customFormat="1" collapsed="1" x14ac:dyDescent="0.25">
      <c r="A50" s="35"/>
      <c r="B50" s="15" t="str">
        <f>CONCATENATE("     ","Bank/card Fees                                    ")</f>
        <v xml:space="preserve">     Bank/card Fees                                    </v>
      </c>
      <c r="C50" s="15"/>
      <c r="D50" s="1">
        <f>SUM(OSRRefD21_4x_0)</f>
        <v>0</v>
      </c>
      <c r="E50" s="1">
        <f>SUM(OSRRefD21_4x_1)</f>
        <v>1.26</v>
      </c>
      <c r="F50" s="1">
        <f>SUM(OSRRefD21_4x_2)</f>
        <v>64.25</v>
      </c>
      <c r="G50" s="1">
        <f>SUM(OSRRefD21_4x_3)</f>
        <v>375.64</v>
      </c>
      <c r="H50" s="1">
        <f>SUM(OSRRefE21_4x_0)</f>
        <v>386</v>
      </c>
      <c r="I50" s="1">
        <f>SUM(OSRRefE21_4x_1)</f>
        <v>349</v>
      </c>
      <c r="J50" s="1">
        <f>SUM(OSRRefE21_4x_2)</f>
        <v>293</v>
      </c>
      <c r="K50" s="1">
        <f>SUM(OSRRefE21_4x_3)</f>
        <v>319</v>
      </c>
      <c r="L50" s="1">
        <f>SUM(OSRRefE21_4x_4)</f>
        <v>486</v>
      </c>
      <c r="M50" s="1">
        <f>SUM(OSRRefE21_4x_5)</f>
        <v>615</v>
      </c>
      <c r="N50" s="1">
        <f>SUM(OSRRefE21_4x_6)</f>
        <v>398</v>
      </c>
      <c r="O50" s="1">
        <f>SUM(OSRRefE21_4x_7)</f>
        <v>413</v>
      </c>
      <c r="Q50" s="2">
        <f>SUM(OSRRefD20_4x)+IFERROR(SUM(OSRRefE20_4x),0)</f>
        <v>3700.15</v>
      </c>
    </row>
    <row r="51" spans="1:17" s="34" customFormat="1" hidden="1" outlineLevel="1" x14ac:dyDescent="0.25">
      <c r="A51" s="35"/>
      <c r="B51" s="13" t="str">
        <f>CONCATENATE("          ","6381", " - ","BANK/CREDIT CARD FEES")</f>
        <v xml:space="preserve">          6381 - BANK/CREDIT CARD FEES</v>
      </c>
      <c r="C51" s="15"/>
      <c r="D51" s="2"/>
      <c r="E51" s="2">
        <v>1.26</v>
      </c>
      <c r="F51" s="2">
        <v>64.25</v>
      </c>
      <c r="G51" s="2">
        <v>375.64</v>
      </c>
      <c r="H51" s="2">
        <v>386</v>
      </c>
      <c r="I51" s="2">
        <v>349</v>
      </c>
      <c r="J51" s="2">
        <v>293</v>
      </c>
      <c r="K51" s="2">
        <v>319</v>
      </c>
      <c r="L51" s="2">
        <v>486</v>
      </c>
      <c r="M51" s="2">
        <v>615</v>
      </c>
      <c r="N51" s="2">
        <v>398</v>
      </c>
      <c r="O51" s="2">
        <v>413</v>
      </c>
      <c r="P51" s="9"/>
      <c r="Q51" s="2">
        <f>SUM(OSRRefD21_4_0x)+IFERROR(SUM(OSRRefE21_4_0x),0)</f>
        <v>3700.15</v>
      </c>
    </row>
    <row r="52" spans="1:17" s="34" customFormat="1" collapsed="1" x14ac:dyDescent="0.25">
      <c r="A52" s="35"/>
      <c r="B52" s="15" t="str">
        <f>CONCATENATE("     ","Depreciation                                      ")</f>
        <v xml:space="preserve">     Depreciation                                      </v>
      </c>
      <c r="C52" s="15"/>
      <c r="D52" s="1">
        <f>SUM(OSRRefD21_5x_0)</f>
        <v>13686.96</v>
      </c>
      <c r="E52" s="1">
        <f>SUM(OSRRefD21_5x_1)</f>
        <v>13968.220000000001</v>
      </c>
      <c r="F52" s="1">
        <f>SUM(OSRRefD21_5x_2)</f>
        <v>13959.7</v>
      </c>
      <c r="G52" s="1">
        <f>SUM(OSRRefD21_5x_3)</f>
        <v>13959.68</v>
      </c>
      <c r="H52" s="1">
        <f>SUM(OSRRefE21_5x_0)</f>
        <v>13630</v>
      </c>
      <c r="I52" s="1">
        <f>SUM(OSRRefE21_5x_1)</f>
        <v>13630</v>
      </c>
      <c r="J52" s="1">
        <f>SUM(OSRRefE21_5x_2)</f>
        <v>13630</v>
      </c>
      <c r="K52" s="1">
        <f>SUM(OSRRefE21_5x_3)</f>
        <v>13630</v>
      </c>
      <c r="L52" s="1">
        <f>SUM(OSRRefE21_5x_4)</f>
        <v>13630</v>
      </c>
      <c r="M52" s="1">
        <f>SUM(OSRRefE21_5x_5)</f>
        <v>13630</v>
      </c>
      <c r="N52" s="1">
        <f>SUM(OSRRefE21_5x_6)</f>
        <v>13630</v>
      </c>
      <c r="O52" s="1">
        <f>SUM(OSRRefE21_5x_7)</f>
        <v>13630</v>
      </c>
      <c r="Q52" s="2">
        <f>SUM(OSRRefD20_5x)+IFERROR(SUM(OSRRefE20_5x),0)</f>
        <v>164614.56</v>
      </c>
    </row>
    <row r="53" spans="1:17" s="34" customFormat="1" hidden="1" outlineLevel="1" x14ac:dyDescent="0.25">
      <c r="A53" s="35"/>
      <c r="B53" s="13" t="str">
        <f>CONCATENATE("          ","6321", " - ","BUILDING DEPRECIATION")</f>
        <v xml:space="preserve">          6321 - BUILDING DEPRECIATION</v>
      </c>
      <c r="C53" s="15"/>
      <c r="D53" s="2">
        <v>10597.26</v>
      </c>
      <c r="E53" s="2">
        <v>10597.26</v>
      </c>
      <c r="F53" s="2">
        <v>10597.26</v>
      </c>
      <c r="G53" s="2">
        <v>10597.26</v>
      </c>
      <c r="H53" s="2"/>
      <c r="I53" s="2"/>
      <c r="J53" s="2"/>
      <c r="K53" s="2"/>
      <c r="L53" s="2"/>
      <c r="M53" s="2"/>
      <c r="N53" s="2"/>
      <c r="O53" s="2"/>
      <c r="P53" s="9"/>
      <c r="Q53" s="2">
        <f>SUM(OSRRefD21_5_0x)+IFERROR(SUM(OSRRefE21_5_0x),0)</f>
        <v>42389.04</v>
      </c>
    </row>
    <row r="54" spans="1:17" s="34" customFormat="1" hidden="1" outlineLevel="1" x14ac:dyDescent="0.25">
      <c r="A54" s="35"/>
      <c r="B54" s="13" t="str">
        <f>CONCATENATE("          ","6322", " - ","EQUIPMENT DEPRECIATION EXPENSE")</f>
        <v xml:space="preserve">          6322 - EQUIPMENT DEPRECIATION EXPENSE</v>
      </c>
      <c r="C54" s="15"/>
      <c r="D54" s="2">
        <v>3089.7</v>
      </c>
      <c r="E54" s="2">
        <v>3370.96</v>
      </c>
      <c r="F54" s="2">
        <v>3362.44</v>
      </c>
      <c r="G54" s="2">
        <v>3362.42</v>
      </c>
      <c r="H54" s="2">
        <v>13630</v>
      </c>
      <c r="I54" s="2">
        <v>13630</v>
      </c>
      <c r="J54" s="2">
        <v>13630</v>
      </c>
      <c r="K54" s="2">
        <v>13630</v>
      </c>
      <c r="L54" s="2">
        <v>13630</v>
      </c>
      <c r="M54" s="2">
        <v>13630</v>
      </c>
      <c r="N54" s="2">
        <v>13630</v>
      </c>
      <c r="O54" s="2">
        <v>13630</v>
      </c>
      <c r="P54" s="9"/>
      <c r="Q54" s="2">
        <f>SUM(OSRRefD21_5_1x)+IFERROR(SUM(OSRRefE21_5_1x),0)</f>
        <v>122225.52</v>
      </c>
    </row>
    <row r="55" spans="1:17" s="34" customFormat="1" collapsed="1" x14ac:dyDescent="0.25">
      <c r="A55" s="35"/>
      <c r="B55" s="15" t="str">
        <f>CONCATENATE("     ","Employees' Appreciation                           ")</f>
        <v xml:space="preserve">     Employees' Appreciation                           </v>
      </c>
      <c r="C55" s="15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SUM(OSRRefE21_6x_0)</f>
        <v>0</v>
      </c>
      <c r="I55" s="1">
        <f>SUM(OSRRefE21_6x_1)</f>
        <v>0</v>
      </c>
      <c r="J55" s="1">
        <f>SUM(OSRRefE21_6x_2)</f>
        <v>0</v>
      </c>
      <c r="K55" s="1">
        <f>SUM(OSRRefE21_6x_3)</f>
        <v>0</v>
      </c>
      <c r="L55" s="1">
        <f>SUM(OSRRefE21_6x_4)</f>
        <v>0</v>
      </c>
      <c r="M55" s="1">
        <f>SUM(OSRRefE21_6x_5)</f>
        <v>0</v>
      </c>
      <c r="N55" s="1">
        <f>SUM(OSRRefE21_6x_6)</f>
        <v>0</v>
      </c>
      <c r="O55" s="1">
        <f>SUM(OSRRefE21_6x_7)</f>
        <v>0</v>
      </c>
      <c r="Q55" s="2">
        <f>SUM(OSRRefD20_6x)+IFERROR(SUM(OSRRefE20_6x),0)</f>
        <v>0</v>
      </c>
    </row>
    <row r="56" spans="1:17" s="34" customFormat="1" hidden="1" outlineLevel="1" x14ac:dyDescent="0.25">
      <c r="A56" s="35"/>
      <c r="B56" s="13" t="str">
        <f>CONCATENATE("          ","6277", " - ","EMPLOYEE APPRECIATION")</f>
        <v xml:space="preserve">          6277 - EMPLOYEE APPRECIATION</v>
      </c>
      <c r="C56" s="15"/>
      <c r="D56" s="2"/>
      <c r="E56" s="2"/>
      <c r="F56" s="2"/>
      <c r="G56" s="2"/>
      <c r="H56" s="2"/>
      <c r="I56" s="2">
        <v>0</v>
      </c>
      <c r="J56" s="2"/>
      <c r="K56" s="2"/>
      <c r="L56" s="2"/>
      <c r="M56" s="2"/>
      <c r="N56" s="2">
        <v>0</v>
      </c>
      <c r="O56" s="2"/>
      <c r="P56" s="9"/>
      <c r="Q56" s="2">
        <f>SUM(OSRRefD21_6_0x)+IFERROR(SUM(OSRRefE21_6_0x),0)</f>
        <v>0</v>
      </c>
    </row>
    <row r="57" spans="1:17" s="34" customFormat="1" collapsed="1" x14ac:dyDescent="0.25">
      <c r="A57" s="35"/>
      <c r="B57" s="15" t="str">
        <f>CONCATENATE("     ","Equipment Rental                                  ")</f>
        <v xml:space="preserve">     Equipment Rental                                  </v>
      </c>
      <c r="C57" s="15"/>
      <c r="D57" s="1">
        <f>SUM(OSRRefD21_7x_0)</f>
        <v>105.61</v>
      </c>
      <c r="E57" s="1">
        <f>SUM(OSRRefD21_7x_1)</f>
        <v>72.540000000000006</v>
      </c>
      <c r="F57" s="1">
        <f>SUM(OSRRefD21_7x_2)</f>
        <v>0</v>
      </c>
      <c r="G57" s="1">
        <f>SUM(OSRRefD21_7x_3)</f>
        <v>407.23</v>
      </c>
      <c r="H57" s="1">
        <f>SUM(OSRRefE21_7x_0)</f>
        <v>101</v>
      </c>
      <c r="I57" s="1">
        <f>SUM(OSRRefE21_7x_1)</f>
        <v>95</v>
      </c>
      <c r="J57" s="1">
        <f>SUM(OSRRefE21_7x_2)</f>
        <v>166</v>
      </c>
      <c r="K57" s="1">
        <f>SUM(OSRRefE21_7x_3)</f>
        <v>103</v>
      </c>
      <c r="L57" s="1">
        <f>SUM(OSRRefE21_7x_4)</f>
        <v>120</v>
      </c>
      <c r="M57" s="1">
        <f>SUM(OSRRefE21_7x_5)</f>
        <v>146</v>
      </c>
      <c r="N57" s="1">
        <f>SUM(OSRRefE21_7x_6)</f>
        <v>146</v>
      </c>
      <c r="O57" s="1">
        <f>SUM(OSRRefE21_7x_7)</f>
        <v>95</v>
      </c>
      <c r="Q57" s="2">
        <f>SUM(OSRRefD20_7x)+IFERROR(SUM(OSRRefE20_7x),0)</f>
        <v>1557.38</v>
      </c>
    </row>
    <row r="58" spans="1:17" s="34" customFormat="1" hidden="1" outlineLevel="1" x14ac:dyDescent="0.25">
      <c r="A58" s="35"/>
      <c r="B58" s="13" t="str">
        <f>CONCATENATE("          ","6351", " - ","EQUIPMENT RENTAL")</f>
        <v xml:space="preserve">          6351 - EQUIPMENT RENTAL</v>
      </c>
      <c r="C58" s="15"/>
      <c r="D58" s="2">
        <v>105.61</v>
      </c>
      <c r="E58" s="2">
        <v>72.540000000000006</v>
      </c>
      <c r="F58" s="2"/>
      <c r="G58" s="2">
        <v>407.23</v>
      </c>
      <c r="H58" s="2">
        <v>101</v>
      </c>
      <c r="I58" s="2">
        <v>95</v>
      </c>
      <c r="J58" s="2">
        <v>166</v>
      </c>
      <c r="K58" s="2">
        <v>103</v>
      </c>
      <c r="L58" s="2">
        <v>120</v>
      </c>
      <c r="M58" s="2">
        <v>146</v>
      </c>
      <c r="N58" s="2">
        <v>146</v>
      </c>
      <c r="O58" s="2">
        <v>95</v>
      </c>
      <c r="P58" s="9"/>
      <c r="Q58" s="2">
        <f>SUM(OSRRefD21_7_0x)+IFERROR(SUM(OSRRefE21_7_0x),0)</f>
        <v>1557.38</v>
      </c>
    </row>
    <row r="59" spans="1:17" s="34" customFormat="1" collapsed="1" x14ac:dyDescent="0.25">
      <c r="A59" s="35"/>
      <c r="B59" s="15" t="str">
        <f>CONCATENATE("     ","General                                           ")</f>
        <v xml:space="preserve">     General                                           </v>
      </c>
      <c r="C59" s="15"/>
      <c r="D59" s="1">
        <f>SUM(OSRRefD21_8x_0)</f>
        <v>1404.55</v>
      </c>
      <c r="E59" s="1">
        <f>SUM(OSRRefD21_8x_1)</f>
        <v>0</v>
      </c>
      <c r="F59" s="1">
        <f>SUM(OSRRefD21_8x_2)</f>
        <v>550.52</v>
      </c>
      <c r="G59" s="1">
        <f>SUM(OSRRefD21_8x_3)</f>
        <v>0</v>
      </c>
      <c r="H59" s="1">
        <f>SUM(OSRRefE21_8x_0)</f>
        <v>0</v>
      </c>
      <c r="I59" s="1">
        <f>SUM(OSRRefE21_8x_1)</f>
        <v>455</v>
      </c>
      <c r="J59" s="1">
        <f>SUM(OSRRefE21_8x_2)</f>
        <v>0</v>
      </c>
      <c r="K59" s="1">
        <f>SUM(OSRRefE21_8x_3)</f>
        <v>0</v>
      </c>
      <c r="L59" s="1">
        <f>SUM(OSRRefE21_8x_4)</f>
        <v>0</v>
      </c>
      <c r="M59" s="1">
        <f>SUM(OSRRefE21_8x_5)</f>
        <v>0</v>
      </c>
      <c r="N59" s="1">
        <f>SUM(OSRRefE21_8x_6)</f>
        <v>0</v>
      </c>
      <c r="O59" s="1">
        <f>SUM(OSRRefE21_8x_7)</f>
        <v>0</v>
      </c>
      <c r="Q59" s="2">
        <f>SUM(OSRRefD20_8x)+IFERROR(SUM(OSRRefE20_8x),0)</f>
        <v>2410.0699999999997</v>
      </c>
    </row>
    <row r="60" spans="1:17" s="34" customFormat="1" hidden="1" outlineLevel="1" x14ac:dyDescent="0.25">
      <c r="A60" s="35"/>
      <c r="B60" s="13" t="str">
        <f>CONCATENATE("          ","6279", " - ","GENERAL EXPENSE")</f>
        <v xml:space="preserve">          6279 - GENERAL EXPENSE</v>
      </c>
      <c r="C60" s="15"/>
      <c r="D60" s="2">
        <v>1404.55</v>
      </c>
      <c r="E60" s="2"/>
      <c r="F60" s="2">
        <v>550.52</v>
      </c>
      <c r="G60" s="2"/>
      <c r="H60" s="2">
        <v>0</v>
      </c>
      <c r="I60" s="2">
        <v>455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SUM(OSRRefD21_8_0x)+IFERROR(SUM(OSRRefE21_8_0x),0)</f>
        <v>2410.0699999999997</v>
      </c>
    </row>
    <row r="61" spans="1:17" s="34" customFormat="1" collapsed="1" x14ac:dyDescent="0.25">
      <c r="A61" s="35"/>
      <c r="B61" s="15" t="str">
        <f>CONCATENATE("     ","Insurance                                         ")</f>
        <v xml:space="preserve">     Insurance                                         </v>
      </c>
      <c r="C61" s="15"/>
      <c r="D61" s="1">
        <f>SUM(OSRRefD21_9x_0)</f>
        <v>641.28</v>
      </c>
      <c r="E61" s="1">
        <f>SUM(OSRRefD21_9x_1)</f>
        <v>641.28</v>
      </c>
      <c r="F61" s="1">
        <f>SUM(OSRRefD21_9x_2)</f>
        <v>641.28</v>
      </c>
      <c r="G61" s="1">
        <f>SUM(OSRRefD21_9x_3)</f>
        <v>641.28</v>
      </c>
      <c r="H61" s="1">
        <f>SUM(OSRRefE21_9x_0)</f>
        <v>705</v>
      </c>
      <c r="I61" s="1">
        <f>SUM(OSRRefE21_9x_1)</f>
        <v>705</v>
      </c>
      <c r="J61" s="1">
        <f>SUM(OSRRefE21_9x_2)</f>
        <v>705</v>
      </c>
      <c r="K61" s="1">
        <f>SUM(OSRRefE21_9x_3)</f>
        <v>705</v>
      </c>
      <c r="L61" s="1">
        <f>SUM(OSRRefE21_9x_4)</f>
        <v>705</v>
      </c>
      <c r="M61" s="1">
        <f>SUM(OSRRefE21_9x_5)</f>
        <v>705</v>
      </c>
      <c r="N61" s="1">
        <f>SUM(OSRRefE21_9x_6)</f>
        <v>705</v>
      </c>
      <c r="O61" s="1">
        <f>SUM(OSRRefE21_9x_7)</f>
        <v>705</v>
      </c>
      <c r="Q61" s="2">
        <f>SUM(OSRRefD20_9x)+IFERROR(SUM(OSRRefE20_9x),0)</f>
        <v>8205.119999999999</v>
      </c>
    </row>
    <row r="62" spans="1:17" s="34" customFormat="1" hidden="1" outlineLevel="1" x14ac:dyDescent="0.25">
      <c r="A62" s="35"/>
      <c r="B62" s="13" t="str">
        <f>CONCATENATE("          ","6314", " - ","LIABILITY INSURANCE")</f>
        <v xml:space="preserve">          6314 - LIABILITY INSURANCE</v>
      </c>
      <c r="C62" s="15"/>
      <c r="D62" s="2">
        <v>641.28</v>
      </c>
      <c r="E62" s="2">
        <v>641.28</v>
      </c>
      <c r="F62" s="2">
        <v>641.28</v>
      </c>
      <c r="G62" s="2">
        <v>641.28</v>
      </c>
      <c r="H62" s="2">
        <v>705</v>
      </c>
      <c r="I62" s="2">
        <v>705</v>
      </c>
      <c r="J62" s="2">
        <v>705</v>
      </c>
      <c r="K62" s="2">
        <v>705</v>
      </c>
      <c r="L62" s="2">
        <v>705</v>
      </c>
      <c r="M62" s="2">
        <v>705</v>
      </c>
      <c r="N62" s="2">
        <v>705</v>
      </c>
      <c r="O62" s="2">
        <v>705</v>
      </c>
      <c r="P62" s="9"/>
      <c r="Q62" s="2">
        <f>SUM(OSRRefD21_9_0x)+IFERROR(SUM(OSRRefE21_9_0x),0)</f>
        <v>8205.119999999999</v>
      </c>
    </row>
    <row r="63" spans="1:17" s="34" customFormat="1" collapsed="1" x14ac:dyDescent="0.25">
      <c r="A63" s="35"/>
      <c r="B63" s="15" t="str">
        <f>CONCATENATE("     ","Interest                                          ")</f>
        <v xml:space="preserve">     Interest                                          </v>
      </c>
      <c r="C63" s="15"/>
      <c r="D63" s="1">
        <f>SUM(OSRRefD21_10x_0)</f>
        <v>7510</v>
      </c>
      <c r="E63" s="1">
        <f>SUM(OSRRefD21_10x_1)</f>
        <v>7510</v>
      </c>
      <c r="F63" s="1">
        <f>SUM(OSRRefD21_10x_2)</f>
        <v>7510</v>
      </c>
      <c r="G63" s="1">
        <f>SUM(OSRRefD21_10x_3)</f>
        <v>7023.15</v>
      </c>
      <c r="H63" s="1">
        <f>SUM(OSRRefE21_10x_0)</f>
        <v>7510</v>
      </c>
      <c r="I63" s="1">
        <f>SUM(OSRRefE21_10x_1)</f>
        <v>7510</v>
      </c>
      <c r="J63" s="1">
        <f>SUM(OSRRefE21_10x_2)</f>
        <v>7510</v>
      </c>
      <c r="K63" s="1">
        <f>SUM(OSRRefE21_10x_3)</f>
        <v>7510</v>
      </c>
      <c r="L63" s="1">
        <f>SUM(OSRRefE21_10x_4)</f>
        <v>7510</v>
      </c>
      <c r="M63" s="1">
        <f>SUM(OSRRefE21_10x_5)</f>
        <v>7510</v>
      </c>
      <c r="N63" s="1">
        <f>SUM(OSRRefE21_10x_6)</f>
        <v>7253</v>
      </c>
      <c r="O63" s="1">
        <f>SUM(OSRRefE21_10x_7)</f>
        <v>7253</v>
      </c>
      <c r="Q63" s="2">
        <f>SUM(OSRRefD20_10x)+IFERROR(SUM(OSRRefE20_10x),0)</f>
        <v>89119.15</v>
      </c>
    </row>
    <row r="64" spans="1:17" s="34" customFormat="1" hidden="1" outlineLevel="1" x14ac:dyDescent="0.25">
      <c r="A64" s="35"/>
      <c r="B64" s="13" t="str">
        <f>CONCATENATE("          ","6401", " - ","INTEREST EXPENSE")</f>
        <v xml:space="preserve">          6401 - INTEREST EXPENSE</v>
      </c>
      <c r="C64" s="15"/>
      <c r="D64" s="2">
        <v>7510</v>
      </c>
      <c r="E64" s="2">
        <v>7510</v>
      </c>
      <c r="F64" s="2">
        <v>7510</v>
      </c>
      <c r="G64" s="2">
        <v>7023.15</v>
      </c>
      <c r="H64" s="2">
        <v>7510</v>
      </c>
      <c r="I64" s="2">
        <v>7510</v>
      </c>
      <c r="J64" s="2">
        <v>7510</v>
      </c>
      <c r="K64" s="2">
        <v>7510</v>
      </c>
      <c r="L64" s="2">
        <v>7510</v>
      </c>
      <c r="M64" s="2">
        <v>7510</v>
      </c>
      <c r="N64" s="2">
        <v>7253</v>
      </c>
      <c r="O64" s="2">
        <v>7253</v>
      </c>
      <c r="P64" s="9"/>
      <c r="Q64" s="2">
        <f>SUM(OSRRefD21_10_0x)+IFERROR(SUM(OSRRefE21_10_0x),0)</f>
        <v>89119.15</v>
      </c>
    </row>
    <row r="65" spans="1:17" s="34" customFormat="1" collapsed="1" x14ac:dyDescent="0.25">
      <c r="A65" s="35"/>
      <c r="B65" s="15" t="str">
        <f>CONCATENATE("     ","Repair and Maintenance                            ")</f>
        <v xml:space="preserve">     Repair and Maintenance                            </v>
      </c>
      <c r="C65" s="15"/>
      <c r="D65" s="1">
        <f>SUM(OSRRefD21_11x_0)</f>
        <v>4071.8999999999996</v>
      </c>
      <c r="E65" s="1">
        <f>SUM(OSRRefD21_11x_1)</f>
        <v>2416.6</v>
      </c>
      <c r="F65" s="1">
        <f>SUM(OSRRefD21_11x_2)</f>
        <v>1350.46</v>
      </c>
      <c r="G65" s="1">
        <f>SUM(OSRRefD21_11x_3)</f>
        <v>3999.35</v>
      </c>
      <c r="H65" s="1">
        <f>SUM(OSRRefE21_11x_0)</f>
        <v>1000</v>
      </c>
      <c r="I65" s="1">
        <f>SUM(OSRRefE21_11x_1)</f>
        <v>1000</v>
      </c>
      <c r="J65" s="1">
        <f>SUM(OSRRefE21_11x_2)</f>
        <v>1000</v>
      </c>
      <c r="K65" s="1">
        <f>SUM(OSRRefE21_11x_3)</f>
        <v>1000</v>
      </c>
      <c r="L65" s="1">
        <f>SUM(OSRRefE21_11x_4)</f>
        <v>1000</v>
      </c>
      <c r="M65" s="1">
        <f>SUM(OSRRefE21_11x_5)</f>
        <v>1000</v>
      </c>
      <c r="N65" s="1">
        <f>SUM(OSRRefE21_11x_6)</f>
        <v>1000</v>
      </c>
      <c r="O65" s="1">
        <f>SUM(OSRRefE21_11x_7)</f>
        <v>0</v>
      </c>
      <c r="Q65" s="2">
        <f>SUM(OSRRefD20_11x)+IFERROR(SUM(OSRRefE20_11x),0)</f>
        <v>18838.309999999998</v>
      </c>
    </row>
    <row r="66" spans="1:17" s="34" customFormat="1" hidden="1" outlineLevel="1" x14ac:dyDescent="0.25">
      <c r="A66" s="35"/>
      <c r="B66" s="13" t="str">
        <f>CONCATENATE("          ","6373", " - ","MAINTENANCE CONTRACTS")</f>
        <v xml:space="preserve">          6373 - MAINTENANCE CONTRACTS</v>
      </c>
      <c r="C66" s="15"/>
      <c r="D66" s="2">
        <v>2352.54</v>
      </c>
      <c r="E66" s="2">
        <v>157.19999999999999</v>
      </c>
      <c r="F66" s="2">
        <v>798.64</v>
      </c>
      <c r="G66" s="2">
        <v>3179.44</v>
      </c>
      <c r="H66" s="2"/>
      <c r="I66" s="2"/>
      <c r="J66" s="2"/>
      <c r="K66" s="2"/>
      <c r="L66" s="2"/>
      <c r="M66" s="2"/>
      <c r="N66" s="2"/>
      <c r="O66" s="2"/>
      <c r="P66" s="9"/>
      <c r="Q66" s="2">
        <f>SUM(OSRRefD21_11_0x)+IFERROR(SUM(OSRRefE21_11_0x),0)</f>
        <v>6487.82</v>
      </c>
    </row>
    <row r="67" spans="1:17" s="34" customFormat="1" hidden="1" outlineLevel="1" x14ac:dyDescent="0.25">
      <c r="A67" s="35"/>
      <c r="B67" s="13" t="str">
        <f>CONCATENATE("          ","6375", " - ","OUTSIDE REPAIRS &amp; MAINTENANCE")</f>
        <v xml:space="preserve">          6375 - OUTSIDE REPAIRS &amp; MAINTENANCE</v>
      </c>
      <c r="C67" s="15"/>
      <c r="D67" s="2">
        <v>1719.36</v>
      </c>
      <c r="E67" s="2">
        <v>2259.4</v>
      </c>
      <c r="F67" s="2">
        <v>551.82000000000005</v>
      </c>
      <c r="G67" s="2">
        <v>819.91</v>
      </c>
      <c r="H67" s="2">
        <v>1000</v>
      </c>
      <c r="I67" s="2">
        <v>1000</v>
      </c>
      <c r="J67" s="2">
        <v>1000</v>
      </c>
      <c r="K67" s="2">
        <v>1000</v>
      </c>
      <c r="L67" s="2">
        <v>1000</v>
      </c>
      <c r="M67" s="2">
        <v>1000</v>
      </c>
      <c r="N67" s="2">
        <v>1000</v>
      </c>
      <c r="O67" s="2"/>
      <c r="P67" s="9"/>
      <c r="Q67" s="2">
        <f>SUM(OSRRefD21_11_1x)+IFERROR(SUM(OSRRefE21_11_1x),0)</f>
        <v>12350.49</v>
      </c>
    </row>
    <row r="68" spans="1:17" s="34" customFormat="1" collapsed="1" x14ac:dyDescent="0.25">
      <c r="A68" s="35"/>
      <c r="B68" s="15" t="str">
        <f>CONCATENATE("     ","Services                                          ")</f>
        <v xml:space="preserve">     Services                                          </v>
      </c>
      <c r="C68" s="15"/>
      <c r="D68" s="1">
        <f>SUM(OSRRefD21_12x_0)</f>
        <v>1000</v>
      </c>
      <c r="E68" s="1">
        <f>SUM(OSRRefD21_12x_1)</f>
        <v>4789.1799999999994</v>
      </c>
      <c r="F68" s="1">
        <f>SUM(OSRRefD21_12x_2)</f>
        <v>4131.68</v>
      </c>
      <c r="G68" s="1">
        <f>SUM(OSRRefD21_12x_3)</f>
        <v>2083.73</v>
      </c>
      <c r="H68" s="1">
        <f>SUM(OSRRefE21_12x_0)</f>
        <v>3993</v>
      </c>
      <c r="I68" s="1">
        <f>SUM(OSRRefE21_12x_1)</f>
        <v>4141</v>
      </c>
      <c r="J68" s="1">
        <f>SUM(OSRRefE21_12x_2)</f>
        <v>5001</v>
      </c>
      <c r="K68" s="1">
        <f>SUM(OSRRefE21_12x_3)</f>
        <v>4356</v>
      </c>
      <c r="L68" s="1">
        <f>SUM(OSRRefE21_12x_4)</f>
        <v>3993</v>
      </c>
      <c r="M68" s="1">
        <f>SUM(OSRRefE21_12x_5)</f>
        <v>4141</v>
      </c>
      <c r="N68" s="1">
        <f>SUM(OSRRefE21_12x_6)</f>
        <v>3993</v>
      </c>
      <c r="O68" s="1">
        <f>SUM(OSRRefE21_12x_7)</f>
        <v>4141</v>
      </c>
      <c r="Q68" s="2">
        <f>SUM(OSRRefD20_12x)+IFERROR(SUM(OSRRefE20_12x),0)</f>
        <v>45763.59</v>
      </c>
    </row>
    <row r="69" spans="1:17" s="34" customFormat="1" hidden="1" outlineLevel="1" x14ac:dyDescent="0.25">
      <c r="A69" s="35"/>
      <c r="B69" s="13" t="str">
        <f>CONCATENATE("          ","6282", " - ","JANITORIAL/EXTERMINATOR EXPENS")</f>
        <v xml:space="preserve">          6282 - JANITORIAL/EXTERMINATOR EXPENS</v>
      </c>
      <c r="C69" s="15"/>
      <c r="D69" s="2"/>
      <c r="E69" s="2">
        <v>485.89</v>
      </c>
      <c r="F69" s="2">
        <v>8.36</v>
      </c>
      <c r="G69" s="2">
        <v>971.78</v>
      </c>
      <c r="H69" s="2">
        <v>329</v>
      </c>
      <c r="I69" s="2">
        <v>329</v>
      </c>
      <c r="J69" s="2">
        <v>329</v>
      </c>
      <c r="K69" s="2">
        <v>329</v>
      </c>
      <c r="L69" s="2">
        <v>329</v>
      </c>
      <c r="M69" s="2">
        <v>329</v>
      </c>
      <c r="N69" s="2">
        <v>329</v>
      </c>
      <c r="O69" s="2">
        <v>329</v>
      </c>
      <c r="P69" s="9"/>
      <c r="Q69" s="2">
        <f>SUM(OSRRefD21_12_0x)+IFERROR(SUM(OSRRefE21_12_0x),0)</f>
        <v>4098.03</v>
      </c>
    </row>
    <row r="70" spans="1:17" s="34" customFormat="1" hidden="1" outlineLevel="1" x14ac:dyDescent="0.25">
      <c r="A70" s="35"/>
      <c r="B70" s="13" t="str">
        <f>CONCATENATE("          ","6284", " - ","TRASH REMOVAL EXPENSE")</f>
        <v xml:space="preserve">          6284 - TRASH REMOVAL EXPENSE</v>
      </c>
      <c r="C70" s="15"/>
      <c r="D70" s="2">
        <v>1000</v>
      </c>
      <c r="E70" s="2">
        <v>1000</v>
      </c>
      <c r="F70" s="2">
        <v>761</v>
      </c>
      <c r="G70" s="2">
        <v>1000</v>
      </c>
      <c r="H70" s="2">
        <v>623</v>
      </c>
      <c r="I70" s="2">
        <v>623</v>
      </c>
      <c r="J70" s="2">
        <v>623</v>
      </c>
      <c r="K70" s="2">
        <v>623</v>
      </c>
      <c r="L70" s="2">
        <v>623</v>
      </c>
      <c r="M70" s="2">
        <v>623</v>
      </c>
      <c r="N70" s="2">
        <v>623</v>
      </c>
      <c r="O70" s="2">
        <v>623</v>
      </c>
      <c r="P70" s="9"/>
      <c r="Q70" s="2">
        <f>SUM(OSRRefD21_12_1x)+IFERROR(SUM(OSRRefE21_12_1x),0)</f>
        <v>8745</v>
      </c>
    </row>
    <row r="71" spans="1:17" s="34" customFormat="1" hidden="1" outlineLevel="1" x14ac:dyDescent="0.25">
      <c r="A71" s="35"/>
      <c r="B71" s="13" t="str">
        <f>CONCATENATE("          ","6285", " - ","JANITORIAL SERVICES")</f>
        <v xml:space="preserve">          6285 - JANITORIAL SERVICES</v>
      </c>
      <c r="C71" s="15"/>
      <c r="D71" s="2"/>
      <c r="E71" s="2">
        <v>3155.58</v>
      </c>
      <c r="F71" s="2">
        <v>3256.35</v>
      </c>
      <c r="G71" s="2"/>
      <c r="H71" s="2">
        <v>3041</v>
      </c>
      <c r="I71" s="2">
        <v>3041</v>
      </c>
      <c r="J71" s="2">
        <v>4049</v>
      </c>
      <c r="K71" s="2">
        <v>3256</v>
      </c>
      <c r="L71" s="2">
        <v>3041</v>
      </c>
      <c r="M71" s="2">
        <v>3041</v>
      </c>
      <c r="N71" s="2">
        <v>3041</v>
      </c>
      <c r="O71" s="2">
        <v>3041</v>
      </c>
      <c r="P71" s="9"/>
      <c r="Q71" s="2">
        <f>SUM(OSRRefD21_12_2x)+IFERROR(SUM(OSRRefE21_12_2x),0)</f>
        <v>31962.93</v>
      </c>
    </row>
    <row r="72" spans="1:17" s="34" customFormat="1" hidden="1" outlineLevel="1" x14ac:dyDescent="0.25">
      <c r="A72" s="35"/>
      <c r="B72" s="13" t="str">
        <f>CONCATENATE("          ","6286", " - ","LAUNDRY EXPENSE")</f>
        <v xml:space="preserve">          6286 - LAUNDRY EXPENSE</v>
      </c>
      <c r="C72" s="15"/>
      <c r="D72" s="2"/>
      <c r="E72" s="2">
        <v>147.71</v>
      </c>
      <c r="F72" s="2">
        <v>105.97</v>
      </c>
      <c r="G72" s="2">
        <v>111.95</v>
      </c>
      <c r="H72" s="2"/>
      <c r="I72" s="2">
        <v>148</v>
      </c>
      <c r="J72" s="2"/>
      <c r="K72" s="2">
        <v>148</v>
      </c>
      <c r="L72" s="2"/>
      <c r="M72" s="2">
        <v>148</v>
      </c>
      <c r="N72" s="2"/>
      <c r="O72" s="2">
        <v>148</v>
      </c>
      <c r="P72" s="9"/>
      <c r="Q72" s="2">
        <f>SUM(OSRRefD21_12_3x)+IFERROR(SUM(OSRRefE21_12_3x),0)</f>
        <v>957.63</v>
      </c>
    </row>
    <row r="73" spans="1:17" s="34" customFormat="1" collapsed="1" x14ac:dyDescent="0.25">
      <c r="A73" s="35"/>
      <c r="B73" s="15" t="str">
        <f>CONCATENATE("     ","Subscriptions &amp; Dues                              ")</f>
        <v xml:space="preserve">     Subscriptions &amp; Dues                              </v>
      </c>
      <c r="C73" s="15"/>
      <c r="D73" s="1">
        <f>SUM(OSRRefD21_13x_0)</f>
        <v>9.32</v>
      </c>
      <c r="E73" s="1">
        <f>SUM(OSRRefD21_13x_1)</f>
        <v>0</v>
      </c>
      <c r="F73" s="1">
        <f>SUM(OSRRefD21_13x_2)</f>
        <v>131.34</v>
      </c>
      <c r="G73" s="1">
        <f>SUM(OSRRefD21_13x_3)</f>
        <v>130.66999999999999</v>
      </c>
      <c r="H73" s="1">
        <f>SUM(OSRRefE21_13x_0)</f>
        <v>197</v>
      </c>
      <c r="I73" s="1">
        <f>SUM(OSRRefE21_13x_1)</f>
        <v>197</v>
      </c>
      <c r="J73" s="1">
        <f>SUM(OSRRefE21_13x_2)</f>
        <v>197</v>
      </c>
      <c r="K73" s="1">
        <f>SUM(OSRRefE21_13x_3)</f>
        <v>202</v>
      </c>
      <c r="L73" s="1">
        <f>SUM(OSRRefE21_13x_4)</f>
        <v>200</v>
      </c>
      <c r="M73" s="1">
        <f>SUM(OSRRefE21_13x_5)</f>
        <v>200</v>
      </c>
      <c r="N73" s="1">
        <f>SUM(OSRRefE21_13x_6)</f>
        <v>200</v>
      </c>
      <c r="O73" s="1">
        <f>SUM(OSRRefE21_13x_7)</f>
        <v>200</v>
      </c>
      <c r="Q73" s="2">
        <f>SUM(OSRRefD20_13x)+IFERROR(SUM(OSRRefE20_13x),0)</f>
        <v>1864.33</v>
      </c>
    </row>
    <row r="74" spans="1:17" s="34" customFormat="1" hidden="1" outlineLevel="1" x14ac:dyDescent="0.25">
      <c r="A74" s="35"/>
      <c r="B74" s="13" t="str">
        <f>CONCATENATE("          ","6275", " - ","SUBSCRIPTIONS")</f>
        <v xml:space="preserve">          6275 - SUBSCRIPTIONS</v>
      </c>
      <c r="C74" s="15"/>
      <c r="D74" s="2">
        <v>9.32</v>
      </c>
      <c r="E74" s="2"/>
      <c r="F74" s="2">
        <v>131.34</v>
      </c>
      <c r="G74" s="2">
        <v>130.66999999999999</v>
      </c>
      <c r="H74" s="2">
        <v>197</v>
      </c>
      <c r="I74" s="2">
        <v>197</v>
      </c>
      <c r="J74" s="2">
        <v>197</v>
      </c>
      <c r="K74" s="2">
        <v>202</v>
      </c>
      <c r="L74" s="2">
        <v>200</v>
      </c>
      <c r="M74" s="2">
        <v>200</v>
      </c>
      <c r="N74" s="2">
        <v>200</v>
      </c>
      <c r="O74" s="2">
        <v>200</v>
      </c>
      <c r="P74" s="9"/>
      <c r="Q74" s="2">
        <f>SUM(OSRRefD21_13_0x)+IFERROR(SUM(OSRRefE21_13_0x),0)</f>
        <v>1864.33</v>
      </c>
    </row>
    <row r="75" spans="1:17" s="34" customFormat="1" collapsed="1" x14ac:dyDescent="0.25">
      <c r="A75" s="35"/>
      <c r="B75" s="15" t="str">
        <f>CONCATENATE("     ","Supplies                                          ")</f>
        <v xml:space="preserve">     Supplies                                          </v>
      </c>
      <c r="C75" s="15"/>
      <c r="D75" s="1">
        <f>SUM(OSRRefD21_14x_0)</f>
        <v>542.44000000000005</v>
      </c>
      <c r="E75" s="1">
        <f>SUM(OSRRefD21_14x_1)</f>
        <v>541.92999999999995</v>
      </c>
      <c r="F75" s="1">
        <f>SUM(OSRRefD21_14x_2)</f>
        <v>9.3699999999999992</v>
      </c>
      <c r="G75" s="1">
        <f>SUM(OSRRefD21_14x_3)</f>
        <v>6392.76</v>
      </c>
      <c r="H75" s="1">
        <f>SUM(OSRRefE21_14x_0)</f>
        <v>950</v>
      </c>
      <c r="I75" s="1">
        <f>SUM(OSRRefE21_14x_1)</f>
        <v>950</v>
      </c>
      <c r="J75" s="1">
        <f>SUM(OSRRefE21_14x_2)</f>
        <v>950</v>
      </c>
      <c r="K75" s="1">
        <f>SUM(OSRRefE21_14x_3)</f>
        <v>950</v>
      </c>
      <c r="L75" s="1">
        <f>SUM(OSRRefE21_14x_4)</f>
        <v>950</v>
      </c>
      <c r="M75" s="1">
        <f>SUM(OSRRefE21_14x_5)</f>
        <v>950</v>
      </c>
      <c r="N75" s="1">
        <f>SUM(OSRRefE21_14x_6)</f>
        <v>950</v>
      </c>
      <c r="O75" s="1">
        <f>SUM(OSRRefE21_14x_7)</f>
        <v>950</v>
      </c>
      <c r="Q75" s="2">
        <f>SUM(OSRRefD20_14x)+IFERROR(SUM(OSRRefE20_14x),0)</f>
        <v>15086.5</v>
      </c>
    </row>
    <row r="76" spans="1:17" s="34" customFormat="1" hidden="1" outlineLevel="1" x14ac:dyDescent="0.25">
      <c r="A76" s="35"/>
      <c r="B76" s="13" t="str">
        <f>CONCATENATE("          ","6234", " - ","EXPENDABLE SUPPLIES &amp; EQUIPMEN")</f>
        <v xml:space="preserve">          6234 - EXPENDABLE SUPPLIES &amp; EQUIPMEN</v>
      </c>
      <c r="C76" s="15"/>
      <c r="D76" s="2"/>
      <c r="E76" s="2">
        <v>255.78</v>
      </c>
      <c r="F76" s="2"/>
      <c r="G76" s="2">
        <v>55.13</v>
      </c>
      <c r="H76" s="2">
        <v>500</v>
      </c>
      <c r="I76" s="2">
        <v>500</v>
      </c>
      <c r="J76" s="2">
        <v>500</v>
      </c>
      <c r="K76" s="2">
        <v>500</v>
      </c>
      <c r="L76" s="2">
        <v>500</v>
      </c>
      <c r="M76" s="2">
        <v>500</v>
      </c>
      <c r="N76" s="2">
        <v>500</v>
      </c>
      <c r="O76" s="2">
        <v>500</v>
      </c>
      <c r="P76" s="9"/>
      <c r="Q76" s="2">
        <f>SUM(OSRRefD21_14_0x)+IFERROR(SUM(OSRRefE21_14_0x),0)</f>
        <v>4310.91</v>
      </c>
    </row>
    <row r="77" spans="1:17" s="34" customFormat="1" hidden="1" outlineLevel="1" x14ac:dyDescent="0.25">
      <c r="A77" s="35"/>
      <c r="B77" s="13" t="str">
        <f>CONCATENATE("          ","6235", " - ","COVID-19 EXPENSES")</f>
        <v xml:space="preserve">          6235 - COVID-19 EXPENSES</v>
      </c>
      <c r="C77" s="15"/>
      <c r="D77" s="2">
        <v>535.82000000000005</v>
      </c>
      <c r="E77" s="2">
        <v>286.14999999999998</v>
      </c>
      <c r="F77" s="2"/>
      <c r="G77" s="2">
        <v>5932</v>
      </c>
      <c r="H77" s="2"/>
      <c r="I77" s="2"/>
      <c r="J77" s="2"/>
      <c r="K77" s="2"/>
      <c r="L77" s="2"/>
      <c r="M77" s="2"/>
      <c r="N77" s="2"/>
      <c r="O77" s="2"/>
      <c r="P77" s="9"/>
      <c r="Q77" s="2">
        <f>SUM(OSRRefD21_14_1x)+IFERROR(SUM(OSRRefE21_14_1x),0)</f>
        <v>6753.97</v>
      </c>
    </row>
    <row r="78" spans="1:17" s="34" customFormat="1" hidden="1" outlineLevel="1" x14ac:dyDescent="0.25">
      <c r="A78" s="35"/>
      <c r="B78" s="13" t="str">
        <f>CONCATENATE("          ","6237", " - ","JANITORIAL SUPPLIES")</f>
        <v xml:space="preserve">          6237 - JANITORIAL SUPPLIES</v>
      </c>
      <c r="C78" s="15"/>
      <c r="D78" s="2"/>
      <c r="E78" s="2"/>
      <c r="F78" s="2"/>
      <c r="G78" s="2">
        <v>268.05</v>
      </c>
      <c r="H78" s="2">
        <v>200</v>
      </c>
      <c r="I78" s="2">
        <v>200</v>
      </c>
      <c r="J78" s="2">
        <v>200</v>
      </c>
      <c r="K78" s="2">
        <v>200</v>
      </c>
      <c r="L78" s="2">
        <v>200</v>
      </c>
      <c r="M78" s="2">
        <v>200</v>
      </c>
      <c r="N78" s="2">
        <v>200</v>
      </c>
      <c r="O78" s="2">
        <v>200</v>
      </c>
      <c r="P78" s="9"/>
      <c r="Q78" s="2">
        <f>SUM(OSRRefD21_14_2x)+IFERROR(SUM(OSRRefE21_14_2x),0)</f>
        <v>1868.05</v>
      </c>
    </row>
    <row r="79" spans="1:17" s="34" customFormat="1" hidden="1" outlineLevel="1" x14ac:dyDescent="0.25">
      <c r="A79" s="35"/>
      <c r="B79" s="13" t="str">
        <f>CONCATENATE("          ","6239", " - ","KITCHEN SUPPLIES")</f>
        <v xml:space="preserve">          6239 - KITCHEN SUPPLIES</v>
      </c>
      <c r="C79" s="15"/>
      <c r="D79" s="2"/>
      <c r="E79" s="2"/>
      <c r="F79" s="2"/>
      <c r="G79" s="2">
        <v>19.829999999999998</v>
      </c>
      <c r="H79" s="2"/>
      <c r="I79" s="2"/>
      <c r="J79" s="2"/>
      <c r="K79" s="2"/>
      <c r="L79" s="2"/>
      <c r="M79" s="2"/>
      <c r="N79" s="2"/>
      <c r="O79" s="2"/>
      <c r="P79" s="9"/>
      <c r="Q79" s="2">
        <f>SUM(OSRRefD21_14_3x)+IFERROR(SUM(OSRRefE21_14_3x),0)</f>
        <v>19.829999999999998</v>
      </c>
    </row>
    <row r="80" spans="1:17" s="34" customFormat="1" hidden="1" outlineLevel="1" x14ac:dyDescent="0.25">
      <c r="A80" s="35"/>
      <c r="B80" s="13" t="str">
        <f>CONCATENATE("          ","6241", " - ","OFFICE EXPENSE")</f>
        <v xml:space="preserve">          6241 - OFFICE EXPENSE</v>
      </c>
      <c r="C80" s="15"/>
      <c r="D80" s="2">
        <v>6.62</v>
      </c>
      <c r="E80" s="2"/>
      <c r="F80" s="2">
        <v>9.3699999999999992</v>
      </c>
      <c r="G80" s="2">
        <v>117.75</v>
      </c>
      <c r="H80" s="2"/>
      <c r="I80" s="2"/>
      <c r="J80" s="2"/>
      <c r="K80" s="2"/>
      <c r="L80" s="2"/>
      <c r="M80" s="2"/>
      <c r="N80" s="2"/>
      <c r="O80" s="2"/>
      <c r="P80" s="9"/>
      <c r="Q80" s="2">
        <f>SUM(OSRRefD21_14_4x)+IFERROR(SUM(OSRRefE21_14_4x),0)</f>
        <v>133.74</v>
      </c>
    </row>
    <row r="81" spans="1:17" s="34" customFormat="1" hidden="1" outlineLevel="1" x14ac:dyDescent="0.25">
      <c r="A81" s="35"/>
      <c r="B81" s="13" t="str">
        <f>CONCATENATE("          ","6243", " - ","PAPER SUPPLIES")</f>
        <v xml:space="preserve">          6243 - PAPER SUPPLIES</v>
      </c>
      <c r="C81" s="15"/>
      <c r="D81" s="2"/>
      <c r="E81" s="2"/>
      <c r="F81" s="2"/>
      <c r="G81" s="2"/>
      <c r="H81" s="2">
        <v>250</v>
      </c>
      <c r="I81" s="2">
        <v>250</v>
      </c>
      <c r="J81" s="2">
        <v>250</v>
      </c>
      <c r="K81" s="2">
        <v>250</v>
      </c>
      <c r="L81" s="2">
        <v>250</v>
      </c>
      <c r="M81" s="2">
        <v>250</v>
      </c>
      <c r="N81" s="2">
        <v>250</v>
      </c>
      <c r="O81" s="2">
        <v>250</v>
      </c>
      <c r="P81" s="9"/>
      <c r="Q81" s="2">
        <f>SUM(OSRRefD21_14_5x)+IFERROR(SUM(OSRRefE21_14_5x),0)</f>
        <v>2000</v>
      </c>
    </row>
    <row r="82" spans="1:17" s="34" customFormat="1" collapsed="1" x14ac:dyDescent="0.25">
      <c r="A82" s="35"/>
      <c r="B82" s="15" t="str">
        <f>CONCATENATE("     ","Telephone/Data Lines                              ")</f>
        <v xml:space="preserve">     Telephone/Data Lines                              </v>
      </c>
      <c r="C82" s="15"/>
      <c r="D82" s="1">
        <f>SUM(OSRRefD21_15x_0)</f>
        <v>232</v>
      </c>
      <c r="E82" s="1">
        <f>SUM(OSRRefD21_15x_1)</f>
        <v>232</v>
      </c>
      <c r="F82" s="1">
        <f>SUM(OSRRefD21_15x_2)</f>
        <v>350</v>
      </c>
      <c r="G82" s="1">
        <f>SUM(OSRRefD21_15x_3)</f>
        <v>320</v>
      </c>
      <c r="H82" s="1">
        <f>SUM(OSRRefE21_15x_0)</f>
        <v>138</v>
      </c>
      <c r="I82" s="1">
        <f>SUM(OSRRefE21_15x_1)</f>
        <v>134</v>
      </c>
      <c r="J82" s="1">
        <f>SUM(OSRRefE21_15x_2)</f>
        <v>285</v>
      </c>
      <c r="K82" s="1">
        <f>SUM(OSRRefE21_15x_3)</f>
        <v>135</v>
      </c>
      <c r="L82" s="1">
        <f>SUM(OSRRefE21_15x_4)</f>
        <v>135</v>
      </c>
      <c r="M82" s="1">
        <f>SUM(OSRRefE21_15x_5)</f>
        <v>285</v>
      </c>
      <c r="N82" s="1">
        <f>SUM(OSRRefE21_15x_6)</f>
        <v>135</v>
      </c>
      <c r="O82" s="1">
        <f>SUM(OSRRefE21_15x_7)</f>
        <v>135</v>
      </c>
      <c r="Q82" s="2">
        <f>SUM(OSRRefD20_15x)+IFERROR(SUM(OSRRefE20_15x),0)</f>
        <v>2516</v>
      </c>
    </row>
    <row r="83" spans="1:17" s="34" customFormat="1" hidden="1" outlineLevel="1" x14ac:dyDescent="0.25">
      <c r="A83" s="35"/>
      <c r="B83" s="13" t="str">
        <f>CONCATENATE("          ","6303", " - ","DATA PHONE LINES")</f>
        <v xml:space="preserve">          6303 - DATA PHONE LINES</v>
      </c>
      <c r="C83" s="15"/>
      <c r="D83" s="2"/>
      <c r="E83" s="2"/>
      <c r="F83" s="2"/>
      <c r="G83" s="2"/>
      <c r="H83" s="2">
        <v>138</v>
      </c>
      <c r="I83" s="2">
        <v>134</v>
      </c>
      <c r="J83" s="2">
        <v>135</v>
      </c>
      <c r="K83" s="2">
        <v>135</v>
      </c>
      <c r="L83" s="2">
        <v>135</v>
      </c>
      <c r="M83" s="2">
        <v>135</v>
      </c>
      <c r="N83" s="2">
        <v>135</v>
      </c>
      <c r="O83" s="2">
        <v>135</v>
      </c>
      <c r="P83" s="9"/>
      <c r="Q83" s="2">
        <f>SUM(OSRRefD21_15_0x)+IFERROR(SUM(OSRRefE21_15_0x),0)</f>
        <v>1082</v>
      </c>
    </row>
    <row r="84" spans="1:17" s="34" customFormat="1" hidden="1" outlineLevel="1" x14ac:dyDescent="0.25">
      <c r="A84" s="35"/>
      <c r="B84" s="13" t="str">
        <f>CONCATENATE("          ","6309", " - ","TELEPHONE")</f>
        <v xml:space="preserve">          6309 - TELEPHONE</v>
      </c>
      <c r="C84" s="15"/>
      <c r="D84" s="2">
        <v>232</v>
      </c>
      <c r="E84" s="2">
        <v>232</v>
      </c>
      <c r="F84" s="2">
        <v>350</v>
      </c>
      <c r="G84" s="2">
        <v>320</v>
      </c>
      <c r="H84" s="2"/>
      <c r="I84" s="2"/>
      <c r="J84" s="2">
        <v>150</v>
      </c>
      <c r="K84" s="2"/>
      <c r="L84" s="2"/>
      <c r="M84" s="2">
        <v>150</v>
      </c>
      <c r="N84" s="2"/>
      <c r="O84" s="2"/>
      <c r="P84" s="9"/>
      <c r="Q84" s="2">
        <f>SUM(OSRRefD21_15_1x)+IFERROR(SUM(OSRRefE21_15_1x),0)</f>
        <v>1434</v>
      </c>
    </row>
    <row r="85" spans="1:17" s="34" customFormat="1" collapsed="1" x14ac:dyDescent="0.25">
      <c r="A85" s="35"/>
      <c r="B85" s="15" t="str">
        <f>CONCATENATE("     ","Utilities                                         ")</f>
        <v xml:space="preserve">     Utilities                                         </v>
      </c>
      <c r="C85" s="15"/>
      <c r="D85" s="1">
        <f>SUM(OSRRefD21_16x_0)</f>
        <v>2300</v>
      </c>
      <c r="E85" s="1">
        <f>SUM(OSRRefD21_16x_1)</f>
        <v>2300</v>
      </c>
      <c r="F85" s="1">
        <f>SUM(OSRRefD21_16x_2)</f>
        <v>2300</v>
      </c>
      <c r="G85" s="1">
        <f>SUM(OSRRefD21_16x_3)</f>
        <v>2300</v>
      </c>
      <c r="H85" s="1">
        <f>SUM(OSRRefE21_16x_0)</f>
        <v>2300</v>
      </c>
      <c r="I85" s="1">
        <f>SUM(OSRRefE21_16x_1)</f>
        <v>2300</v>
      </c>
      <c r="J85" s="1">
        <f>SUM(OSRRefE21_16x_2)</f>
        <v>2300</v>
      </c>
      <c r="K85" s="1">
        <f>SUM(OSRRefE21_16x_3)</f>
        <v>2300</v>
      </c>
      <c r="L85" s="1">
        <f>SUM(OSRRefE21_16x_4)</f>
        <v>2300</v>
      </c>
      <c r="M85" s="1">
        <f>SUM(OSRRefE21_16x_5)</f>
        <v>2300</v>
      </c>
      <c r="N85" s="1">
        <f>SUM(OSRRefE21_16x_6)</f>
        <v>2300</v>
      </c>
      <c r="O85" s="1">
        <f>SUM(OSRRefE21_16x_7)</f>
        <v>2300</v>
      </c>
      <c r="Q85" s="2">
        <f>SUM(OSRRefD20_16x)+IFERROR(SUM(OSRRefE20_16x),0)</f>
        <v>27600</v>
      </c>
    </row>
    <row r="86" spans="1:17" s="34" customFormat="1" hidden="1" outlineLevel="1" x14ac:dyDescent="0.25">
      <c r="A86" s="35"/>
      <c r="B86" s="13" t="str">
        <f>CONCATENATE("          ","6274", " - ","UTILITIES")</f>
        <v xml:space="preserve">          6274 - UTILITIES</v>
      </c>
      <c r="C86" s="15"/>
      <c r="D86" s="2">
        <v>2300</v>
      </c>
      <c r="E86" s="2">
        <v>2300</v>
      </c>
      <c r="F86" s="2">
        <v>2300</v>
      </c>
      <c r="G86" s="2">
        <v>2300</v>
      </c>
      <c r="H86" s="2">
        <v>2300</v>
      </c>
      <c r="I86" s="2">
        <v>2300</v>
      </c>
      <c r="J86" s="2">
        <v>2300</v>
      </c>
      <c r="K86" s="2">
        <v>2300</v>
      </c>
      <c r="L86" s="2">
        <v>2300</v>
      </c>
      <c r="M86" s="2">
        <v>2300</v>
      </c>
      <c r="N86" s="2">
        <v>2300</v>
      </c>
      <c r="O86" s="2">
        <v>2300</v>
      </c>
      <c r="P86" s="9"/>
      <c r="Q86" s="2">
        <f>SUM(OSRRefD21_16_0x)+IFERROR(SUM(OSRRefE21_16_0x),0)</f>
        <v>27600</v>
      </c>
    </row>
    <row r="87" spans="1:17" s="28" customFormat="1" x14ac:dyDescent="0.25">
      <c r="A87" s="20"/>
      <c r="B87" s="20"/>
      <c r="C87" s="20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25">
      <c r="A88" s="22"/>
      <c r="B88" s="16" t="s">
        <v>0</v>
      </c>
      <c r="C88" s="23"/>
      <c r="D88" s="3">
        <f t="shared" ref="D88:G88" si="5">0</f>
        <v>0</v>
      </c>
      <c r="E88" s="3">
        <f t="shared" si="5"/>
        <v>0</v>
      </c>
      <c r="F88" s="3">
        <f t="shared" si="5"/>
        <v>0</v>
      </c>
      <c r="G88" s="3">
        <f t="shared" si="5"/>
        <v>0</v>
      </c>
      <c r="H88" s="3"/>
      <c r="I88" s="3"/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25">
      <c r="A89" s="5"/>
      <c r="B89" s="8"/>
      <c r="C89" s="8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4" customFormat="1" x14ac:dyDescent="0.25">
      <c r="A90" s="8"/>
      <c r="B90" s="17" t="s">
        <v>3</v>
      </c>
      <c r="C90" s="17"/>
      <c r="D90" s="6">
        <f t="shared" ref="D90:O90" si="6">IFERROR(+D21-D24+D88, 0)</f>
        <v>-56656.840000000004</v>
      </c>
      <c r="E90" s="6">
        <f t="shared" si="6"/>
        <v>-67308.87</v>
      </c>
      <c r="F90" s="6">
        <f t="shared" si="6"/>
        <v>-58698.53</v>
      </c>
      <c r="G90" s="6">
        <f t="shared" si="6"/>
        <v>-68375.94</v>
      </c>
      <c r="H90" s="6">
        <f t="shared" si="6"/>
        <v>-40841.890365092309</v>
      </c>
      <c r="I90" s="6">
        <f t="shared" si="6"/>
        <v>-31253.027133846153</v>
      </c>
      <c r="J90" s="6">
        <f t="shared" si="6"/>
        <v>-45443.187992980769</v>
      </c>
      <c r="K90" s="6">
        <f t="shared" si="6"/>
        <v>-41659.890365092309</v>
      </c>
      <c r="L90" s="6">
        <f t="shared" si="6"/>
        <v>-39723.96540170769</v>
      </c>
      <c r="M90" s="6">
        <f t="shared" si="6"/>
        <v>-42369.112956365381</v>
      </c>
      <c r="N90" s="6">
        <f t="shared" si="6"/>
        <v>-40256.96540170769</v>
      </c>
      <c r="O90" s="6">
        <f t="shared" si="6"/>
        <v>-39362.926578476923</v>
      </c>
      <c r="Q90" s="6">
        <f>IFERROR(+Q21-Q24+Q88, 0)</f>
        <v>-571951.14619526919</v>
      </c>
    </row>
    <row r="91" spans="1:17" s="8" customFormat="1" x14ac:dyDescent="0.25">
      <c r="B91" s="16"/>
      <c r="C91" s="16"/>
      <c r="D91" s="4">
        <f t="shared" ref="D91:O91" si="7">IFERROR(D90/D10, 0)</f>
        <v>0</v>
      </c>
      <c r="E91" s="4">
        <f t="shared" si="7"/>
        <v>-14.263557070019962</v>
      </c>
      <c r="F91" s="4">
        <f t="shared" si="7"/>
        <v>-6.7643348141489925</v>
      </c>
      <c r="G91" s="4">
        <f t="shared" si="7"/>
        <v>-5.1450674624763257</v>
      </c>
      <c r="H91" s="4">
        <f t="shared" si="7"/>
        <v>-7.9304641485616134</v>
      </c>
      <c r="I91" s="4">
        <f t="shared" si="7"/>
        <v>-6.7210811040529359</v>
      </c>
      <c r="J91" s="4">
        <f t="shared" si="7"/>
        <v>-11.652099485379685</v>
      </c>
      <c r="K91" s="4">
        <f t="shared" si="7"/>
        <v>-9.8023271447276024</v>
      </c>
      <c r="L91" s="4">
        <f t="shared" si="7"/>
        <v>-6.1349753516150871</v>
      </c>
      <c r="M91" s="4">
        <f t="shared" si="7"/>
        <v>-5.1669649946787048</v>
      </c>
      <c r="N91" s="4">
        <f t="shared" si="7"/>
        <v>-7.5956538493788095</v>
      </c>
      <c r="O91" s="4">
        <f t="shared" si="7"/>
        <v>-7.1568957415412591</v>
      </c>
      <c r="P91" s="18"/>
      <c r="Q91" s="4">
        <f>IFERROR(Q90/Q10, 0)</f>
        <v>-8.1577714572745759</v>
      </c>
    </row>
    <row r="92" spans="1:17" x14ac:dyDescent="0.25">
      <c r="A92" s="5"/>
      <c r="B92" s="8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4" customFormat="1" x14ac:dyDescent="0.25">
      <c r="A93" s="25"/>
      <c r="B93" s="8" t="s">
        <v>8</v>
      </c>
      <c r="C93" s="8"/>
      <c r="D93" s="3"/>
      <c r="E93" s="3">
        <v>796.73</v>
      </c>
      <c r="F93" s="3">
        <v>1685.06</v>
      </c>
      <c r="G93" s="3">
        <v>3299.02</v>
      </c>
      <c r="H93" s="3">
        <v>3695</v>
      </c>
      <c r="I93" s="3">
        <v>3142</v>
      </c>
      <c r="J93" s="3">
        <v>2652</v>
      </c>
      <c r="K93" s="3">
        <v>8532</v>
      </c>
      <c r="L93" s="3">
        <v>6259</v>
      </c>
      <c r="M93" s="3">
        <v>3635</v>
      </c>
      <c r="N93" s="3">
        <v>3145</v>
      </c>
      <c r="O93" s="3">
        <v>-1644</v>
      </c>
      <c r="Q93" s="2">
        <f>SUM(OSRRefD28_0x)+IFERROR(SUM(OSRRefE28_0x),0)</f>
        <v>35196.81</v>
      </c>
    </row>
    <row r="94" spans="1:17" x14ac:dyDescent="0.25">
      <c r="A94" s="5"/>
      <c r="B94" s="8"/>
      <c r="C94" s="8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4" customFormat="1" ht="15.75" thickBot="1" x14ac:dyDescent="0.3">
      <c r="A95" s="8"/>
      <c r="B95" s="17" t="s">
        <v>4</v>
      </c>
      <c r="C95" s="17"/>
      <c r="D95" s="7">
        <f t="shared" ref="D95:O95" si="8">IFERROR(+D90-D93, 0)</f>
        <v>-56656.840000000004</v>
      </c>
      <c r="E95" s="7">
        <f t="shared" si="8"/>
        <v>-68105.599999999991</v>
      </c>
      <c r="F95" s="7">
        <f t="shared" si="8"/>
        <v>-60383.59</v>
      </c>
      <c r="G95" s="7">
        <f t="shared" si="8"/>
        <v>-71674.960000000006</v>
      </c>
      <c r="H95" s="7">
        <f t="shared" si="8"/>
        <v>-44536.890365092309</v>
      </c>
      <c r="I95" s="7">
        <f t="shared" si="8"/>
        <v>-34395.027133846153</v>
      </c>
      <c r="J95" s="7">
        <f t="shared" si="8"/>
        <v>-48095.187992980769</v>
      </c>
      <c r="K95" s="7">
        <f t="shared" si="8"/>
        <v>-50191.890365092309</v>
      </c>
      <c r="L95" s="7">
        <f t="shared" si="8"/>
        <v>-45982.96540170769</v>
      </c>
      <c r="M95" s="7">
        <f t="shared" si="8"/>
        <v>-46004.112956365381</v>
      </c>
      <c r="N95" s="7">
        <f t="shared" si="8"/>
        <v>-43401.96540170769</v>
      </c>
      <c r="O95" s="7">
        <f t="shared" si="8"/>
        <v>-37718.926578476923</v>
      </c>
      <c r="Q95" s="7">
        <f>IFERROR(+Q90-Q93, 0)</f>
        <v>-607147.95619526925</v>
      </c>
    </row>
    <row r="96" spans="1:17" ht="15.75" thickTop="1" x14ac:dyDescent="0.25">
      <c r="A96" s="5"/>
      <c r="B96" s="5"/>
      <c r="C96" s="5"/>
      <c r="D96" s="4">
        <f t="shared" ref="D96:O96" si="9">IFERROR(D95/D10, 0)</f>
        <v>0</v>
      </c>
      <c r="E96" s="4">
        <f t="shared" si="9"/>
        <v>-14.432393715537811</v>
      </c>
      <c r="F96" s="4">
        <f t="shared" si="9"/>
        <v>-6.9585187233870922</v>
      </c>
      <c r="G96" s="4">
        <f t="shared" si="9"/>
        <v>-5.3933080052763023</v>
      </c>
      <c r="H96" s="4">
        <f t="shared" si="9"/>
        <v>-8.6479398767169524</v>
      </c>
      <c r="I96" s="4">
        <f t="shared" si="9"/>
        <v>-7.3967800287841188</v>
      </c>
      <c r="J96" s="4">
        <f t="shared" si="9"/>
        <v>-12.332099485379684</v>
      </c>
      <c r="K96" s="4">
        <f t="shared" si="9"/>
        <v>-11.809856556492308</v>
      </c>
      <c r="L96" s="4">
        <f t="shared" si="9"/>
        <v>-7.1016162782560137</v>
      </c>
      <c r="M96" s="4">
        <f t="shared" si="9"/>
        <v>-5.6102576776055342</v>
      </c>
      <c r="N96" s="4">
        <f t="shared" si="9"/>
        <v>-8.1890500757939044</v>
      </c>
      <c r="O96" s="4">
        <f t="shared" si="9"/>
        <v>-6.8579866506321681</v>
      </c>
      <c r="P96" s="18"/>
      <c r="Q96" s="4">
        <f>IFERROR(Q95/Q10, 0)</f>
        <v>-8.6597855434690789</v>
      </c>
    </row>
    <row r="97" spans="1:17" x14ac:dyDescent="0.2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25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4" customFormat="1" ht="15.75" thickBot="1" x14ac:dyDescent="0.3">
      <c r="A99" s="8"/>
      <c r="B99" s="17" t="s">
        <v>5</v>
      </c>
      <c r="C99" s="17"/>
      <c r="D99" s="7">
        <f t="shared" ref="D99:O99" si="10">IFERROR(SUM(D95:D98), 0)</f>
        <v>-56656.840000000004</v>
      </c>
      <c r="E99" s="7">
        <f t="shared" si="10"/>
        <v>-68120.032393715534</v>
      </c>
      <c r="F99" s="7">
        <f t="shared" si="10"/>
        <v>-60390.548518723386</v>
      </c>
      <c r="G99" s="7">
        <f t="shared" si="10"/>
        <v>-71680.353308005288</v>
      </c>
      <c r="H99" s="7">
        <f t="shared" si="10"/>
        <v>-44545.538304969028</v>
      </c>
      <c r="I99" s="7">
        <f t="shared" si="10"/>
        <v>-34402.42391387494</v>
      </c>
      <c r="J99" s="7">
        <f t="shared" si="10"/>
        <v>-48107.520092466148</v>
      </c>
      <c r="K99" s="7">
        <f t="shared" si="10"/>
        <v>-50203.700221648804</v>
      </c>
      <c r="L99" s="7">
        <f t="shared" si="10"/>
        <v>-45990.067017985944</v>
      </c>
      <c r="M99" s="7">
        <f t="shared" si="10"/>
        <v>-46009.723214042984</v>
      </c>
      <c r="N99" s="7">
        <f t="shared" si="10"/>
        <v>-43410.154451783485</v>
      </c>
      <c r="O99" s="7">
        <f t="shared" si="10"/>
        <v>-37725.784565127557</v>
      </c>
      <c r="Q99" s="7">
        <f>IFERROR(SUM(Q95:Q98), 0)</f>
        <v>-607156.6159808127</v>
      </c>
    </row>
    <row r="100" spans="1:17" ht="15.75" thickTop="1" x14ac:dyDescent="0.25">
      <c r="A100" s="5"/>
      <c r="C100" s="5"/>
      <c r="D100" s="4">
        <f t="shared" ref="D100:O100" si="11">IFERROR(D99/D10, 0)</f>
        <v>0</v>
      </c>
      <c r="E100" s="4">
        <f t="shared" si="11"/>
        <v>-14.435452112914243</v>
      </c>
      <c r="F100" s="4">
        <f t="shared" si="11"/>
        <v>-6.9593206131525687</v>
      </c>
      <c r="G100" s="4">
        <f t="shared" si="11"/>
        <v>-5.3937138341911677</v>
      </c>
      <c r="H100" s="4">
        <f t="shared" si="11"/>
        <v>-8.6496190883435009</v>
      </c>
      <c r="I100" s="4">
        <f t="shared" si="11"/>
        <v>-7.3983707341666536</v>
      </c>
      <c r="J100" s="4">
        <f t="shared" si="11"/>
        <v>-12.335261562170807</v>
      </c>
      <c r="K100" s="4">
        <f t="shared" si="11"/>
        <v>-11.812635346270307</v>
      </c>
      <c r="L100" s="4">
        <f t="shared" si="11"/>
        <v>-7.1027130529708025</v>
      </c>
      <c r="M100" s="4">
        <f t="shared" si="11"/>
        <v>-5.6109418553710952</v>
      </c>
      <c r="N100" s="4">
        <f t="shared" si="11"/>
        <v>-8.1905951795817895</v>
      </c>
      <c r="O100" s="4">
        <f t="shared" si="11"/>
        <v>-6.8592335572959193</v>
      </c>
      <c r="P100" s="18"/>
      <c r="Q100" s="4">
        <f>IFERROR(Q99/Q10, 0)</f>
        <v>-8.6599090584787124</v>
      </c>
    </row>
    <row r="101" spans="1:17" x14ac:dyDescent="0.25">
      <c r="A101" s="5"/>
      <c r="B101" s="26">
        <v>44151.56501658565</v>
      </c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Q101" s="12"/>
    </row>
    <row r="102" spans="1:17" x14ac:dyDescent="0.25">
      <c r="A102" s="5"/>
      <c r="B102" s="30" t="s">
        <v>311</v>
      </c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Q102" s="12"/>
    </row>
    <row r="103" spans="1:17" x14ac:dyDescent="0.25">
      <c r="A103" s="5"/>
      <c r="B103" s="31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Q103" s="12"/>
    </row>
    <row r="104" spans="1:17" x14ac:dyDescent="0.25"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Q104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","418", " - ", "Nugget")</f>
        <v>Department 418 - Nugget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SUM(OSRRefE11x_0)</f>
        <v>0</v>
      </c>
      <c r="I10" s="3">
        <f>SUM(OSRRefE11x_1)</f>
        <v>0</v>
      </c>
      <c r="J10" s="3">
        <f>SUM(OSRRefE11x_2)</f>
        <v>0</v>
      </c>
      <c r="K10" s="3">
        <f>SUM(OSRRefE11x_3)</f>
        <v>0</v>
      </c>
      <c r="L10" s="3">
        <f>SUM(OSRRefE11x_4)</f>
        <v>0</v>
      </c>
      <c r="M10" s="3">
        <f>SUM(OSRRefE11x_5)</f>
        <v>0</v>
      </c>
      <c r="N10" s="3">
        <f>SUM(OSRRefE11x_6)</f>
        <v>0</v>
      </c>
      <c r="O10" s="3">
        <f>SUM(OSRRefE11x_7)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G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2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Q12" s="2">
        <f>SUM(OSRRefD11_1x)+IFERROR(SUM(OSRRefE11_1x),0)</f>
        <v>0</v>
      </c>
    </row>
    <row r="13" spans="1:18" x14ac:dyDescent="0.2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290</v>
      </c>
      <c r="C14" s="23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SUM(OSRRefE14x_0)</f>
        <v>0</v>
      </c>
      <c r="I14" s="3">
        <f>SUM(OSRRefE14x_1)</f>
        <v>0</v>
      </c>
      <c r="J14" s="3">
        <f>SUM(OSRRefE14x_2)</f>
        <v>0</v>
      </c>
      <c r="K14" s="3">
        <f>SUM(OSRRefE14x_3)</f>
        <v>0</v>
      </c>
      <c r="L14" s="3">
        <f>SUM(OSRRefE14x_4)</f>
        <v>0</v>
      </c>
      <c r="M14" s="3">
        <f>SUM(OSRRefE14x_5)</f>
        <v>0</v>
      </c>
      <c r="N14" s="3">
        <f>SUM(OSRRefE14x_6)</f>
        <v>0</v>
      </c>
      <c r="O14" s="3">
        <f>SUM(OSRRefE14x_7)</f>
        <v>0</v>
      </c>
      <c r="Q14" s="3">
        <f>SUM(OSRRefG14x)</f>
        <v>0</v>
      </c>
    </row>
    <row r="15" spans="1:18" s="9" customFormat="1" hidden="1" outlineLevel="1" x14ac:dyDescent="0.25">
      <c r="A15" s="22"/>
      <c r="B15" s="13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Q15" s="2">
        <f>SUM(OSRRefD14_0x)+IFERROR(SUM(OSRRefE14_0x),0)</f>
        <v>0</v>
      </c>
    </row>
    <row r="16" spans="1:18" x14ac:dyDescent="0.25">
      <c r="A16" s="5"/>
      <c r="B16" s="8"/>
      <c r="C16" s="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4" customFormat="1" x14ac:dyDescent="0.25">
      <c r="A17" s="8"/>
      <c r="B17" s="17" t="s">
        <v>6</v>
      </c>
      <c r="C17" s="17"/>
      <c r="D17" s="6">
        <f t="shared" ref="D17:O17" si="1">IFERROR(+D10-D14, 0)</f>
        <v>0</v>
      </c>
      <c r="E17" s="6">
        <f t="shared" si="1"/>
        <v>0</v>
      </c>
      <c r="F17" s="6">
        <f t="shared" si="1"/>
        <v>0</v>
      </c>
      <c r="G17" s="6">
        <f t="shared" si="1"/>
        <v>0</v>
      </c>
      <c r="H17" s="6">
        <f t="shared" si="1"/>
        <v>0</v>
      </c>
      <c r="I17" s="6">
        <f t="shared" si="1"/>
        <v>0</v>
      </c>
      <c r="J17" s="6">
        <f t="shared" si="1"/>
        <v>0</v>
      </c>
      <c r="K17" s="6">
        <f t="shared" si="1"/>
        <v>0</v>
      </c>
      <c r="L17" s="6">
        <f t="shared" si="1"/>
        <v>0</v>
      </c>
      <c r="M17" s="6">
        <f t="shared" si="1"/>
        <v>0</v>
      </c>
      <c r="N17" s="6">
        <f t="shared" si="1"/>
        <v>0</v>
      </c>
      <c r="O17" s="6">
        <f t="shared" si="1"/>
        <v>0</v>
      </c>
      <c r="Q17" s="6">
        <f>IFERROR(+Q10-Q14, 0)</f>
        <v>0</v>
      </c>
    </row>
    <row r="18" spans="1:17" s="8" customFormat="1" x14ac:dyDescent="0.25">
      <c r="B18" s="16"/>
      <c r="C18" s="16"/>
      <c r="D18" s="4">
        <f t="shared" ref="D18:O18" si="2">IFERROR(D17/D10, 0)</f>
        <v>0</v>
      </c>
      <c r="E18" s="4">
        <f t="shared" si="2"/>
        <v>0</v>
      </c>
      <c r="F18" s="4">
        <f t="shared" si="2"/>
        <v>0</v>
      </c>
      <c r="G18" s="4">
        <f t="shared" si="2"/>
        <v>0</v>
      </c>
      <c r="H18" s="4">
        <f t="shared" si="2"/>
        <v>0</v>
      </c>
      <c r="I18" s="4">
        <f t="shared" si="2"/>
        <v>0</v>
      </c>
      <c r="J18" s="4">
        <f t="shared" si="2"/>
        <v>0</v>
      </c>
      <c r="K18" s="4">
        <f t="shared" si="2"/>
        <v>0</v>
      </c>
      <c r="L18" s="4">
        <f t="shared" si="2"/>
        <v>0</v>
      </c>
      <c r="M18" s="4">
        <f t="shared" si="2"/>
        <v>0</v>
      </c>
      <c r="N18" s="4">
        <f t="shared" si="2"/>
        <v>0</v>
      </c>
      <c r="O18" s="4">
        <f t="shared" si="2"/>
        <v>0</v>
      </c>
      <c r="P18" s="18"/>
      <c r="Q18" s="4">
        <f>IFERROR(Q17/Q10, 0)</f>
        <v>0</v>
      </c>
    </row>
    <row r="19" spans="1:17" x14ac:dyDescent="0.25">
      <c r="A19" s="5"/>
      <c r="B19" s="8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4" customFormat="1" x14ac:dyDescent="0.25">
      <c r="A20" s="8"/>
      <c r="B20" s="16" t="s">
        <v>291</v>
      </c>
      <c r="C20" s="8"/>
      <c r="D20" s="10">
        <f>SUM(OSRRefD20x_0)</f>
        <v>17067.47</v>
      </c>
      <c r="E20" s="10">
        <f>SUM(OSRRefD20x_1)</f>
        <v>7362.1500000000005</v>
      </c>
      <c r="F20" s="10">
        <f>SUM(OSRRefD20x_2)</f>
        <v>7376.42</v>
      </c>
      <c r="G20" s="10">
        <f>SUM(OSRRefD20x_3)</f>
        <v>6784.05</v>
      </c>
      <c r="H20" s="10">
        <f>SUM(OSRRefE20x_0)</f>
        <v>6745</v>
      </c>
      <c r="I20" s="10">
        <f>SUM(OSRRefE20x_1)</f>
        <v>6745</v>
      </c>
      <c r="J20" s="10">
        <f>SUM(OSRRefE20x_2)</f>
        <v>6745</v>
      </c>
      <c r="K20" s="10">
        <f>SUM(OSRRefE20x_3)</f>
        <v>8545</v>
      </c>
      <c r="L20" s="10">
        <f>SUM(OSRRefE20x_4)</f>
        <v>6745</v>
      </c>
      <c r="M20" s="10">
        <f>SUM(OSRRefE20x_5)</f>
        <v>6745</v>
      </c>
      <c r="N20" s="10">
        <f>SUM(OSRRefE20x_6)</f>
        <v>6745</v>
      </c>
      <c r="O20" s="10">
        <f>SUM(OSRRefE20x_7)</f>
        <v>6745</v>
      </c>
      <c r="Q20" s="10">
        <f>SUM(OSRRefG20x)</f>
        <v>94350.09</v>
      </c>
    </row>
    <row r="21" spans="1:17" s="34" customFormat="1" collapsed="1" x14ac:dyDescent="0.25">
      <c r="A21" s="35"/>
      <c r="B21" s="15" t="str">
        <f>CONCATENATE("     ","*Benefits                                         ")</f>
        <v xml:space="preserve">     *Benefits                                         </v>
      </c>
      <c r="C21" s="15"/>
      <c r="D21" s="1">
        <f>SUM(OSRRefD21_0x_0)</f>
        <v>6083.9599999999991</v>
      </c>
      <c r="E21" s="1">
        <f>SUM(OSRRefD21_0x_1)</f>
        <v>0</v>
      </c>
      <c r="F21" s="1">
        <f>SUM(OSRRefD21_0x_2)</f>
        <v>0</v>
      </c>
      <c r="G21" s="1">
        <f>SUM(OSRRefD21_0x_3)</f>
        <v>0</v>
      </c>
      <c r="H21" s="1">
        <f>SUM(OSRRefE21_0x_0)</f>
        <v>0</v>
      </c>
      <c r="I21" s="1">
        <f>SUM(OSRRefE21_0x_1)</f>
        <v>0</v>
      </c>
      <c r="J21" s="1">
        <f>SUM(OSRRefE21_0x_2)</f>
        <v>0</v>
      </c>
      <c r="K21" s="1">
        <f>SUM(OSRRefE21_0x_3)</f>
        <v>0</v>
      </c>
      <c r="L21" s="1">
        <f>SUM(OSRRefE21_0x_4)</f>
        <v>0</v>
      </c>
      <c r="M21" s="1">
        <f>SUM(OSRRefE21_0x_5)</f>
        <v>0</v>
      </c>
      <c r="N21" s="1">
        <f>SUM(OSRRefE21_0x_6)</f>
        <v>0</v>
      </c>
      <c r="O21" s="1">
        <f>SUM(OSRRefE21_0x_7)</f>
        <v>0</v>
      </c>
      <c r="Q21" s="2">
        <f>SUM(OSRRefD20_0x)+IFERROR(SUM(OSRRefE20_0x),0)</f>
        <v>6083.9599999999991</v>
      </c>
    </row>
    <row r="22" spans="1:17" s="34" customFormat="1" hidden="1" outlineLevel="1" x14ac:dyDescent="0.25">
      <c r="A22" s="35"/>
      <c r="B22" s="13" t="str">
        <f>CONCATENATE("          ","6111", " - ","F.I.C.A.")</f>
        <v xml:space="preserve">          6111 - F.I.C.A.</v>
      </c>
      <c r="C22" s="15"/>
      <c r="D22" s="2">
        <v>235.15</v>
      </c>
      <c r="E22" s="2"/>
      <c r="F22" s="2"/>
      <c r="G22" s="2"/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SUM(OSRRefD21_0_0x)+IFERROR(SUM(OSRRefE21_0_0x),0)</f>
        <v>235.15</v>
      </c>
    </row>
    <row r="23" spans="1:17" s="34" customFormat="1" hidden="1" outlineLevel="1" x14ac:dyDescent="0.25">
      <c r="A23" s="35"/>
      <c r="B23" s="13" t="str">
        <f>CONCATENATE("          ","6112", " - ","COMPENSATION INSURANCE")</f>
        <v xml:space="preserve">          6112 - COMPENSATION INSURANCE</v>
      </c>
      <c r="C23" s="15"/>
      <c r="D23" s="2"/>
      <c r="E23" s="2"/>
      <c r="F23" s="2"/>
      <c r="G23" s="2"/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SUM(OSRRefD21_0_1x)+IFERROR(SUM(OSRRefE21_0_1x),0)</f>
        <v>0</v>
      </c>
    </row>
    <row r="24" spans="1:17" s="34" customFormat="1" hidden="1" outlineLevel="1" x14ac:dyDescent="0.25">
      <c r="A24" s="35"/>
      <c r="B24" s="13" t="str">
        <f>CONCATENATE("          ","6113", " - ","GROUP INSURANCE")</f>
        <v xml:space="preserve">          6113 - GROUP INSURANCE</v>
      </c>
      <c r="C24" s="15"/>
      <c r="D24" s="2">
        <v>4780.67</v>
      </c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SUM(OSRRefD21_0_2x)+IFERROR(SUM(OSRRefE21_0_2x),0)</f>
        <v>4780.67</v>
      </c>
    </row>
    <row r="25" spans="1:17" s="34" customFormat="1" hidden="1" outlineLevel="1" x14ac:dyDescent="0.25">
      <c r="A25" s="35"/>
      <c r="B25" s="13" t="str">
        <f>CONCATENATE("          ","6114", " - ","STATE UNEMPLOYMENT INSURANCE")</f>
        <v xml:space="preserve">          6114 - STATE UNEMPLOYMENT INSURANCE</v>
      </c>
      <c r="C25" s="15"/>
      <c r="D25" s="2"/>
      <c r="E25" s="2"/>
      <c r="F25" s="2"/>
      <c r="G25" s="2"/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SUM(OSRRefD21_0_3x)+IFERROR(SUM(OSRRefE21_0_3x),0)</f>
        <v>0</v>
      </c>
    </row>
    <row r="26" spans="1:17" s="34" customFormat="1" hidden="1" outlineLevel="1" x14ac:dyDescent="0.25">
      <c r="A26" s="35"/>
      <c r="B26" s="13" t="str">
        <f>CONCATENATE("          ","6115", " - ","P.E.R.S.")</f>
        <v xml:space="preserve">          6115 - P.E.R.S.</v>
      </c>
      <c r="C26" s="15"/>
      <c r="D26" s="2">
        <v>678.15</v>
      </c>
      <c r="E26" s="2"/>
      <c r="F26" s="2"/>
      <c r="G26" s="2"/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SUM(OSRRefD21_0_4x)+IFERROR(SUM(OSRRefE21_0_4x),0)</f>
        <v>678.15</v>
      </c>
    </row>
    <row r="27" spans="1:17" s="34" customFormat="1" hidden="1" outlineLevel="1" x14ac:dyDescent="0.25">
      <c r="A27" s="35"/>
      <c r="B27" s="13" t="str">
        <f>CONCATENATE("          ","6116", " - ","EDUCATIONAL BENEFITS")</f>
        <v xml:space="preserve">          6116 - EDUCATIONAL BENEFITS</v>
      </c>
      <c r="C27" s="15"/>
      <c r="D27" s="2"/>
      <c r="E27" s="2"/>
      <c r="F27" s="2"/>
      <c r="G27" s="2"/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4" customFormat="1" hidden="1" outlineLevel="1" x14ac:dyDescent="0.25">
      <c r="A28" s="35"/>
      <c r="B28" s="13" t="str">
        <f>CONCATENATE("          ","6118", " - ","VACATION")</f>
        <v xml:space="preserve">          6118 - VACATION</v>
      </c>
      <c r="C28" s="15"/>
      <c r="D28" s="2">
        <v>248.21</v>
      </c>
      <c r="E28" s="2"/>
      <c r="F28" s="2"/>
      <c r="G28" s="2"/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SUM(OSRRefD21_0_6x)+IFERROR(SUM(OSRRefE21_0_6x),0)</f>
        <v>248.21</v>
      </c>
    </row>
    <row r="29" spans="1:17" s="34" customFormat="1" hidden="1" outlineLevel="1" x14ac:dyDescent="0.25">
      <c r="A29" s="35"/>
      <c r="B29" s="13" t="str">
        <f>CONCATENATE("          ","6119", " - ","SICK LEAVE")</f>
        <v xml:space="preserve">          6119 - SICK LEAVE</v>
      </c>
      <c r="C29" s="15"/>
      <c r="D29" s="2">
        <v>141.78</v>
      </c>
      <c r="E29" s="2"/>
      <c r="F29" s="2"/>
      <c r="G29" s="2"/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SUM(OSRRefD21_0_7x)+IFERROR(SUM(OSRRefE21_0_7x),0)</f>
        <v>141.78</v>
      </c>
    </row>
    <row r="30" spans="1:17" s="34" customFormat="1" collapsed="1" x14ac:dyDescent="0.25">
      <c r="A30" s="35"/>
      <c r="B30" s="15" t="str">
        <f>CONCATENATE("     ","*Payroll                                          ")</f>
        <v xml:space="preserve">     *Payroll                                          </v>
      </c>
      <c r="C30" s="15"/>
      <c r="D30" s="1">
        <f>SUM(OSRRefD21_1x_0)</f>
        <v>2151.69</v>
      </c>
      <c r="E30" s="1">
        <f>SUM(OSRRefD21_1x_1)</f>
        <v>0</v>
      </c>
      <c r="F30" s="1">
        <f>SUM(OSRRefD21_1x_2)</f>
        <v>0</v>
      </c>
      <c r="G30" s="1">
        <f>SUM(OSRRefD21_1x_3)</f>
        <v>0</v>
      </c>
      <c r="H30" s="1">
        <f>SUM(OSRRefE21_1x_0)</f>
        <v>0</v>
      </c>
      <c r="I30" s="1">
        <f>SUM(OSRRefE21_1x_1)</f>
        <v>0</v>
      </c>
      <c r="J30" s="1">
        <f>SUM(OSRRefE21_1x_2)</f>
        <v>0</v>
      </c>
      <c r="K30" s="1">
        <f>SUM(OSRRefE21_1x_3)</f>
        <v>0</v>
      </c>
      <c r="L30" s="1">
        <f>SUM(OSRRefE21_1x_4)</f>
        <v>0</v>
      </c>
      <c r="M30" s="1">
        <f>SUM(OSRRefE21_1x_5)</f>
        <v>0</v>
      </c>
      <c r="N30" s="1">
        <f>SUM(OSRRefE21_1x_6)</f>
        <v>0</v>
      </c>
      <c r="O30" s="1">
        <f>SUM(OSRRefE21_1x_7)</f>
        <v>0</v>
      </c>
      <c r="Q30" s="2">
        <f>SUM(OSRRefD20_1x)+IFERROR(SUM(OSRRefE20_1x),0)</f>
        <v>2151.69</v>
      </c>
    </row>
    <row r="31" spans="1:17" s="34" customFormat="1" hidden="1" outlineLevel="1" x14ac:dyDescent="0.25">
      <c r="A31" s="35"/>
      <c r="B31" s="13" t="str">
        <f>CONCATENATE("          ","6001", " - ","ADMINISTRATIVE SALARIES")</f>
        <v xml:space="preserve">          6001 - ADMINISTRATIVE SALARIES</v>
      </c>
      <c r="C31" s="15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SUM(OSRRefD21_1_0x)+IFERROR(SUM(OSRRefE21_1_0x),0)</f>
        <v>0</v>
      </c>
    </row>
    <row r="32" spans="1:17" s="34" customFormat="1" hidden="1" outlineLevel="1" x14ac:dyDescent="0.25">
      <c r="A32" s="35"/>
      <c r="B32" s="13" t="str">
        <f>CONCATENATE("          ","6002", " - ","STAFF SALARIES")</f>
        <v xml:space="preserve">          6002 - STAFF SALARIES</v>
      </c>
      <c r="C32" s="15"/>
      <c r="D32" s="2">
        <v>2151.69</v>
      </c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SUM(OSRRefD21_1_1x)+IFERROR(SUM(OSRRefE21_1_1x),0)</f>
        <v>2151.69</v>
      </c>
    </row>
    <row r="33" spans="1:17" s="34" customFormat="1" hidden="1" outlineLevel="1" x14ac:dyDescent="0.25">
      <c r="A33" s="35"/>
      <c r="B33" s="13" t="str">
        <f>CONCATENATE("          ","6003", " - ","STAFF HOURLY-9 MONTH")</f>
        <v xml:space="preserve">          6003 - STAFF HOURLY-9 MONTH</v>
      </c>
      <c r="C33" s="15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4" customFormat="1" hidden="1" outlineLevel="1" x14ac:dyDescent="0.25">
      <c r="A34" s="35"/>
      <c r="B34" s="13" t="str">
        <f>CONCATENATE("          ","6004", " - ","STAFF HOURLY")</f>
        <v xml:space="preserve">          6004 - STAFF HOURLY</v>
      </c>
      <c r="C34" s="15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SUM(OSRRefD21_1_3x)+IFERROR(SUM(OSRRefE21_1_3x),0)</f>
        <v>0</v>
      </c>
    </row>
    <row r="35" spans="1:17" s="34" customFormat="1" hidden="1" outlineLevel="1" x14ac:dyDescent="0.25">
      <c r="A35" s="35"/>
      <c r="B35" s="13" t="str">
        <f>CONCATENATE("          ","6005", " - ","TEMPORARY WAGES-HOURLY")</f>
        <v xml:space="preserve">          6005 - TEMPORARY WAGES-HOURLY</v>
      </c>
      <c r="C35" s="15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0</v>
      </c>
    </row>
    <row r="36" spans="1:17" s="34" customFormat="1" hidden="1" outlineLevel="1" x14ac:dyDescent="0.25">
      <c r="A36" s="35"/>
      <c r="B36" s="13" t="str">
        <f>CONCATENATE("          ","6006", " - ","TEMPORARY PART TIME")</f>
        <v xml:space="preserve">          6006 - TEMPORARY PART TIME</v>
      </c>
      <c r="C36" s="15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4" customFormat="1" hidden="1" outlineLevel="1" x14ac:dyDescent="0.25">
      <c r="A37" s="35"/>
      <c r="B37" s="13" t="str">
        <f>CONCATENATE("          ","6007", " - ","STUDENT HOURLY")</f>
        <v xml:space="preserve">          6007 - STUDENT HOURLY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SUM(OSRRefD21_1_6x)+IFERROR(SUM(OSRRefE21_1_6x),0)</f>
        <v>0</v>
      </c>
    </row>
    <row r="38" spans="1:17" s="34" customFormat="1" hidden="1" outlineLevel="1" x14ac:dyDescent="0.25">
      <c r="A38" s="35"/>
      <c r="B38" s="13" t="str">
        <f>CONCATENATE("          ","6008", " - ","STUDENT HOURLY-FICA EXEMPT")</f>
        <v xml:space="preserve">          6008 - STUDENT HOURLY-FICA EXEMPT</v>
      </c>
      <c r="C38" s="15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SUM(OSRRefD21_1_7x)+IFERROR(SUM(OSRRefE21_1_7x),0)</f>
        <v>0</v>
      </c>
    </row>
    <row r="39" spans="1:17" s="34" customFormat="1" hidden="1" outlineLevel="1" x14ac:dyDescent="0.25">
      <c r="A39" s="35"/>
      <c r="B39" s="13" t="str">
        <f>CONCATENATE("          ","6009", " - ","TEMPORARY-SEASONAL")</f>
        <v xml:space="preserve">          6009 - TEMPORARY-SEASONAL</v>
      </c>
      <c r="C39" s="15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4" customFormat="1" hidden="1" outlineLevel="1" x14ac:dyDescent="0.25">
      <c r="A40" s="35"/>
      <c r="B40" s="13" t="str">
        <f>CONCATENATE("          ","6010", " - ","GRATUITY")</f>
        <v xml:space="preserve">          6010 - GRATUITY</v>
      </c>
      <c r="C40" s="15"/>
      <c r="D40" s="2"/>
      <c r="E40" s="2"/>
      <c r="F40" s="2"/>
      <c r="G40" s="2"/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4" customFormat="1" collapsed="1" x14ac:dyDescent="0.25">
      <c r="A41" s="35"/>
      <c r="B41" s="15" t="str">
        <f>CONCATENATE("     ","Advertising/Promo                                 ")</f>
        <v xml:space="preserve">     Advertising/Promo                                 </v>
      </c>
      <c r="C41" s="15"/>
      <c r="D41" s="1">
        <f>SUM(OSRRefD21_2x_0)</f>
        <v>0</v>
      </c>
      <c r="E41" s="1">
        <f>SUM(OSRRefD21_2x_1)</f>
        <v>0</v>
      </c>
      <c r="F41" s="1">
        <f>SUM(OSRRefD21_2x_2)</f>
        <v>0</v>
      </c>
      <c r="G41" s="1">
        <f>SUM(OSRRefD21_2x_3)</f>
        <v>0</v>
      </c>
      <c r="H41" s="1">
        <f>SUM(OSRRefE21_2x_0)</f>
        <v>0</v>
      </c>
      <c r="I41" s="1">
        <f>SUM(OSRRefE21_2x_1)</f>
        <v>0</v>
      </c>
      <c r="J41" s="1">
        <f>SUM(OSRRefE21_2x_2)</f>
        <v>0</v>
      </c>
      <c r="K41" s="1">
        <f>SUM(OSRRefE21_2x_3)</f>
        <v>0</v>
      </c>
      <c r="L41" s="1">
        <f>SUM(OSRRefE21_2x_4)</f>
        <v>0</v>
      </c>
      <c r="M41" s="1">
        <f>SUM(OSRRefE21_2x_5)</f>
        <v>0</v>
      </c>
      <c r="N41" s="1">
        <f>SUM(OSRRefE21_2x_6)</f>
        <v>0</v>
      </c>
      <c r="O41" s="1">
        <f>SUM(OSRRefE21_2x_7)</f>
        <v>0</v>
      </c>
      <c r="Q41" s="2">
        <f>SUM(OSRRefD20_2x)+IFERROR(SUM(OSRRefE20_2x),0)</f>
        <v>0</v>
      </c>
    </row>
    <row r="42" spans="1:17" s="34" customFormat="1" hidden="1" outlineLevel="1" x14ac:dyDescent="0.25">
      <c r="A42" s="35"/>
      <c r="B42" s="13" t="str">
        <f>CONCATENATE("          ","6362", " - ","ADVERTISING EXPENSE")</f>
        <v xml:space="preserve">          6362 - ADVERTISING EXPENSE</v>
      </c>
      <c r="C42" s="15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SUM(OSRRefD21_2_0x)+IFERROR(SUM(OSRRefE21_2_0x),0)</f>
        <v>0</v>
      </c>
    </row>
    <row r="43" spans="1:17" s="34" customFormat="1" collapsed="1" x14ac:dyDescent="0.25">
      <c r="A43" s="35"/>
      <c r="B43" s="15" t="str">
        <f>CONCATENATE("     ","Bank/card Fees                                    ")</f>
        <v xml:space="preserve">     Bank/card Fees                                    </v>
      </c>
      <c r="C43" s="15"/>
      <c r="D43" s="1">
        <f>SUM(OSRRefD21_3x_0)</f>
        <v>0</v>
      </c>
      <c r="E43" s="1">
        <f>SUM(OSRRefD21_3x_1)</f>
        <v>0</v>
      </c>
      <c r="F43" s="1">
        <f>SUM(OSRRefD21_3x_2)</f>
        <v>0</v>
      </c>
      <c r="G43" s="1">
        <f>SUM(OSRRefD21_3x_3)</f>
        <v>0</v>
      </c>
      <c r="H43" s="1">
        <f>SUM(OSRRefE21_3x_0)</f>
        <v>0</v>
      </c>
      <c r="I43" s="1">
        <f>SUM(OSRRefE21_3x_1)</f>
        <v>0</v>
      </c>
      <c r="J43" s="1">
        <f>SUM(OSRRefE21_3x_2)</f>
        <v>0</v>
      </c>
      <c r="K43" s="1">
        <f>SUM(OSRRefE21_3x_3)</f>
        <v>0</v>
      </c>
      <c r="L43" s="1">
        <f>SUM(OSRRefE21_3x_4)</f>
        <v>0</v>
      </c>
      <c r="M43" s="1">
        <f>SUM(OSRRefE21_3x_5)</f>
        <v>0</v>
      </c>
      <c r="N43" s="1">
        <f>SUM(OSRRefE21_3x_6)</f>
        <v>0</v>
      </c>
      <c r="O43" s="1">
        <f>SUM(OSRRefE21_3x_7)</f>
        <v>0</v>
      </c>
      <c r="Q43" s="2">
        <f>SUM(OSRRefD20_3x)+IFERROR(SUM(OSRRefE20_3x),0)</f>
        <v>0</v>
      </c>
    </row>
    <row r="44" spans="1:17" s="34" customFormat="1" hidden="1" outlineLevel="1" x14ac:dyDescent="0.25">
      <c r="A44" s="35"/>
      <c r="B44" s="13" t="str">
        <f>CONCATENATE("          ","6381", " - ","BANK/CREDIT CARD FEES")</f>
        <v xml:space="preserve">          6381 - BANK/CREDIT CARD FEES</v>
      </c>
      <c r="C44" s="15"/>
      <c r="D44" s="2"/>
      <c r="E44" s="2"/>
      <c r="F44" s="2"/>
      <c r="G44" s="2"/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SUM(OSRRefD21_3_0x)+IFERROR(SUM(OSRRefE21_3_0x),0)</f>
        <v>0</v>
      </c>
    </row>
    <row r="45" spans="1:17" s="34" customFormat="1" collapsed="1" x14ac:dyDescent="0.25">
      <c r="A45" s="35"/>
      <c r="B45" s="15" t="str">
        <f>CONCATENATE("     ","Depreciation                                      ")</f>
        <v xml:space="preserve">     Depreciation                                      </v>
      </c>
      <c r="C45" s="15"/>
      <c r="D45" s="1">
        <f>SUM(OSRRefD21_4x_0)</f>
        <v>7177.55</v>
      </c>
      <c r="E45" s="1">
        <f>SUM(OSRRefD21_4x_1)</f>
        <v>7177.55</v>
      </c>
      <c r="F45" s="1">
        <f>SUM(OSRRefD21_4x_2)</f>
        <v>7177.55</v>
      </c>
      <c r="G45" s="1">
        <f>SUM(OSRRefD21_4x_3)</f>
        <v>6745.18</v>
      </c>
      <c r="H45" s="1">
        <f>SUM(OSRRefE21_4x_0)</f>
        <v>6745</v>
      </c>
      <c r="I45" s="1">
        <f>SUM(OSRRefE21_4x_1)</f>
        <v>6745</v>
      </c>
      <c r="J45" s="1">
        <f>SUM(OSRRefE21_4x_2)</f>
        <v>6745</v>
      </c>
      <c r="K45" s="1">
        <f>SUM(OSRRefE21_4x_3)</f>
        <v>6745</v>
      </c>
      <c r="L45" s="1">
        <f>SUM(OSRRefE21_4x_4)</f>
        <v>6745</v>
      </c>
      <c r="M45" s="1">
        <f>SUM(OSRRefE21_4x_5)</f>
        <v>6745</v>
      </c>
      <c r="N45" s="1">
        <f>SUM(OSRRefE21_4x_6)</f>
        <v>6745</v>
      </c>
      <c r="O45" s="1">
        <f>SUM(OSRRefE21_4x_7)</f>
        <v>6745</v>
      </c>
      <c r="Q45" s="2">
        <f>SUM(OSRRefD20_4x)+IFERROR(SUM(OSRRefE20_4x),0)</f>
        <v>82237.83</v>
      </c>
    </row>
    <row r="46" spans="1:17" s="34" customFormat="1" hidden="1" outlineLevel="1" x14ac:dyDescent="0.25">
      <c r="A46" s="35"/>
      <c r="B46" s="13" t="str">
        <f>CONCATENATE("          ","6321", " - ","BUILDING DEPRECIATION")</f>
        <v xml:space="preserve">          6321 - BUILDING DEPRECIATION</v>
      </c>
      <c r="C46" s="15"/>
      <c r="D46" s="2">
        <v>6537.05</v>
      </c>
      <c r="E46" s="2">
        <v>6537.05</v>
      </c>
      <c r="F46" s="2">
        <v>6537.05</v>
      </c>
      <c r="G46" s="2">
        <v>6537.05</v>
      </c>
      <c r="H46" s="2"/>
      <c r="I46" s="2"/>
      <c r="J46" s="2"/>
      <c r="K46" s="2"/>
      <c r="L46" s="2"/>
      <c r="M46" s="2"/>
      <c r="N46" s="2"/>
      <c r="O46" s="2"/>
      <c r="P46" s="9"/>
      <c r="Q46" s="2">
        <f>SUM(OSRRefD21_4_0x)+IFERROR(SUM(OSRRefE21_4_0x),0)</f>
        <v>26148.2</v>
      </c>
    </row>
    <row r="47" spans="1:17" s="34" customFormat="1" hidden="1" outlineLevel="1" x14ac:dyDescent="0.25">
      <c r="A47" s="35"/>
      <c r="B47" s="13" t="str">
        <f>CONCATENATE("          ","6322", " - ","EQUIPMENT DEPRECIATION EXPENSE")</f>
        <v xml:space="preserve">          6322 - EQUIPMENT DEPRECIATION EXPENSE</v>
      </c>
      <c r="C47" s="15"/>
      <c r="D47" s="2">
        <v>640.5</v>
      </c>
      <c r="E47" s="2">
        <v>640.5</v>
      </c>
      <c r="F47" s="2">
        <v>640.5</v>
      </c>
      <c r="G47" s="2">
        <v>208.13</v>
      </c>
      <c r="H47" s="2">
        <v>6745</v>
      </c>
      <c r="I47" s="2">
        <v>6745</v>
      </c>
      <c r="J47" s="2">
        <v>6745</v>
      </c>
      <c r="K47" s="2">
        <v>6745</v>
      </c>
      <c r="L47" s="2">
        <v>6745</v>
      </c>
      <c r="M47" s="2">
        <v>6745</v>
      </c>
      <c r="N47" s="2">
        <v>6745</v>
      </c>
      <c r="O47" s="2">
        <v>6745</v>
      </c>
      <c r="P47" s="9"/>
      <c r="Q47" s="2">
        <f>SUM(OSRRefD21_4_1x)+IFERROR(SUM(OSRRefE21_4_1x),0)</f>
        <v>56089.63</v>
      </c>
    </row>
    <row r="48" spans="1:17" s="34" customFormat="1" collapsed="1" x14ac:dyDescent="0.25">
      <c r="A48" s="35"/>
      <c r="B48" s="15" t="str">
        <f>CONCATENATE("     ","Employees' Appreciation                           ")</f>
        <v xml:space="preserve">     Employees' Appreciation                           </v>
      </c>
      <c r="C48" s="15"/>
      <c r="D48" s="1">
        <f>SUM(OSRRefD21_5x_0)</f>
        <v>0</v>
      </c>
      <c r="E48" s="1">
        <f>SUM(OSRRefD21_5x_1)</f>
        <v>0</v>
      </c>
      <c r="F48" s="1">
        <f>SUM(OSRRefD21_5x_2)</f>
        <v>0</v>
      </c>
      <c r="G48" s="1">
        <f>SUM(OSRRefD21_5x_3)</f>
        <v>0</v>
      </c>
      <c r="H48" s="1">
        <f>SUM(OSRRefE21_5x_0)</f>
        <v>0</v>
      </c>
      <c r="I48" s="1">
        <f>SUM(OSRRefE21_5x_1)</f>
        <v>0</v>
      </c>
      <c r="J48" s="1">
        <f>SUM(OSRRefE21_5x_2)</f>
        <v>0</v>
      </c>
      <c r="K48" s="1">
        <f>SUM(OSRRefE21_5x_3)</f>
        <v>0</v>
      </c>
      <c r="L48" s="1">
        <f>SUM(OSRRefE21_5x_4)</f>
        <v>0</v>
      </c>
      <c r="M48" s="1">
        <f>SUM(OSRRefE21_5x_5)</f>
        <v>0</v>
      </c>
      <c r="N48" s="1">
        <f>SUM(OSRRefE21_5x_6)</f>
        <v>0</v>
      </c>
      <c r="O48" s="1">
        <f>SUM(OSRRefE21_5x_7)</f>
        <v>0</v>
      </c>
      <c r="Q48" s="2">
        <f>SUM(OSRRefD20_5x)+IFERROR(SUM(OSRRefE20_5x),0)</f>
        <v>0</v>
      </c>
    </row>
    <row r="49" spans="1:17" s="34" customFormat="1" hidden="1" outlineLevel="1" x14ac:dyDescent="0.25">
      <c r="A49" s="35"/>
      <c r="B49" s="13" t="str">
        <f>CONCATENATE("          ","6277", " - ","EMPLOYEE APPRECIATION")</f>
        <v xml:space="preserve">          6277 - EMPLOYEE APPRECIATION</v>
      </c>
      <c r="C49" s="15"/>
      <c r="D49" s="2"/>
      <c r="E49" s="2"/>
      <c r="F49" s="2"/>
      <c r="G49" s="2"/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SUM(OSRRefD21_5_0x)+IFERROR(SUM(OSRRefE21_5_0x),0)</f>
        <v>0</v>
      </c>
    </row>
    <row r="50" spans="1:17" s="34" customFormat="1" collapsed="1" x14ac:dyDescent="0.25">
      <c r="A50" s="35"/>
      <c r="B50" s="15" t="str">
        <f>CONCATENATE("     ","Equipment Rental                                  ")</f>
        <v xml:space="preserve">     Equipment Rental                                  </v>
      </c>
      <c r="C50" s="15"/>
      <c r="D50" s="1">
        <f>SUM(OSRRefD21_6x_0)</f>
        <v>263.72000000000003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SUM(OSRRefE21_6x_0)</f>
        <v>0</v>
      </c>
      <c r="I50" s="1">
        <f>SUM(OSRRefE21_6x_1)</f>
        <v>0</v>
      </c>
      <c r="J50" s="1">
        <f>SUM(OSRRefE21_6x_2)</f>
        <v>0</v>
      </c>
      <c r="K50" s="1">
        <f>SUM(OSRRefE21_6x_3)</f>
        <v>0</v>
      </c>
      <c r="L50" s="1">
        <f>SUM(OSRRefE21_6x_4)</f>
        <v>0</v>
      </c>
      <c r="M50" s="1">
        <f>SUM(OSRRefE21_6x_5)</f>
        <v>0</v>
      </c>
      <c r="N50" s="1">
        <f>SUM(OSRRefE21_6x_6)</f>
        <v>0</v>
      </c>
      <c r="O50" s="1">
        <f>SUM(OSRRefE21_6x_7)</f>
        <v>0</v>
      </c>
      <c r="Q50" s="2">
        <f>SUM(OSRRefD20_6x)+IFERROR(SUM(OSRRefE20_6x),0)</f>
        <v>263.72000000000003</v>
      </c>
    </row>
    <row r="51" spans="1:17" s="34" customFormat="1" hidden="1" outlineLevel="1" x14ac:dyDescent="0.25">
      <c r="A51" s="35"/>
      <c r="B51" s="13" t="str">
        <f>CONCATENATE("          ","6351", " - ","EQUIPMENT RENTAL")</f>
        <v xml:space="preserve">          6351 - EQUIPMENT RENTAL</v>
      </c>
      <c r="C51" s="15"/>
      <c r="D51" s="2">
        <v>263.72000000000003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9"/>
      <c r="Q51" s="2">
        <f>SUM(OSRRefD21_6_0x)+IFERROR(SUM(OSRRefE21_6_0x),0)</f>
        <v>263.72000000000003</v>
      </c>
    </row>
    <row r="52" spans="1:17" s="34" customFormat="1" collapsed="1" x14ac:dyDescent="0.25">
      <c r="A52" s="35"/>
      <c r="B52" s="15" t="str">
        <f>CONCATENATE("     ","General                                           ")</f>
        <v xml:space="preserve">     General                                           </v>
      </c>
      <c r="C52" s="15"/>
      <c r="D52" s="1">
        <f>SUM(OSRRefD21_7x_0)</f>
        <v>1284.55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SUM(OSRRefE21_7x_0)</f>
        <v>0</v>
      </c>
      <c r="I52" s="1">
        <f>SUM(OSRRefE21_7x_1)</f>
        <v>0</v>
      </c>
      <c r="J52" s="1">
        <f>SUM(OSRRefE21_7x_2)</f>
        <v>0</v>
      </c>
      <c r="K52" s="1">
        <f>SUM(OSRRefE21_7x_3)</f>
        <v>1800</v>
      </c>
      <c r="L52" s="1">
        <f>SUM(OSRRefE21_7x_4)</f>
        <v>0</v>
      </c>
      <c r="M52" s="1">
        <f>SUM(OSRRefE21_7x_5)</f>
        <v>0</v>
      </c>
      <c r="N52" s="1">
        <f>SUM(OSRRefE21_7x_6)</f>
        <v>0</v>
      </c>
      <c r="O52" s="1">
        <f>SUM(OSRRefE21_7x_7)</f>
        <v>0</v>
      </c>
      <c r="Q52" s="2">
        <f>SUM(OSRRefD20_7x)+IFERROR(SUM(OSRRefE20_7x),0)</f>
        <v>3084.55</v>
      </c>
    </row>
    <row r="53" spans="1:17" s="34" customFormat="1" hidden="1" outlineLevel="1" x14ac:dyDescent="0.25">
      <c r="A53" s="35"/>
      <c r="B53" s="13" t="str">
        <f>CONCATENATE("          ","6279", " - ","GENERAL EXPENSE")</f>
        <v xml:space="preserve">          6279 - GENERAL EXPENSE</v>
      </c>
      <c r="C53" s="15"/>
      <c r="D53" s="2">
        <v>1284.55</v>
      </c>
      <c r="E53" s="2"/>
      <c r="F53" s="2"/>
      <c r="G53" s="2"/>
      <c r="H53" s="2"/>
      <c r="I53" s="2"/>
      <c r="J53" s="2">
        <v>0</v>
      </c>
      <c r="K53" s="2">
        <v>1800</v>
      </c>
      <c r="L53" s="2"/>
      <c r="M53" s="2"/>
      <c r="N53" s="2"/>
      <c r="O53" s="2"/>
      <c r="P53" s="9"/>
      <c r="Q53" s="2">
        <f>SUM(OSRRefD21_7_0x)+IFERROR(SUM(OSRRefE21_7_0x),0)</f>
        <v>3084.55</v>
      </c>
    </row>
    <row r="54" spans="1:17" s="34" customFormat="1" collapsed="1" x14ac:dyDescent="0.25">
      <c r="A54" s="35"/>
      <c r="B54" s="15" t="str">
        <f>CONCATENATE("     ","Repair and Maintenance                            ")</f>
        <v xml:space="preserve">     Repair and Maintenance                            </v>
      </c>
      <c r="C54" s="15"/>
      <c r="D54" s="1">
        <f>SUM(OSRRefD21_8x_0)</f>
        <v>0</v>
      </c>
      <c r="E54" s="1">
        <f>SUM(OSRRefD21_8x_1)</f>
        <v>78.599999999999994</v>
      </c>
      <c r="F54" s="1">
        <f>SUM(OSRRefD21_8x_2)</f>
        <v>198.87</v>
      </c>
      <c r="G54" s="1">
        <f>SUM(OSRRefD21_8x_3)</f>
        <v>0</v>
      </c>
      <c r="H54" s="1">
        <f>SUM(OSRRefE21_8x_0)</f>
        <v>0</v>
      </c>
      <c r="I54" s="1">
        <f>SUM(OSRRefE21_8x_1)</f>
        <v>0</v>
      </c>
      <c r="J54" s="1">
        <f>SUM(OSRRefE21_8x_2)</f>
        <v>0</v>
      </c>
      <c r="K54" s="1">
        <f>SUM(OSRRefE21_8x_3)</f>
        <v>0</v>
      </c>
      <c r="L54" s="1">
        <f>SUM(OSRRefE21_8x_4)</f>
        <v>0</v>
      </c>
      <c r="M54" s="1">
        <f>SUM(OSRRefE21_8x_5)</f>
        <v>0</v>
      </c>
      <c r="N54" s="1">
        <f>SUM(OSRRefE21_8x_6)</f>
        <v>0</v>
      </c>
      <c r="O54" s="1">
        <f>SUM(OSRRefE21_8x_7)</f>
        <v>0</v>
      </c>
      <c r="Q54" s="2">
        <f>SUM(OSRRefD20_8x)+IFERROR(SUM(OSRRefE20_8x),0)</f>
        <v>277.47000000000003</v>
      </c>
    </row>
    <row r="55" spans="1:17" s="34" customFormat="1" hidden="1" outlineLevel="1" x14ac:dyDescent="0.25">
      <c r="A55" s="35"/>
      <c r="B55" s="13" t="str">
        <f>CONCATENATE("          ","6373", " - ","MAINTENANCE CONTRACTS")</f>
        <v xml:space="preserve">          6373 - MAINTENANCE CONTRACTS</v>
      </c>
      <c r="C55" s="15"/>
      <c r="D55" s="2"/>
      <c r="E55" s="2">
        <v>78.599999999999994</v>
      </c>
      <c r="F55" s="2">
        <v>198.87</v>
      </c>
      <c r="G55" s="2"/>
      <c r="H55" s="2"/>
      <c r="I55" s="2"/>
      <c r="J55" s="2"/>
      <c r="K55" s="2">
        <v>0</v>
      </c>
      <c r="L55" s="2"/>
      <c r="M55" s="2"/>
      <c r="N55" s="2"/>
      <c r="O55" s="2"/>
      <c r="P55" s="9"/>
      <c r="Q55" s="2">
        <f>SUM(OSRRefD21_8_0x)+IFERROR(SUM(OSRRefE21_8_0x),0)</f>
        <v>277.47000000000003</v>
      </c>
    </row>
    <row r="56" spans="1:17" s="34" customFormat="1" hidden="1" outlineLevel="1" x14ac:dyDescent="0.25">
      <c r="A56" s="35"/>
      <c r="B56" s="13" t="str">
        <f>CONCATENATE("          ","6375", " - ","OUTSIDE REPAIRS &amp; MAINTENANCE")</f>
        <v xml:space="preserve">          6375 - OUTSIDE REPAIRS &amp; MAINTENANCE</v>
      </c>
      <c r="C56" s="15"/>
      <c r="D56" s="2"/>
      <c r="E56" s="2"/>
      <c r="F56" s="2"/>
      <c r="G56" s="2"/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9"/>
      <c r="Q56" s="2">
        <f>SUM(OSRRefD21_8_1x)+IFERROR(SUM(OSRRefE21_8_1x),0)</f>
        <v>0</v>
      </c>
    </row>
    <row r="57" spans="1:17" s="34" customFormat="1" collapsed="1" x14ac:dyDescent="0.25">
      <c r="A57" s="35"/>
      <c r="B57" s="15" t="str">
        <f>CONCATENATE("     ","Services                                          ")</f>
        <v xml:space="preserve">     Services                                          </v>
      </c>
      <c r="C57" s="15"/>
      <c r="D57" s="1">
        <f>SUM(OSRRefD21_9x_0)</f>
        <v>0</v>
      </c>
      <c r="E57" s="1">
        <f>SUM(OSRRefD21_9x_1)</f>
        <v>0</v>
      </c>
      <c r="F57" s="1">
        <f>SUM(OSRRefD21_9x_2)</f>
        <v>0</v>
      </c>
      <c r="G57" s="1">
        <f>SUM(OSRRefD21_9x_3)</f>
        <v>0</v>
      </c>
      <c r="H57" s="1">
        <f>SUM(OSRRefE21_9x_0)</f>
        <v>0</v>
      </c>
      <c r="I57" s="1">
        <f>SUM(OSRRefE21_9x_1)</f>
        <v>0</v>
      </c>
      <c r="J57" s="1">
        <f>SUM(OSRRefE21_9x_2)</f>
        <v>0</v>
      </c>
      <c r="K57" s="1">
        <f>SUM(OSRRefE21_9x_3)</f>
        <v>0</v>
      </c>
      <c r="L57" s="1">
        <f>SUM(OSRRefE21_9x_4)</f>
        <v>0</v>
      </c>
      <c r="M57" s="1">
        <f>SUM(OSRRefE21_9x_5)</f>
        <v>0</v>
      </c>
      <c r="N57" s="1">
        <f>SUM(OSRRefE21_9x_6)</f>
        <v>0</v>
      </c>
      <c r="O57" s="1">
        <f>SUM(OSRRefE21_9x_7)</f>
        <v>0</v>
      </c>
      <c r="Q57" s="2">
        <f>SUM(OSRRefD20_9x)+IFERROR(SUM(OSRRefE20_9x),0)</f>
        <v>0</v>
      </c>
    </row>
    <row r="58" spans="1:17" s="34" customFormat="1" hidden="1" outlineLevel="1" x14ac:dyDescent="0.25">
      <c r="A58" s="35"/>
      <c r="B58" s="13" t="str">
        <f>CONCATENATE("          ","6283", " - ","PLANT SERVICE")</f>
        <v xml:space="preserve">          6283 - PLANT SERVICE</v>
      </c>
      <c r="C58" s="15"/>
      <c r="D58" s="2"/>
      <c r="E58" s="2"/>
      <c r="F58" s="2"/>
      <c r="G58" s="2"/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SUM(OSRRefD21_9_0x)+IFERROR(SUM(OSRRefE21_9_0x),0)</f>
        <v>0</v>
      </c>
    </row>
    <row r="59" spans="1:17" s="34" customFormat="1" hidden="1" outlineLevel="1" x14ac:dyDescent="0.25">
      <c r="A59" s="35"/>
      <c r="B59" s="13" t="str">
        <f>CONCATENATE("          ","6286", " - ","LAUNDRY EXPENSE")</f>
        <v xml:space="preserve">          6286 - LAUNDRY EXPENSE</v>
      </c>
      <c r="C59" s="15"/>
      <c r="D59" s="2"/>
      <c r="E59" s="2"/>
      <c r="F59" s="2"/>
      <c r="G59" s="2"/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SUM(OSRRefD21_9_1x)+IFERROR(SUM(OSRRefE21_9_1x),0)</f>
        <v>0</v>
      </c>
    </row>
    <row r="60" spans="1:17" s="34" customFormat="1" collapsed="1" x14ac:dyDescent="0.25">
      <c r="A60" s="35"/>
      <c r="B60" s="15" t="str">
        <f>CONCATENATE("     ","Subscriptions &amp; Dues                              ")</f>
        <v xml:space="preserve">     Subscriptions &amp; Dues                              </v>
      </c>
      <c r="C60" s="15"/>
      <c r="D60" s="1">
        <f>SUM(OSRRefD21_10x_0)</f>
        <v>0</v>
      </c>
      <c r="E60" s="1">
        <f>SUM(OSRRefD21_10x_1)</f>
        <v>0</v>
      </c>
      <c r="F60" s="1">
        <f>SUM(OSRRefD21_10x_2)</f>
        <v>0</v>
      </c>
      <c r="G60" s="1">
        <f>SUM(OSRRefD21_10x_3)</f>
        <v>0</v>
      </c>
      <c r="H60" s="1">
        <f>SUM(OSRRefE21_10x_0)</f>
        <v>0</v>
      </c>
      <c r="I60" s="1">
        <f>SUM(OSRRefE21_10x_1)</f>
        <v>0</v>
      </c>
      <c r="J60" s="1">
        <f>SUM(OSRRefE21_10x_2)</f>
        <v>0</v>
      </c>
      <c r="K60" s="1">
        <f>SUM(OSRRefE21_10x_3)</f>
        <v>0</v>
      </c>
      <c r="L60" s="1">
        <f>SUM(OSRRefE21_10x_4)</f>
        <v>0</v>
      </c>
      <c r="M60" s="1">
        <f>SUM(OSRRefE21_10x_5)</f>
        <v>0</v>
      </c>
      <c r="N60" s="1">
        <f>SUM(OSRRefE21_10x_6)</f>
        <v>0</v>
      </c>
      <c r="O60" s="1">
        <f>SUM(OSRRefE21_10x_7)</f>
        <v>0</v>
      </c>
      <c r="Q60" s="2">
        <f>SUM(OSRRefD20_10x)+IFERROR(SUM(OSRRefE20_10x),0)</f>
        <v>0</v>
      </c>
    </row>
    <row r="61" spans="1:17" s="34" customFormat="1" hidden="1" outlineLevel="1" x14ac:dyDescent="0.25">
      <c r="A61" s="35"/>
      <c r="B61" s="13" t="str">
        <f>CONCATENATE("          ","6258", " - ","MEMBERSHIP DUES")</f>
        <v xml:space="preserve">          6258 - MEMBERSHIP DUES</v>
      </c>
      <c r="C61" s="15"/>
      <c r="D61" s="2"/>
      <c r="E61" s="2"/>
      <c r="F61" s="2"/>
      <c r="G61" s="2"/>
      <c r="H61" s="2"/>
      <c r="I61" s="2">
        <v>0</v>
      </c>
      <c r="J61" s="2"/>
      <c r="K61" s="2"/>
      <c r="L61" s="2"/>
      <c r="M61" s="2"/>
      <c r="N61" s="2"/>
      <c r="O61" s="2"/>
      <c r="P61" s="9"/>
      <c r="Q61" s="2">
        <f>SUM(OSRRefD21_10_0x)+IFERROR(SUM(OSRRefE21_10_0x),0)</f>
        <v>0</v>
      </c>
    </row>
    <row r="62" spans="1:17" s="34" customFormat="1" hidden="1" outlineLevel="1" x14ac:dyDescent="0.25">
      <c r="A62" s="35"/>
      <c r="B62" s="13" t="str">
        <f>CONCATENATE("          ","6275", " - ","SUBSCRIPTIONS")</f>
        <v xml:space="preserve">          6275 - SUBSCRIPTIONS</v>
      </c>
      <c r="C62" s="15"/>
      <c r="D62" s="2"/>
      <c r="E62" s="2"/>
      <c r="F62" s="2"/>
      <c r="G62" s="2"/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SUM(OSRRefD21_10_1x)+IFERROR(SUM(OSRRefE21_10_1x),0)</f>
        <v>0</v>
      </c>
    </row>
    <row r="63" spans="1:17" s="34" customFormat="1" collapsed="1" x14ac:dyDescent="0.25">
      <c r="A63" s="35"/>
      <c r="B63" s="15" t="str">
        <f>CONCATENATE("     ","Supplies                                          ")</f>
        <v xml:space="preserve">     Supplies                                          </v>
      </c>
      <c r="C63" s="15"/>
      <c r="D63" s="1">
        <f>SUM(OSRRefD21_11x_0)</f>
        <v>0</v>
      </c>
      <c r="E63" s="1">
        <f>SUM(OSRRefD21_11x_1)</f>
        <v>0</v>
      </c>
      <c r="F63" s="1">
        <f>SUM(OSRRefD21_11x_2)</f>
        <v>0</v>
      </c>
      <c r="G63" s="1">
        <f>SUM(OSRRefD21_11x_3)</f>
        <v>0</v>
      </c>
      <c r="H63" s="1">
        <f>SUM(OSRRefE21_11x_0)</f>
        <v>0</v>
      </c>
      <c r="I63" s="1">
        <f>SUM(OSRRefE21_11x_1)</f>
        <v>0</v>
      </c>
      <c r="J63" s="1">
        <f>SUM(OSRRefE21_11x_2)</f>
        <v>0</v>
      </c>
      <c r="K63" s="1">
        <f>SUM(OSRRefE21_11x_3)</f>
        <v>0</v>
      </c>
      <c r="L63" s="1">
        <f>SUM(OSRRefE21_11x_4)</f>
        <v>0</v>
      </c>
      <c r="M63" s="1">
        <f>SUM(OSRRefE21_11x_5)</f>
        <v>0</v>
      </c>
      <c r="N63" s="1">
        <f>SUM(OSRRefE21_11x_6)</f>
        <v>0</v>
      </c>
      <c r="O63" s="1">
        <f>SUM(OSRRefE21_11x_7)</f>
        <v>0</v>
      </c>
      <c r="Q63" s="2">
        <f>SUM(OSRRefD20_11x)+IFERROR(SUM(OSRRefE20_11x),0)</f>
        <v>0</v>
      </c>
    </row>
    <row r="64" spans="1:17" s="34" customFormat="1" hidden="1" outlineLevel="1" x14ac:dyDescent="0.25">
      <c r="A64" s="35"/>
      <c r="B64" s="13" t="str">
        <f>CONCATENATE("          ","6235", " - ","COVID-19 EXPENSES")</f>
        <v xml:space="preserve">          6235 - COVID-19 EXPENSES</v>
      </c>
      <c r="C64" s="15"/>
      <c r="D64" s="2"/>
      <c r="E64" s="2"/>
      <c r="F64" s="2"/>
      <c r="G64" s="2"/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SUM(OSRRefD21_11_0x)+IFERROR(SUM(OSRRefE21_11_0x),0)</f>
        <v>0</v>
      </c>
    </row>
    <row r="65" spans="1:17" s="34" customFormat="1" hidden="1" outlineLevel="1" x14ac:dyDescent="0.25">
      <c r="A65" s="35"/>
      <c r="B65" s="13" t="str">
        <f>CONCATENATE("          ","6237", " - ","JANITORIAL SUPPLIES")</f>
        <v xml:space="preserve">          6237 - JANITORIAL SUPPLIES</v>
      </c>
      <c r="C65" s="15"/>
      <c r="D65" s="2"/>
      <c r="E65" s="2"/>
      <c r="F65" s="2"/>
      <c r="G65" s="2"/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SUM(OSRRefD21_11_1x)+IFERROR(SUM(OSRRefE21_11_1x),0)</f>
        <v>0</v>
      </c>
    </row>
    <row r="66" spans="1:17" s="34" customFormat="1" hidden="1" outlineLevel="1" x14ac:dyDescent="0.25">
      <c r="A66" s="35"/>
      <c r="B66" s="13" t="str">
        <f>CONCATENATE("          ","6239", " - ","KITCHEN SUPPLIES")</f>
        <v xml:space="preserve">          6239 - KITCHEN SUPPLIES</v>
      </c>
      <c r="C66" s="15"/>
      <c r="D66" s="2"/>
      <c r="E66" s="2"/>
      <c r="F66" s="2"/>
      <c r="G66" s="2"/>
      <c r="H66" s="2"/>
      <c r="I66" s="2"/>
      <c r="J66" s="2">
        <v>0</v>
      </c>
      <c r="K66" s="2"/>
      <c r="L66" s="2"/>
      <c r="M66" s="2"/>
      <c r="N66" s="2"/>
      <c r="O66" s="2"/>
      <c r="P66" s="9"/>
      <c r="Q66" s="2">
        <f>SUM(OSRRefD21_11_2x)+IFERROR(SUM(OSRRefE21_11_2x),0)</f>
        <v>0</v>
      </c>
    </row>
    <row r="67" spans="1:17" s="34" customFormat="1" hidden="1" outlineLevel="1" x14ac:dyDescent="0.25">
      <c r="A67" s="35"/>
      <c r="B67" s="13" t="str">
        <f>CONCATENATE("          ","6241", " - ","OFFICE EXPENSE")</f>
        <v xml:space="preserve">          6241 - OFFICE EXPENSE</v>
      </c>
      <c r="C67" s="15"/>
      <c r="D67" s="2"/>
      <c r="E67" s="2"/>
      <c r="F67" s="2"/>
      <c r="G67" s="2"/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SUM(OSRRefD21_11_3x)+IFERROR(SUM(OSRRefE21_11_3x),0)</f>
        <v>0</v>
      </c>
    </row>
    <row r="68" spans="1:17" s="34" customFormat="1" hidden="1" outlineLevel="1" x14ac:dyDescent="0.25">
      <c r="A68" s="35"/>
      <c r="B68" s="13" t="str">
        <f>CONCATENATE("          ","6243", " - ","PAPER SUPPLIES")</f>
        <v xml:space="preserve">          6243 - PAPER SUPPLIES</v>
      </c>
      <c r="C68" s="15"/>
      <c r="D68" s="2"/>
      <c r="E68" s="2"/>
      <c r="F68" s="2"/>
      <c r="G68" s="2"/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SUM(OSRRefD21_11_4x)+IFERROR(SUM(OSRRefE21_11_4x),0)</f>
        <v>0</v>
      </c>
    </row>
    <row r="69" spans="1:17" s="34" customFormat="1" hidden="1" outlineLevel="1" x14ac:dyDescent="0.25">
      <c r="A69" s="35"/>
      <c r="B69" s="13" t="str">
        <f>CONCATENATE("          ","6244", " - ","SAFETY SUPPLY EXPENSE")</f>
        <v xml:space="preserve">          6244 - SAFETY SUPPLY EXPENSE</v>
      </c>
      <c r="C69" s="15"/>
      <c r="D69" s="2"/>
      <c r="E69" s="2"/>
      <c r="F69" s="2"/>
      <c r="G69" s="2"/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SUM(OSRRefD21_11_5x)+IFERROR(SUM(OSRRefE21_11_5x),0)</f>
        <v>0</v>
      </c>
    </row>
    <row r="70" spans="1:17" s="34" customFormat="1" hidden="1" outlineLevel="1" x14ac:dyDescent="0.25">
      <c r="A70" s="35"/>
      <c r="B70" s="13" t="str">
        <f>CONCATENATE("          ","6245", " - ","PRINTING")</f>
        <v xml:space="preserve">          6245 - PRINTING</v>
      </c>
      <c r="C70" s="15"/>
      <c r="D70" s="2"/>
      <c r="E70" s="2"/>
      <c r="F70" s="2"/>
      <c r="G70" s="2"/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9"/>
      <c r="Q70" s="2">
        <f>SUM(OSRRefD21_11_6x)+IFERROR(SUM(OSRRefE21_11_6x),0)</f>
        <v>0</v>
      </c>
    </row>
    <row r="71" spans="1:17" s="34" customFormat="1" hidden="1" outlineLevel="1" x14ac:dyDescent="0.25">
      <c r="A71" s="35"/>
      <c r="B71" s="13" t="str">
        <f>CONCATENATE("          ","6246", " - ","REPLACEMENTS")</f>
        <v xml:space="preserve">          6246 - REPLACEMENTS</v>
      </c>
      <c r="C71" s="15"/>
      <c r="D71" s="2"/>
      <c r="E71" s="2"/>
      <c r="F71" s="2"/>
      <c r="G71" s="2"/>
      <c r="H71" s="2"/>
      <c r="I71" s="2"/>
      <c r="J71" s="2">
        <v>0</v>
      </c>
      <c r="K71" s="2"/>
      <c r="L71" s="2"/>
      <c r="M71" s="2"/>
      <c r="N71" s="2"/>
      <c r="O71" s="2"/>
      <c r="P71" s="9"/>
      <c r="Q71" s="2">
        <f>SUM(OSRRefD21_11_7x)+IFERROR(SUM(OSRRefE21_11_7x),0)</f>
        <v>0</v>
      </c>
    </row>
    <row r="72" spans="1:17" s="34" customFormat="1" hidden="1" outlineLevel="1" x14ac:dyDescent="0.25">
      <c r="A72" s="35"/>
      <c r="B72" s="13" t="str">
        <f>CONCATENATE("          ","6248", " - ","UNIFORMS")</f>
        <v xml:space="preserve">          6248 - UNIFORMS</v>
      </c>
      <c r="C72" s="15"/>
      <c r="D72" s="2"/>
      <c r="E72" s="2"/>
      <c r="F72" s="2"/>
      <c r="G72" s="2"/>
      <c r="H72" s="2"/>
      <c r="I72" s="2"/>
      <c r="J72" s="2">
        <v>0</v>
      </c>
      <c r="K72" s="2"/>
      <c r="L72" s="2"/>
      <c r="M72" s="2"/>
      <c r="N72" s="2"/>
      <c r="O72" s="2"/>
      <c r="P72" s="9"/>
      <c r="Q72" s="2">
        <f>SUM(OSRRefD21_11_8x)+IFERROR(SUM(OSRRefE21_11_8x),0)</f>
        <v>0</v>
      </c>
    </row>
    <row r="73" spans="1:17" s="34" customFormat="1" collapsed="1" x14ac:dyDescent="0.25">
      <c r="A73" s="35"/>
      <c r="B73" s="15" t="str">
        <f>CONCATENATE("     ","Telephone/Data Lines                              ")</f>
        <v xml:space="preserve">     Telephone/Data Lines                              </v>
      </c>
      <c r="C73" s="15"/>
      <c r="D73" s="1">
        <f>SUM(OSRRefD21_12x_0)</f>
        <v>106</v>
      </c>
      <c r="E73" s="1">
        <f>SUM(OSRRefD21_12x_1)</f>
        <v>106</v>
      </c>
      <c r="F73" s="1">
        <f>SUM(OSRRefD21_12x_2)</f>
        <v>0</v>
      </c>
      <c r="G73" s="1">
        <f>SUM(OSRRefD21_12x_3)</f>
        <v>38.869999999999997</v>
      </c>
      <c r="H73" s="1">
        <f>SUM(OSRRefE21_12x_0)</f>
        <v>0</v>
      </c>
      <c r="I73" s="1">
        <f>SUM(OSRRefE21_12x_1)</f>
        <v>0</v>
      </c>
      <c r="J73" s="1">
        <f>SUM(OSRRefE21_12x_2)</f>
        <v>0</v>
      </c>
      <c r="K73" s="1">
        <f>SUM(OSRRefE21_12x_3)</f>
        <v>0</v>
      </c>
      <c r="L73" s="1">
        <f>SUM(OSRRefE21_12x_4)</f>
        <v>0</v>
      </c>
      <c r="M73" s="1">
        <f>SUM(OSRRefE21_12x_5)</f>
        <v>0</v>
      </c>
      <c r="N73" s="1">
        <f>SUM(OSRRefE21_12x_6)</f>
        <v>0</v>
      </c>
      <c r="O73" s="1">
        <f>SUM(OSRRefE21_12x_7)</f>
        <v>0</v>
      </c>
      <c r="Q73" s="2">
        <f>SUM(OSRRefD20_12x)+IFERROR(SUM(OSRRefE20_12x),0)</f>
        <v>250.87</v>
      </c>
    </row>
    <row r="74" spans="1:17" s="34" customFormat="1" hidden="1" outlineLevel="1" x14ac:dyDescent="0.25">
      <c r="A74" s="35"/>
      <c r="B74" s="13" t="str">
        <f>CONCATENATE("          ","6303", " - ","DATA PHONE LINES")</f>
        <v xml:space="preserve">          6303 - DATA PHONE LINES</v>
      </c>
      <c r="C74" s="15"/>
      <c r="D74" s="2"/>
      <c r="E74" s="2"/>
      <c r="F74" s="2"/>
      <c r="G74" s="2"/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9"/>
      <c r="Q74" s="2">
        <f>SUM(OSRRefD21_12_0x)+IFERROR(SUM(OSRRefE21_12_0x),0)</f>
        <v>0</v>
      </c>
    </row>
    <row r="75" spans="1:17" s="34" customFormat="1" hidden="1" outlineLevel="1" x14ac:dyDescent="0.25">
      <c r="A75" s="35"/>
      <c r="B75" s="13" t="str">
        <f>CONCATENATE("          ","6309", " - ","TELEPHONE")</f>
        <v xml:space="preserve">          6309 - TELEPHONE</v>
      </c>
      <c r="C75" s="15"/>
      <c r="D75" s="2">
        <v>106</v>
      </c>
      <c r="E75" s="2">
        <v>106</v>
      </c>
      <c r="F75" s="2"/>
      <c r="G75" s="2">
        <v>38.869999999999997</v>
      </c>
      <c r="H75" s="2"/>
      <c r="I75" s="2"/>
      <c r="J75" s="2"/>
      <c r="K75" s="2"/>
      <c r="L75" s="2"/>
      <c r="M75" s="2"/>
      <c r="N75" s="2"/>
      <c r="O75" s="2"/>
      <c r="P75" s="9"/>
      <c r="Q75" s="2">
        <f>SUM(OSRRefD21_12_1x)+IFERROR(SUM(OSRRefE21_12_1x),0)</f>
        <v>250.87</v>
      </c>
    </row>
    <row r="76" spans="1:17" s="34" customFormat="1" collapsed="1" x14ac:dyDescent="0.25">
      <c r="A76" s="35"/>
      <c r="B76" s="15" t="str">
        <f>CONCATENATE("     ","Training                                          ")</f>
        <v xml:space="preserve">     Training                                          </v>
      </c>
      <c r="C76" s="15"/>
      <c r="D76" s="1">
        <f>SUM(OSRRefD21_13x_0)</f>
        <v>0</v>
      </c>
      <c r="E76" s="1">
        <f>SUM(OSRRefD21_13x_1)</f>
        <v>0</v>
      </c>
      <c r="F76" s="1">
        <f>SUM(OSRRefD21_13x_2)</f>
        <v>0</v>
      </c>
      <c r="G76" s="1">
        <f>SUM(OSRRefD21_13x_3)</f>
        <v>0</v>
      </c>
      <c r="H76" s="1">
        <f>SUM(OSRRefE21_13x_0)</f>
        <v>0</v>
      </c>
      <c r="I76" s="1">
        <f>SUM(OSRRefE21_13x_1)</f>
        <v>0</v>
      </c>
      <c r="J76" s="1">
        <f>SUM(OSRRefE21_13x_2)</f>
        <v>0</v>
      </c>
      <c r="K76" s="1">
        <f>SUM(OSRRefE21_13x_3)</f>
        <v>0</v>
      </c>
      <c r="L76" s="1">
        <f>SUM(OSRRefE21_13x_4)</f>
        <v>0</v>
      </c>
      <c r="M76" s="1">
        <f>SUM(OSRRefE21_13x_5)</f>
        <v>0</v>
      </c>
      <c r="N76" s="1">
        <f>SUM(OSRRefE21_13x_6)</f>
        <v>0</v>
      </c>
      <c r="O76" s="1">
        <f>SUM(OSRRefE21_13x_7)</f>
        <v>0</v>
      </c>
      <c r="Q76" s="2">
        <f>SUM(OSRRefD20_13x)+IFERROR(SUM(OSRRefE20_13x),0)</f>
        <v>0</v>
      </c>
    </row>
    <row r="77" spans="1:17" s="34" customFormat="1" hidden="1" outlineLevel="1" x14ac:dyDescent="0.25">
      <c r="A77" s="35"/>
      <c r="B77" s="13" t="str">
        <f>CONCATENATE("          ","6376", " - ","TRAINING")</f>
        <v xml:space="preserve">          6376 - TRAINING</v>
      </c>
      <c r="C77" s="15"/>
      <c r="D77" s="2"/>
      <c r="E77" s="2"/>
      <c r="F77" s="2"/>
      <c r="G77" s="2"/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9"/>
      <c r="Q77" s="2">
        <f>SUM(OSRRefD21_13_0x)+IFERROR(SUM(OSRRefE21_13_0x),0)</f>
        <v>0</v>
      </c>
    </row>
    <row r="78" spans="1:17" s="28" customFormat="1" x14ac:dyDescent="0.25">
      <c r="A78" s="20"/>
      <c r="B78" s="20"/>
      <c r="C78" s="20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Q78" s="1"/>
    </row>
    <row r="79" spans="1:17" s="9" customFormat="1" x14ac:dyDescent="0.25">
      <c r="A79" s="22"/>
      <c r="B79" s="16" t="s">
        <v>0</v>
      </c>
      <c r="C79" s="23"/>
      <c r="D79" s="3">
        <f>0</f>
        <v>0</v>
      </c>
      <c r="E79" s="3">
        <f>--111.42</f>
        <v>111.42</v>
      </c>
      <c r="F79" s="3">
        <f t="shared" ref="F79:G79" si="3">0</f>
        <v>0</v>
      </c>
      <c r="G79" s="3">
        <f t="shared" si="3"/>
        <v>0</v>
      </c>
      <c r="H79" s="3"/>
      <c r="I79" s="3"/>
      <c r="J79" s="3"/>
      <c r="K79" s="3"/>
      <c r="L79" s="3"/>
      <c r="M79" s="3"/>
      <c r="N79" s="3"/>
      <c r="O79" s="3"/>
      <c r="Q79" s="2">
        <f>SUM(OSRRefD23_0x)+IFERROR(SUM(OSRRefE23_0x),0)</f>
        <v>111.42</v>
      </c>
    </row>
    <row r="80" spans="1:17" x14ac:dyDescent="0.25">
      <c r="A80" s="5"/>
      <c r="B80" s="8"/>
      <c r="C80" s="8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4" customFormat="1" x14ac:dyDescent="0.25">
      <c r="A81" s="8"/>
      <c r="B81" s="17" t="s">
        <v>3</v>
      </c>
      <c r="C81" s="17"/>
      <c r="D81" s="6">
        <f t="shared" ref="D81:O81" si="4">IFERROR(+D17-D20+D79, 0)</f>
        <v>-17067.47</v>
      </c>
      <c r="E81" s="6">
        <f t="shared" si="4"/>
        <v>-7250.7300000000005</v>
      </c>
      <c r="F81" s="6">
        <f t="shared" si="4"/>
        <v>-7376.42</v>
      </c>
      <c r="G81" s="6">
        <f t="shared" si="4"/>
        <v>-6784.05</v>
      </c>
      <c r="H81" s="6">
        <f t="shared" si="4"/>
        <v>-6745</v>
      </c>
      <c r="I81" s="6">
        <f t="shared" si="4"/>
        <v>-6745</v>
      </c>
      <c r="J81" s="6">
        <f t="shared" si="4"/>
        <v>-6745</v>
      </c>
      <c r="K81" s="6">
        <f t="shared" si="4"/>
        <v>-8545</v>
      </c>
      <c r="L81" s="6">
        <f t="shared" si="4"/>
        <v>-6745</v>
      </c>
      <c r="M81" s="6">
        <f t="shared" si="4"/>
        <v>-6745</v>
      </c>
      <c r="N81" s="6">
        <f t="shared" si="4"/>
        <v>-6745</v>
      </c>
      <c r="O81" s="6">
        <f t="shared" si="4"/>
        <v>-6745</v>
      </c>
      <c r="Q81" s="6">
        <f>IFERROR(+Q17-Q20+Q79, 0)</f>
        <v>-94238.67</v>
      </c>
    </row>
    <row r="82" spans="1:17" s="8" customFormat="1" x14ac:dyDescent="0.25">
      <c r="B82" s="16"/>
      <c r="C82" s="16"/>
      <c r="D82" s="4">
        <f t="shared" ref="D82:O82" si="5">IFERROR(D81/D10, 0)</f>
        <v>0</v>
      </c>
      <c r="E82" s="4">
        <f t="shared" si="5"/>
        <v>0</v>
      </c>
      <c r="F82" s="4">
        <f t="shared" si="5"/>
        <v>0</v>
      </c>
      <c r="G82" s="4">
        <f t="shared" si="5"/>
        <v>0</v>
      </c>
      <c r="H82" s="4">
        <f t="shared" si="5"/>
        <v>0</v>
      </c>
      <c r="I82" s="4">
        <f t="shared" si="5"/>
        <v>0</v>
      </c>
      <c r="J82" s="4">
        <f t="shared" si="5"/>
        <v>0</v>
      </c>
      <c r="K82" s="4">
        <f t="shared" si="5"/>
        <v>0</v>
      </c>
      <c r="L82" s="4">
        <f t="shared" si="5"/>
        <v>0</v>
      </c>
      <c r="M82" s="4">
        <f t="shared" si="5"/>
        <v>0</v>
      </c>
      <c r="N82" s="4">
        <f t="shared" si="5"/>
        <v>0</v>
      </c>
      <c r="O82" s="4">
        <f t="shared" si="5"/>
        <v>0</v>
      </c>
      <c r="P82" s="18"/>
      <c r="Q82" s="4">
        <f>IFERROR(Q81/Q10, 0)</f>
        <v>0</v>
      </c>
    </row>
    <row r="83" spans="1:17" x14ac:dyDescent="0.25">
      <c r="A83" s="5"/>
      <c r="B83" s="8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4" customFormat="1" x14ac:dyDescent="0.25">
      <c r="A84" s="25"/>
      <c r="B84" s="8" t="s">
        <v>8</v>
      </c>
      <c r="C84" s="8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2">
        <f>SUM(OSRRefD28_0x)+IFERROR(SUM(OSRRefE28_0x),0)</f>
        <v>0</v>
      </c>
    </row>
    <row r="85" spans="1:17" x14ac:dyDescent="0.25">
      <c r="A85" s="5"/>
      <c r="B85" s="8"/>
      <c r="C85" s="8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s="14" customFormat="1" ht="15.75" thickBot="1" x14ac:dyDescent="0.3">
      <c r="A86" s="8"/>
      <c r="B86" s="17" t="s">
        <v>4</v>
      </c>
      <c r="C86" s="17"/>
      <c r="D86" s="7">
        <f t="shared" ref="D86:O86" si="6">IFERROR(+D81-D84, 0)</f>
        <v>-17067.47</v>
      </c>
      <c r="E86" s="7">
        <f t="shared" si="6"/>
        <v>-7250.7300000000005</v>
      </c>
      <c r="F86" s="7">
        <f t="shared" si="6"/>
        <v>-7376.42</v>
      </c>
      <c r="G86" s="7">
        <f t="shared" si="6"/>
        <v>-6784.05</v>
      </c>
      <c r="H86" s="7">
        <f t="shared" si="6"/>
        <v>-6745</v>
      </c>
      <c r="I86" s="7">
        <f t="shared" si="6"/>
        <v>-6745</v>
      </c>
      <c r="J86" s="7">
        <f t="shared" si="6"/>
        <v>-6745</v>
      </c>
      <c r="K86" s="7">
        <f t="shared" si="6"/>
        <v>-8545</v>
      </c>
      <c r="L86" s="7">
        <f t="shared" si="6"/>
        <v>-6745</v>
      </c>
      <c r="M86" s="7">
        <f t="shared" si="6"/>
        <v>-6745</v>
      </c>
      <c r="N86" s="7">
        <f t="shared" si="6"/>
        <v>-6745</v>
      </c>
      <c r="O86" s="7">
        <f t="shared" si="6"/>
        <v>-6745</v>
      </c>
      <c r="Q86" s="7">
        <f>IFERROR(+Q81-Q84, 0)</f>
        <v>-94238.67</v>
      </c>
    </row>
    <row r="87" spans="1:17" ht="15.75" thickTop="1" x14ac:dyDescent="0.25">
      <c r="A87" s="5"/>
      <c r="B87" s="5"/>
      <c r="C87" s="5"/>
      <c r="D87" s="4">
        <f t="shared" ref="D87:O87" si="7">IFERROR(D86/D10, 0)</f>
        <v>0</v>
      </c>
      <c r="E87" s="4">
        <f t="shared" si="7"/>
        <v>0</v>
      </c>
      <c r="F87" s="4">
        <f t="shared" si="7"/>
        <v>0</v>
      </c>
      <c r="G87" s="4">
        <f t="shared" si="7"/>
        <v>0</v>
      </c>
      <c r="H87" s="4">
        <f t="shared" si="7"/>
        <v>0</v>
      </c>
      <c r="I87" s="4">
        <f t="shared" si="7"/>
        <v>0</v>
      </c>
      <c r="J87" s="4">
        <f t="shared" si="7"/>
        <v>0</v>
      </c>
      <c r="K87" s="4">
        <f t="shared" si="7"/>
        <v>0</v>
      </c>
      <c r="L87" s="4">
        <f t="shared" si="7"/>
        <v>0</v>
      </c>
      <c r="M87" s="4">
        <f t="shared" si="7"/>
        <v>0</v>
      </c>
      <c r="N87" s="4">
        <f t="shared" si="7"/>
        <v>0</v>
      </c>
      <c r="O87" s="4">
        <f t="shared" si="7"/>
        <v>0</v>
      </c>
      <c r="P87" s="18"/>
      <c r="Q87" s="4">
        <f>IFERROR(Q86/Q10, 0)</f>
        <v>0</v>
      </c>
    </row>
    <row r="88" spans="1:17" x14ac:dyDescent="0.25">
      <c r="A88" s="5"/>
      <c r="B88" s="5"/>
      <c r="C88" s="5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x14ac:dyDescent="0.25">
      <c r="A89" s="5"/>
      <c r="B89" s="5"/>
      <c r="C89" s="5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4" customFormat="1" ht="15.75" thickBot="1" x14ac:dyDescent="0.3">
      <c r="A90" s="8"/>
      <c r="B90" s="17" t="s">
        <v>5</v>
      </c>
      <c r="C90" s="17"/>
      <c r="D90" s="7">
        <f t="shared" ref="D90:O90" si="8">IFERROR(SUM(D86:D89), 0)</f>
        <v>-17067.47</v>
      </c>
      <c r="E90" s="7">
        <f t="shared" si="8"/>
        <v>-7250.7300000000005</v>
      </c>
      <c r="F90" s="7">
        <f t="shared" si="8"/>
        <v>-7376.42</v>
      </c>
      <c r="G90" s="7">
        <f t="shared" si="8"/>
        <v>-6784.05</v>
      </c>
      <c r="H90" s="7">
        <f t="shared" si="8"/>
        <v>-6745</v>
      </c>
      <c r="I90" s="7">
        <f t="shared" si="8"/>
        <v>-6745</v>
      </c>
      <c r="J90" s="7">
        <f t="shared" si="8"/>
        <v>-6745</v>
      </c>
      <c r="K90" s="7">
        <f t="shared" si="8"/>
        <v>-8545</v>
      </c>
      <c r="L90" s="7">
        <f t="shared" si="8"/>
        <v>-6745</v>
      </c>
      <c r="M90" s="7">
        <f t="shared" si="8"/>
        <v>-6745</v>
      </c>
      <c r="N90" s="7">
        <f t="shared" si="8"/>
        <v>-6745</v>
      </c>
      <c r="O90" s="7">
        <f t="shared" si="8"/>
        <v>-6745</v>
      </c>
      <c r="Q90" s="7">
        <f>IFERROR(SUM(Q86:Q89), 0)</f>
        <v>-94238.67</v>
      </c>
    </row>
    <row r="91" spans="1:17" ht="15.75" thickTop="1" x14ac:dyDescent="0.25">
      <c r="A91" s="5"/>
      <c r="C91" s="5"/>
      <c r="D91" s="4">
        <f t="shared" ref="D91:O91" si="9">IFERROR(D90/D10, 0)</f>
        <v>0</v>
      </c>
      <c r="E91" s="4">
        <f t="shared" si="9"/>
        <v>0</v>
      </c>
      <c r="F91" s="4">
        <f t="shared" si="9"/>
        <v>0</v>
      </c>
      <c r="G91" s="4">
        <f t="shared" si="9"/>
        <v>0</v>
      </c>
      <c r="H91" s="4">
        <f t="shared" si="9"/>
        <v>0</v>
      </c>
      <c r="I91" s="4">
        <f t="shared" si="9"/>
        <v>0</v>
      </c>
      <c r="J91" s="4">
        <f t="shared" si="9"/>
        <v>0</v>
      </c>
      <c r="K91" s="4">
        <f t="shared" si="9"/>
        <v>0</v>
      </c>
      <c r="L91" s="4">
        <f t="shared" si="9"/>
        <v>0</v>
      </c>
      <c r="M91" s="4">
        <f t="shared" si="9"/>
        <v>0</v>
      </c>
      <c r="N91" s="4">
        <f t="shared" si="9"/>
        <v>0</v>
      </c>
      <c r="O91" s="4">
        <f t="shared" si="9"/>
        <v>0</v>
      </c>
      <c r="P91" s="18"/>
      <c r="Q91" s="4">
        <f>IFERROR(Q90/Q10, 0)</f>
        <v>0</v>
      </c>
    </row>
    <row r="92" spans="1:17" x14ac:dyDescent="0.25">
      <c r="A92" s="5"/>
      <c r="B92" s="26">
        <v>44151.565032175924</v>
      </c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Q92" s="12"/>
    </row>
    <row r="93" spans="1:17" x14ac:dyDescent="0.25">
      <c r="A93" s="5"/>
      <c r="B93" s="30" t="s">
        <v>311</v>
      </c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Q93" s="12"/>
    </row>
    <row r="94" spans="1:17" x14ac:dyDescent="0.25">
      <c r="A94" s="5"/>
      <c r="B94" s="31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Q94" s="12"/>
    </row>
    <row r="95" spans="1:17" x14ac:dyDescent="0.25"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Q95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3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","420", " - ", "Catering")</f>
        <v>Department 420 - Catering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30231.29</v>
      </c>
      <c r="H10" s="3">
        <f>SUM(OSRRefE11x_0)</f>
        <v>0</v>
      </c>
      <c r="I10" s="3">
        <f>SUM(OSRRefE11x_1)</f>
        <v>0</v>
      </c>
      <c r="J10" s="3">
        <f>SUM(OSRRefE11x_2)</f>
        <v>0</v>
      </c>
      <c r="K10" s="3">
        <f>SUM(OSRRefE11x_3)</f>
        <v>0</v>
      </c>
      <c r="L10" s="3">
        <f>SUM(OSRRefE11x_4)</f>
        <v>0</v>
      </c>
      <c r="M10" s="3">
        <f>SUM(OSRRefE11x_5)</f>
        <v>0</v>
      </c>
      <c r="N10" s="3">
        <f>SUM(OSRRefE11x_6)</f>
        <v>0</v>
      </c>
      <c r="O10" s="3">
        <f>SUM(OSRRefE11x_7)</f>
        <v>0</v>
      </c>
      <c r="P10" s="24"/>
      <c r="Q10" s="3">
        <f>SUM(OSRRefG11x)</f>
        <v>30231.29</v>
      </c>
      <c r="R10" s="24"/>
    </row>
    <row r="11" spans="1:18" s="9" customFormat="1" hidden="1" outlineLevel="1" x14ac:dyDescent="0.25">
      <c r="A11" s="22"/>
      <c r="B11" s="13" t="str">
        <f>CONCATENATE("          ","4052", " - ","TAXABLE SALES-FOOD")</f>
        <v xml:space="preserve">          4052 - TAXABLE SALES-FOOD</v>
      </c>
      <c r="C11" s="23"/>
      <c r="D11" s="2">
        <f t="shared" ref="D11:F11" si="0">0</f>
        <v>0</v>
      </c>
      <c r="E11" s="2">
        <f t="shared" si="0"/>
        <v>0</v>
      </c>
      <c r="F11" s="2">
        <f t="shared" si="0"/>
        <v>0</v>
      </c>
      <c r="G11" s="2">
        <f>--30231.29</f>
        <v>30231.29</v>
      </c>
      <c r="H11" s="2"/>
      <c r="I11" s="2"/>
      <c r="J11" s="2"/>
      <c r="K11" s="2"/>
      <c r="L11" s="2"/>
      <c r="M11" s="2"/>
      <c r="N11" s="2"/>
      <c r="O11" s="2"/>
      <c r="Q11" s="2">
        <f>SUM(OSRRefD11_0x)+IFERROR(SUM(OSRRefE11_0x),0)</f>
        <v>30231.29</v>
      </c>
    </row>
    <row r="12" spans="1:18" x14ac:dyDescent="0.25">
      <c r="A12" s="5"/>
      <c r="B12" s="8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x14ac:dyDescent="0.25">
      <c r="A13" s="22"/>
      <c r="B13" s="16" t="s">
        <v>290</v>
      </c>
      <c r="C13" s="23"/>
      <c r="D13" s="3">
        <f t="shared" ref="D13:O13" si="1">SUM(0)</f>
        <v>0</v>
      </c>
      <c r="E13" s="3">
        <f t="shared" si="1"/>
        <v>0</v>
      </c>
      <c r="F13" s="3">
        <f t="shared" si="1"/>
        <v>0</v>
      </c>
      <c r="G13" s="3">
        <f t="shared" si="1"/>
        <v>0</v>
      </c>
      <c r="H13" s="3">
        <f t="shared" si="1"/>
        <v>0</v>
      </c>
      <c r="I13" s="3">
        <f t="shared" si="1"/>
        <v>0</v>
      </c>
      <c r="J13" s="3">
        <f t="shared" si="1"/>
        <v>0</v>
      </c>
      <c r="K13" s="3">
        <f t="shared" si="1"/>
        <v>0</v>
      </c>
      <c r="L13" s="3">
        <f t="shared" si="1"/>
        <v>0</v>
      </c>
      <c r="M13" s="3">
        <f t="shared" si="1"/>
        <v>0</v>
      </c>
      <c r="N13" s="3">
        <f t="shared" si="1"/>
        <v>0</v>
      </c>
      <c r="O13" s="3">
        <f t="shared" si="1"/>
        <v>0</v>
      </c>
      <c r="Q13" s="3">
        <f>SUM(0)</f>
        <v>0</v>
      </c>
    </row>
    <row r="14" spans="1:18" x14ac:dyDescent="0.25">
      <c r="A14" s="5"/>
      <c r="B14" s="8"/>
      <c r="C14" s="8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4" customFormat="1" x14ac:dyDescent="0.25">
      <c r="A15" s="8"/>
      <c r="B15" s="17" t="s">
        <v>6</v>
      </c>
      <c r="C15" s="17"/>
      <c r="D15" s="6">
        <f t="shared" ref="D15:O15" si="2">IFERROR(+D10-D13, 0)</f>
        <v>0</v>
      </c>
      <c r="E15" s="6">
        <f t="shared" si="2"/>
        <v>0</v>
      </c>
      <c r="F15" s="6">
        <f t="shared" si="2"/>
        <v>0</v>
      </c>
      <c r="G15" s="6">
        <f t="shared" si="2"/>
        <v>30231.29</v>
      </c>
      <c r="H15" s="6">
        <f t="shared" si="2"/>
        <v>0</v>
      </c>
      <c r="I15" s="6">
        <f t="shared" si="2"/>
        <v>0</v>
      </c>
      <c r="J15" s="6">
        <f t="shared" si="2"/>
        <v>0</v>
      </c>
      <c r="K15" s="6">
        <f t="shared" si="2"/>
        <v>0</v>
      </c>
      <c r="L15" s="6">
        <f t="shared" si="2"/>
        <v>0</v>
      </c>
      <c r="M15" s="6">
        <f t="shared" si="2"/>
        <v>0</v>
      </c>
      <c r="N15" s="6">
        <f t="shared" si="2"/>
        <v>0</v>
      </c>
      <c r="O15" s="6">
        <f t="shared" si="2"/>
        <v>0</v>
      </c>
      <c r="Q15" s="6">
        <f>IFERROR(+Q10-Q13, 0)</f>
        <v>30231.29</v>
      </c>
    </row>
    <row r="16" spans="1:18" s="8" customFormat="1" x14ac:dyDescent="0.25">
      <c r="B16" s="16"/>
      <c r="C16" s="16"/>
      <c r="D16" s="4">
        <f t="shared" ref="D16:O16" si="3">IFERROR(D15/D10, 0)</f>
        <v>0</v>
      </c>
      <c r="E16" s="4">
        <f t="shared" si="3"/>
        <v>0</v>
      </c>
      <c r="F16" s="4">
        <f t="shared" si="3"/>
        <v>0</v>
      </c>
      <c r="G16" s="4">
        <f t="shared" si="3"/>
        <v>1</v>
      </c>
      <c r="H16" s="4">
        <f t="shared" si="3"/>
        <v>0</v>
      </c>
      <c r="I16" s="4">
        <f t="shared" si="3"/>
        <v>0</v>
      </c>
      <c r="J16" s="4">
        <f t="shared" si="3"/>
        <v>0</v>
      </c>
      <c r="K16" s="4">
        <f t="shared" si="3"/>
        <v>0</v>
      </c>
      <c r="L16" s="4">
        <f t="shared" si="3"/>
        <v>0</v>
      </c>
      <c r="M16" s="4">
        <f t="shared" si="3"/>
        <v>0</v>
      </c>
      <c r="N16" s="4">
        <f t="shared" si="3"/>
        <v>0</v>
      </c>
      <c r="O16" s="4">
        <f t="shared" si="3"/>
        <v>0</v>
      </c>
      <c r="P16" s="18"/>
      <c r="Q16" s="4">
        <f>IFERROR(Q15/Q10, 0)</f>
        <v>1</v>
      </c>
    </row>
    <row r="17" spans="1:17" x14ac:dyDescent="0.25">
      <c r="A17" s="5"/>
      <c r="B17" s="8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4" customFormat="1" x14ac:dyDescent="0.25">
      <c r="A18" s="8"/>
      <c r="B18" s="16" t="s">
        <v>291</v>
      </c>
      <c r="C18" s="8"/>
      <c r="D18" s="10">
        <f t="shared" ref="D18:O18" si="4">SUM(0)</f>
        <v>0</v>
      </c>
      <c r="E18" s="10">
        <f t="shared" si="4"/>
        <v>0</v>
      </c>
      <c r="F18" s="10">
        <f t="shared" si="4"/>
        <v>0</v>
      </c>
      <c r="G18" s="10">
        <f t="shared" si="4"/>
        <v>0</v>
      </c>
      <c r="H18" s="10">
        <f t="shared" si="4"/>
        <v>0</v>
      </c>
      <c r="I18" s="10">
        <f t="shared" si="4"/>
        <v>0</v>
      </c>
      <c r="J18" s="10">
        <f t="shared" si="4"/>
        <v>0</v>
      </c>
      <c r="K18" s="10">
        <f t="shared" si="4"/>
        <v>0</v>
      </c>
      <c r="L18" s="10">
        <f t="shared" si="4"/>
        <v>0</v>
      </c>
      <c r="M18" s="10">
        <f t="shared" si="4"/>
        <v>0</v>
      </c>
      <c r="N18" s="10">
        <f t="shared" si="4"/>
        <v>0</v>
      </c>
      <c r="O18" s="10">
        <f t="shared" si="4"/>
        <v>0</v>
      </c>
      <c r="Q18" s="10">
        <f>SUM(0)</f>
        <v>0</v>
      </c>
    </row>
    <row r="19" spans="1:17" s="28" customFormat="1" x14ac:dyDescent="0.25">
      <c r="A19" s="20"/>
      <c r="B19" s="20"/>
      <c r="C19" s="20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9" customFormat="1" x14ac:dyDescent="0.25">
      <c r="A20" s="22"/>
      <c r="B20" s="16" t="s">
        <v>0</v>
      </c>
      <c r="C20" s="23"/>
      <c r="D20" s="3">
        <f t="shared" ref="D20:G20" si="5">0</f>
        <v>0</v>
      </c>
      <c r="E20" s="3">
        <f t="shared" si="5"/>
        <v>0</v>
      </c>
      <c r="F20" s="3">
        <f t="shared" si="5"/>
        <v>0</v>
      </c>
      <c r="G20" s="3">
        <f t="shared" si="5"/>
        <v>0</v>
      </c>
      <c r="H20" s="3"/>
      <c r="I20" s="3"/>
      <c r="J20" s="3"/>
      <c r="K20" s="3"/>
      <c r="L20" s="3"/>
      <c r="M20" s="3"/>
      <c r="N20" s="3"/>
      <c r="O20" s="3"/>
      <c r="Q20" s="2">
        <f>SUM(OSRRefD23_0x)+IFERROR(SUM(OSRRefE23_0x),0)</f>
        <v>0</v>
      </c>
    </row>
    <row r="21" spans="1:17" x14ac:dyDescent="0.25">
      <c r="A21" s="5"/>
      <c r="B21" s="8"/>
      <c r="C21" s="8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Q21" s="3"/>
    </row>
    <row r="22" spans="1:17" s="14" customFormat="1" x14ac:dyDescent="0.25">
      <c r="A22" s="8"/>
      <c r="B22" s="17" t="s">
        <v>3</v>
      </c>
      <c r="C22" s="17"/>
      <c r="D22" s="6">
        <f t="shared" ref="D22:O22" si="6">IFERROR(+D15-D18+D20, 0)</f>
        <v>0</v>
      </c>
      <c r="E22" s="6">
        <f t="shared" si="6"/>
        <v>0</v>
      </c>
      <c r="F22" s="6">
        <f t="shared" si="6"/>
        <v>0</v>
      </c>
      <c r="G22" s="6">
        <f t="shared" si="6"/>
        <v>30231.29</v>
      </c>
      <c r="H22" s="6">
        <f t="shared" si="6"/>
        <v>0</v>
      </c>
      <c r="I22" s="6">
        <f t="shared" si="6"/>
        <v>0</v>
      </c>
      <c r="J22" s="6">
        <f t="shared" si="6"/>
        <v>0</v>
      </c>
      <c r="K22" s="6">
        <f t="shared" si="6"/>
        <v>0</v>
      </c>
      <c r="L22" s="6">
        <f t="shared" si="6"/>
        <v>0</v>
      </c>
      <c r="M22" s="6">
        <f t="shared" si="6"/>
        <v>0</v>
      </c>
      <c r="N22" s="6">
        <f t="shared" si="6"/>
        <v>0</v>
      </c>
      <c r="O22" s="6">
        <f t="shared" si="6"/>
        <v>0</v>
      </c>
      <c r="Q22" s="6">
        <f>IFERROR(+Q15-Q18+Q20, 0)</f>
        <v>30231.29</v>
      </c>
    </row>
    <row r="23" spans="1:17" s="8" customFormat="1" x14ac:dyDescent="0.25">
      <c r="B23" s="16"/>
      <c r="C23" s="16"/>
      <c r="D23" s="4">
        <f t="shared" ref="D23:O23" si="7">IFERROR(D22/D10, 0)</f>
        <v>0</v>
      </c>
      <c r="E23" s="4">
        <f t="shared" si="7"/>
        <v>0</v>
      </c>
      <c r="F23" s="4">
        <f t="shared" si="7"/>
        <v>0</v>
      </c>
      <c r="G23" s="4">
        <f t="shared" si="7"/>
        <v>1</v>
      </c>
      <c r="H23" s="4">
        <f t="shared" si="7"/>
        <v>0</v>
      </c>
      <c r="I23" s="4">
        <f t="shared" si="7"/>
        <v>0</v>
      </c>
      <c r="J23" s="4">
        <f t="shared" si="7"/>
        <v>0</v>
      </c>
      <c r="K23" s="4">
        <f t="shared" si="7"/>
        <v>0</v>
      </c>
      <c r="L23" s="4">
        <f t="shared" si="7"/>
        <v>0</v>
      </c>
      <c r="M23" s="4">
        <f t="shared" si="7"/>
        <v>0</v>
      </c>
      <c r="N23" s="4">
        <f t="shared" si="7"/>
        <v>0</v>
      </c>
      <c r="O23" s="4">
        <f t="shared" si="7"/>
        <v>0</v>
      </c>
      <c r="P23" s="18"/>
      <c r="Q23" s="4">
        <f>IFERROR(Q22/Q10, 0)</f>
        <v>1</v>
      </c>
    </row>
    <row r="24" spans="1:17" x14ac:dyDescent="0.25">
      <c r="A24" s="5"/>
      <c r="B24" s="8"/>
      <c r="C24" s="5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4" customFormat="1" x14ac:dyDescent="0.25">
      <c r="A25" s="25"/>
      <c r="B25" s="8" t="s">
        <v>8</v>
      </c>
      <c r="C25" s="8"/>
      <c r="D25" s="3"/>
      <c r="E25" s="3"/>
      <c r="F25" s="3"/>
      <c r="G25" s="3">
        <v>6548.75</v>
      </c>
      <c r="H25" s="3"/>
      <c r="I25" s="3"/>
      <c r="J25" s="3"/>
      <c r="K25" s="3"/>
      <c r="L25" s="3"/>
      <c r="M25" s="3"/>
      <c r="N25" s="3"/>
      <c r="O25" s="3"/>
      <c r="Q25" s="2">
        <f>SUM(OSRRefD28_0x)+IFERROR(SUM(OSRRefE28_0x),0)</f>
        <v>6548.75</v>
      </c>
    </row>
    <row r="26" spans="1:17" x14ac:dyDescent="0.25">
      <c r="A26" s="5"/>
      <c r="B26" s="8"/>
      <c r="C26" s="8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4" customFormat="1" ht="15.75" thickBot="1" x14ac:dyDescent="0.3">
      <c r="A27" s="8"/>
      <c r="B27" s="17" t="s">
        <v>4</v>
      </c>
      <c r="C27" s="17"/>
      <c r="D27" s="7">
        <f t="shared" ref="D27:O27" si="8">IFERROR(+D22-D25, 0)</f>
        <v>0</v>
      </c>
      <c r="E27" s="7">
        <f t="shared" si="8"/>
        <v>0</v>
      </c>
      <c r="F27" s="7">
        <f t="shared" si="8"/>
        <v>0</v>
      </c>
      <c r="G27" s="7">
        <f t="shared" si="8"/>
        <v>23682.54</v>
      </c>
      <c r="H27" s="7">
        <f t="shared" si="8"/>
        <v>0</v>
      </c>
      <c r="I27" s="7">
        <f t="shared" si="8"/>
        <v>0</v>
      </c>
      <c r="J27" s="7">
        <f t="shared" si="8"/>
        <v>0</v>
      </c>
      <c r="K27" s="7">
        <f t="shared" si="8"/>
        <v>0</v>
      </c>
      <c r="L27" s="7">
        <f t="shared" si="8"/>
        <v>0</v>
      </c>
      <c r="M27" s="7">
        <f t="shared" si="8"/>
        <v>0</v>
      </c>
      <c r="N27" s="7">
        <f t="shared" si="8"/>
        <v>0</v>
      </c>
      <c r="O27" s="7">
        <f t="shared" si="8"/>
        <v>0</v>
      </c>
      <c r="Q27" s="7">
        <f>IFERROR(+Q22-Q25, 0)</f>
        <v>23682.54</v>
      </c>
    </row>
    <row r="28" spans="1:17" ht="15.75" thickTop="1" x14ac:dyDescent="0.25">
      <c r="A28" s="5"/>
      <c r="B28" s="5"/>
      <c r="C28" s="5"/>
      <c r="D28" s="4">
        <f t="shared" ref="D28:O28" si="9">IFERROR(D27/D10, 0)</f>
        <v>0</v>
      </c>
      <c r="E28" s="4">
        <f t="shared" si="9"/>
        <v>0</v>
      </c>
      <c r="F28" s="4">
        <f t="shared" si="9"/>
        <v>0</v>
      </c>
      <c r="G28" s="4">
        <f t="shared" si="9"/>
        <v>0.78337841355760873</v>
      </c>
      <c r="H28" s="4">
        <f t="shared" si="9"/>
        <v>0</v>
      </c>
      <c r="I28" s="4">
        <f t="shared" si="9"/>
        <v>0</v>
      </c>
      <c r="J28" s="4">
        <f t="shared" si="9"/>
        <v>0</v>
      </c>
      <c r="K28" s="4">
        <f t="shared" si="9"/>
        <v>0</v>
      </c>
      <c r="L28" s="4">
        <f t="shared" si="9"/>
        <v>0</v>
      </c>
      <c r="M28" s="4">
        <f t="shared" si="9"/>
        <v>0</v>
      </c>
      <c r="N28" s="4">
        <f t="shared" si="9"/>
        <v>0</v>
      </c>
      <c r="O28" s="4">
        <f t="shared" si="9"/>
        <v>0</v>
      </c>
      <c r="P28" s="18"/>
      <c r="Q28" s="4">
        <f>IFERROR(Q27/Q10, 0)</f>
        <v>0.78337841355760873</v>
      </c>
    </row>
    <row r="29" spans="1:17" x14ac:dyDescent="0.25">
      <c r="A29" s="5"/>
      <c r="B29" s="5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x14ac:dyDescent="0.25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s="14" customFormat="1" ht="15.75" thickBot="1" x14ac:dyDescent="0.3">
      <c r="A31" s="8"/>
      <c r="B31" s="17" t="s">
        <v>5</v>
      </c>
      <c r="C31" s="17"/>
      <c r="D31" s="7">
        <f t="shared" ref="D31:O31" si="10">IFERROR(SUM(D27:D30), 0)</f>
        <v>0</v>
      </c>
      <c r="E31" s="7">
        <f t="shared" si="10"/>
        <v>0</v>
      </c>
      <c r="F31" s="7">
        <f t="shared" si="10"/>
        <v>0</v>
      </c>
      <c r="G31" s="7">
        <f t="shared" si="10"/>
        <v>23683.323378413559</v>
      </c>
      <c r="H31" s="7">
        <f t="shared" si="10"/>
        <v>0</v>
      </c>
      <c r="I31" s="7">
        <f t="shared" si="10"/>
        <v>0</v>
      </c>
      <c r="J31" s="7">
        <f t="shared" si="10"/>
        <v>0</v>
      </c>
      <c r="K31" s="7">
        <f t="shared" si="10"/>
        <v>0</v>
      </c>
      <c r="L31" s="7">
        <f t="shared" si="10"/>
        <v>0</v>
      </c>
      <c r="M31" s="7">
        <f t="shared" si="10"/>
        <v>0</v>
      </c>
      <c r="N31" s="7">
        <f t="shared" si="10"/>
        <v>0</v>
      </c>
      <c r="O31" s="7">
        <f t="shared" si="10"/>
        <v>0</v>
      </c>
      <c r="Q31" s="7">
        <f>IFERROR(SUM(Q27:Q30), 0)</f>
        <v>23683.323378413559</v>
      </c>
    </row>
    <row r="32" spans="1:17" ht="15.75" thickTop="1" x14ac:dyDescent="0.25">
      <c r="A32" s="5"/>
      <c r="C32" s="5"/>
      <c r="D32" s="4">
        <f t="shared" ref="D32:O32" si="11">IFERROR(D31/D10, 0)</f>
        <v>0</v>
      </c>
      <c r="E32" s="4">
        <f t="shared" si="11"/>
        <v>0</v>
      </c>
      <c r="F32" s="4">
        <f t="shared" si="11"/>
        <v>0</v>
      </c>
      <c r="G32" s="4">
        <f t="shared" si="11"/>
        <v>0.7834043263920778</v>
      </c>
      <c r="H32" s="4">
        <f t="shared" si="11"/>
        <v>0</v>
      </c>
      <c r="I32" s="4">
        <f t="shared" si="11"/>
        <v>0</v>
      </c>
      <c r="J32" s="4">
        <f t="shared" si="11"/>
        <v>0</v>
      </c>
      <c r="K32" s="4">
        <f t="shared" si="11"/>
        <v>0</v>
      </c>
      <c r="L32" s="4">
        <f t="shared" si="11"/>
        <v>0</v>
      </c>
      <c r="M32" s="4">
        <f t="shared" si="11"/>
        <v>0</v>
      </c>
      <c r="N32" s="4">
        <f t="shared" si="11"/>
        <v>0</v>
      </c>
      <c r="O32" s="4">
        <f t="shared" si="11"/>
        <v>0</v>
      </c>
      <c r="P32" s="18"/>
      <c r="Q32" s="4">
        <f>IFERROR(Q31/Q10, 0)</f>
        <v>0.7834043263920778</v>
      </c>
    </row>
    <row r="33" spans="1:17" x14ac:dyDescent="0.25">
      <c r="A33" s="5"/>
      <c r="B33" s="26">
        <v>44151.56503996528</v>
      </c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Q33" s="12"/>
    </row>
    <row r="34" spans="1:17" x14ac:dyDescent="0.25">
      <c r="A34" s="5"/>
      <c r="B34" s="30" t="s">
        <v>311</v>
      </c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Q34" s="12"/>
    </row>
    <row r="35" spans="1:17" x14ac:dyDescent="0.25">
      <c r="A35" s="5"/>
      <c r="B35" s="3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Q35" s="12"/>
    </row>
    <row r="36" spans="1:17" x14ac:dyDescent="0.25"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Q36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6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","423", " - ", "Contract Revenue")</f>
        <v>Department 423 - Contract Revenue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0">
        <f>SUM(OSRRefD20x_0)</f>
        <v>2458.4299999999998</v>
      </c>
      <c r="E17" s="10">
        <f>SUM(OSRRefD20x_1)</f>
        <v>36</v>
      </c>
      <c r="F17" s="10">
        <f>SUM(OSRRefD20x_2)</f>
        <v>200</v>
      </c>
      <c r="G17" s="10">
        <f>SUM(OSRRefD20x_3)</f>
        <v>-114</v>
      </c>
      <c r="H17" s="10">
        <f>SUM(OSRRefE20x_0)</f>
        <v>14393.621307692309</v>
      </c>
      <c r="I17" s="10">
        <f>SUM(OSRRefE20x_1)</f>
        <v>14543.621307692309</v>
      </c>
      <c r="J17" s="10">
        <f>SUM(OSRRefE20x_2)</f>
        <v>17627.026634615377</v>
      </c>
      <c r="K17" s="10">
        <f>SUM(OSRRefE20x_3)</f>
        <v>14393.621307692309</v>
      </c>
      <c r="L17" s="10">
        <f>SUM(OSRRefE20x_4)</f>
        <v>14543.621307692309</v>
      </c>
      <c r="M17" s="10">
        <f>SUM(OSRRefE20x_5)</f>
        <v>17627.026634615377</v>
      </c>
      <c r="N17" s="10">
        <f>SUM(OSRRefE20x_6)</f>
        <v>14393.621307692309</v>
      </c>
      <c r="O17" s="10">
        <f>SUM(OSRRefE20x_7)</f>
        <v>16543.621307692309</v>
      </c>
      <c r="Q17" s="10">
        <f>SUM(OSRRefG20x)</f>
        <v>126646.21111538461</v>
      </c>
    </row>
    <row r="18" spans="1:17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2478.73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SUM(OSRRefE21_0x_0)</f>
        <v>4356.313615384619</v>
      </c>
      <c r="I18" s="1">
        <f>SUM(OSRRefE21_0x_1)</f>
        <v>4356.313615384619</v>
      </c>
      <c r="J18" s="1">
        <f>SUM(OSRRefE21_0x_2)</f>
        <v>5099.1420192307769</v>
      </c>
      <c r="K18" s="1">
        <f>SUM(OSRRefE21_0x_3)</f>
        <v>4356.313615384619</v>
      </c>
      <c r="L18" s="1">
        <f>SUM(OSRRefE21_0x_4)</f>
        <v>4356.313615384619</v>
      </c>
      <c r="M18" s="1">
        <f>SUM(OSRRefE21_0x_5)</f>
        <v>5099.1420192307769</v>
      </c>
      <c r="N18" s="1">
        <f>SUM(OSRRefE21_0x_6)</f>
        <v>4356.313615384619</v>
      </c>
      <c r="O18" s="1">
        <f>SUM(OSRRefE21_0x_7)</f>
        <v>4356.313615384619</v>
      </c>
      <c r="Q18" s="2">
        <f>SUM(OSRRefD20_0x)+IFERROR(SUM(OSRRefE20_0x),0)</f>
        <v>38814.895730769276</v>
      </c>
    </row>
    <row r="19" spans="1:17" s="34" customFormat="1" hidden="1" outlineLevel="1" x14ac:dyDescent="0.25">
      <c r="A19" s="35"/>
      <c r="B19" s="13" t="str">
        <f>CONCATENATE("          ","6111", " - ","F.I.C.A.")</f>
        <v xml:space="preserve">          6111 - F.I.C.A.</v>
      </c>
      <c r="C19" s="15"/>
      <c r="D19" s="2"/>
      <c r="E19" s="2"/>
      <c r="F19" s="2"/>
      <c r="G19" s="2"/>
      <c r="H19" s="2">
        <v>847.12823076923098</v>
      </c>
      <c r="I19" s="2">
        <v>847.12823076923098</v>
      </c>
      <c r="J19" s="2">
        <v>1058.9102884615402</v>
      </c>
      <c r="K19" s="2">
        <v>847.12823076923098</v>
      </c>
      <c r="L19" s="2">
        <v>847.12823076923098</v>
      </c>
      <c r="M19" s="2">
        <v>1058.9102884615402</v>
      </c>
      <c r="N19" s="2">
        <v>847.12823076923098</v>
      </c>
      <c r="O19" s="2">
        <v>847.12823076923098</v>
      </c>
      <c r="P19" s="9"/>
      <c r="Q19" s="2">
        <f>SUM(OSRRefD21_0_0x)+IFERROR(SUM(OSRRefE21_0_0x),0)</f>
        <v>7200.589961538466</v>
      </c>
    </row>
    <row r="20" spans="1:17" s="34" customFormat="1" hidden="1" outlineLevel="1" x14ac:dyDescent="0.25">
      <c r="A20" s="35"/>
      <c r="B20" s="13" t="str">
        <f>CONCATENATE("          ","6112", " - ","COMPENSATION INSURANCE")</f>
        <v xml:space="preserve">          6112 - COMPENSATION INSURANCE</v>
      </c>
      <c r="C20" s="15"/>
      <c r="D20" s="2"/>
      <c r="E20" s="2"/>
      <c r="F20" s="2"/>
      <c r="G20" s="2"/>
      <c r="H20" s="2">
        <v>36.528461538461499</v>
      </c>
      <c r="I20" s="2">
        <v>36.528461538461499</v>
      </c>
      <c r="J20" s="2">
        <v>45.660576923076903</v>
      </c>
      <c r="K20" s="2">
        <v>36.528461538461499</v>
      </c>
      <c r="L20" s="2">
        <v>36.528461538461499</v>
      </c>
      <c r="M20" s="2">
        <v>45.660576923076903</v>
      </c>
      <c r="N20" s="2">
        <v>36.528461538461499</v>
      </c>
      <c r="O20" s="2">
        <v>36.528461538461499</v>
      </c>
      <c r="P20" s="9"/>
      <c r="Q20" s="2">
        <f>SUM(OSRRefD21_0_1x)+IFERROR(SUM(OSRRefE21_0_1x),0)</f>
        <v>310.49192307692283</v>
      </c>
    </row>
    <row r="21" spans="1:17" s="34" customFormat="1" hidden="1" outlineLevel="1" x14ac:dyDescent="0.25">
      <c r="A21" s="35"/>
      <c r="B21" s="13" t="str">
        <f>CONCATENATE("          ","6113", " - ","GROUP INSURANCE")</f>
        <v xml:space="preserve">          6113 - GROUP INSURANCE</v>
      </c>
      <c r="C21" s="15"/>
      <c r="D21" s="2">
        <v>1868.2</v>
      </c>
      <c r="E21" s="2"/>
      <c r="F21" s="2"/>
      <c r="G21" s="2"/>
      <c r="H21" s="2">
        <v>1385</v>
      </c>
      <c r="I21" s="2">
        <v>1385</v>
      </c>
      <c r="J21" s="2">
        <v>1385</v>
      </c>
      <c r="K21" s="2">
        <v>1385</v>
      </c>
      <c r="L21" s="2">
        <v>1385</v>
      </c>
      <c r="M21" s="2">
        <v>1385</v>
      </c>
      <c r="N21" s="2">
        <v>1385</v>
      </c>
      <c r="O21" s="2">
        <v>1385</v>
      </c>
      <c r="P21" s="9"/>
      <c r="Q21" s="2">
        <f>SUM(OSRRefD21_0_2x)+IFERROR(SUM(OSRRefE21_0_2x),0)</f>
        <v>12948.2</v>
      </c>
    </row>
    <row r="22" spans="1:17" s="34" customFormat="1" hidden="1" outlineLevel="1" x14ac:dyDescent="0.2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/>
      <c r="E22" s="2"/>
      <c r="F22" s="2"/>
      <c r="G22" s="2"/>
      <c r="H22" s="2">
        <v>28.78</v>
      </c>
      <c r="I22" s="2">
        <v>28.78</v>
      </c>
      <c r="J22" s="2">
        <v>35.975000000000001</v>
      </c>
      <c r="K22" s="2">
        <v>28.78</v>
      </c>
      <c r="L22" s="2">
        <v>28.78</v>
      </c>
      <c r="M22" s="2">
        <v>35.975000000000001</v>
      </c>
      <c r="N22" s="2">
        <v>28.78</v>
      </c>
      <c r="O22" s="2">
        <v>28.78</v>
      </c>
      <c r="P22" s="9"/>
      <c r="Q22" s="2">
        <f>SUM(OSRRefD21_0_3x)+IFERROR(SUM(OSRRefE21_0_3x),0)</f>
        <v>244.63</v>
      </c>
    </row>
    <row r="23" spans="1:17" s="34" customFormat="1" hidden="1" outlineLevel="1" x14ac:dyDescent="0.25">
      <c r="A23" s="35"/>
      <c r="B23" s="13" t="str">
        <f>CONCATENATE("          ","6115", " - ","P.E.R.S.")</f>
        <v xml:space="preserve">          6115 - P.E.R.S.</v>
      </c>
      <c r="C23" s="15"/>
      <c r="D23" s="2">
        <v>610.53</v>
      </c>
      <c r="E23" s="2"/>
      <c r="F23" s="2"/>
      <c r="G23" s="2"/>
      <c r="H23" s="2">
        <v>951.95384615384592</v>
      </c>
      <c r="I23" s="2">
        <v>951.95384615384592</v>
      </c>
      <c r="J23" s="2">
        <v>1189.9423076923101</v>
      </c>
      <c r="K23" s="2">
        <v>951.95384615384592</v>
      </c>
      <c r="L23" s="2">
        <v>951.95384615384592</v>
      </c>
      <c r="M23" s="2">
        <v>1189.9423076923101</v>
      </c>
      <c r="N23" s="2">
        <v>951.95384615384592</v>
      </c>
      <c r="O23" s="2">
        <v>951.95384615384592</v>
      </c>
      <c r="P23" s="9"/>
      <c r="Q23" s="2">
        <f>SUM(OSRRefD21_0_4x)+IFERROR(SUM(OSRRefE21_0_4x),0)</f>
        <v>8702.1376923076969</v>
      </c>
    </row>
    <row r="24" spans="1:17" s="34" customFormat="1" hidden="1" outlineLevel="1" x14ac:dyDescent="0.25">
      <c r="A24" s="35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3" t="str">
        <f>CONCATENATE("          ","6118", " - ","VACATION")</f>
        <v xml:space="preserve">          6118 - VACATION</v>
      </c>
      <c r="C25" s="15"/>
      <c r="D25" s="2"/>
      <c r="E25" s="2"/>
      <c r="F25" s="2"/>
      <c r="G25" s="2"/>
      <c r="H25" s="2">
        <v>1106.9230769230799</v>
      </c>
      <c r="I25" s="2">
        <v>1106.9230769230799</v>
      </c>
      <c r="J25" s="2">
        <v>1383.6538461538501</v>
      </c>
      <c r="K25" s="2">
        <v>1106.9230769230799</v>
      </c>
      <c r="L25" s="2">
        <v>1106.9230769230799</v>
      </c>
      <c r="M25" s="2">
        <v>1383.6538461538501</v>
      </c>
      <c r="N25" s="2">
        <v>1106.9230769230799</v>
      </c>
      <c r="O25" s="2">
        <v>1106.9230769230799</v>
      </c>
      <c r="P25" s="9"/>
      <c r="Q25" s="2">
        <f>SUM(OSRRefD21_0_6x)+IFERROR(SUM(OSRRefE21_0_6x),0)</f>
        <v>9408.8461538461797</v>
      </c>
    </row>
    <row r="26" spans="1:17" s="34" customFormat="1" hidden="1" outlineLevel="1" x14ac:dyDescent="0.25">
      <c r="A26" s="35"/>
      <c r="B26" s="13" t="str">
        <f>CONCATENATE("          ","6119", " - ","SICK LEAVE")</f>
        <v xml:space="preserve">          6119 - SICK LEAVE</v>
      </c>
      <c r="C26" s="15"/>
      <c r="D26" s="2"/>
      <c r="E26" s="2"/>
      <c r="F26" s="2"/>
      <c r="G26" s="2"/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SUM(OSRRefD21_0_7x)+IFERROR(SUM(OSRRefE21_0_7x),0)</f>
        <v>0</v>
      </c>
    </row>
    <row r="27" spans="1:17" s="34" customFormat="1" collapsed="1" x14ac:dyDescent="0.25">
      <c r="A27" s="35"/>
      <c r="B27" s="15" t="str">
        <f>CONCATENATE("     ","*Payroll                                          ")</f>
        <v xml:space="preserve">     *Payroll                                          </v>
      </c>
      <c r="C27" s="15"/>
      <c r="D27" s="1">
        <f>SUM(OSRRefD21_1x_0)</f>
        <v>0</v>
      </c>
      <c r="E27" s="1">
        <f>SUM(OSRRefD21_1x_1)</f>
        <v>0</v>
      </c>
      <c r="F27" s="1">
        <f>SUM(OSRRefD21_1x_2)</f>
        <v>0</v>
      </c>
      <c r="G27" s="1">
        <f>SUM(OSRRefD21_1x_3)</f>
        <v>0</v>
      </c>
      <c r="H27" s="1">
        <f>SUM(OSRRefE21_1x_0)</f>
        <v>9962.3076923076896</v>
      </c>
      <c r="I27" s="1">
        <f>SUM(OSRRefE21_1x_1)</f>
        <v>9962.3076923076896</v>
      </c>
      <c r="J27" s="1">
        <f>SUM(OSRRefE21_1x_2)</f>
        <v>12452.884615384599</v>
      </c>
      <c r="K27" s="1">
        <f>SUM(OSRRefE21_1x_3)</f>
        <v>9962.3076923076896</v>
      </c>
      <c r="L27" s="1">
        <f>SUM(OSRRefE21_1x_4)</f>
        <v>9962.3076923076896</v>
      </c>
      <c r="M27" s="1">
        <f>SUM(OSRRefE21_1x_5)</f>
        <v>12452.884615384599</v>
      </c>
      <c r="N27" s="1">
        <f>SUM(OSRRefE21_1x_6)</f>
        <v>9962.3076923076896</v>
      </c>
      <c r="O27" s="1">
        <f>SUM(OSRRefE21_1x_7)</f>
        <v>9962.3076923076896</v>
      </c>
      <c r="Q27" s="2">
        <f>SUM(OSRRefD20_1x)+IFERROR(SUM(OSRRefE20_1x),0)</f>
        <v>84679.615384615332</v>
      </c>
    </row>
    <row r="28" spans="1:17" s="34" customFormat="1" hidden="1" outlineLevel="1" x14ac:dyDescent="0.25">
      <c r="A28" s="35"/>
      <c r="B28" s="13" t="str">
        <f>CONCATENATE("          ","6001", " - ","ADMINISTRATIVE SALARIES")</f>
        <v xml:space="preserve">          6001 - ADMINISTRATIVE SALARIES</v>
      </c>
      <c r="C28" s="15"/>
      <c r="D28" s="2"/>
      <c r="E28" s="2"/>
      <c r="F28" s="2"/>
      <c r="G28" s="2"/>
      <c r="H28" s="2">
        <v>9962.3076923076896</v>
      </c>
      <c r="I28" s="2">
        <v>9962.3076923076896</v>
      </c>
      <c r="J28" s="2">
        <v>12452.884615384599</v>
      </c>
      <c r="K28" s="2">
        <v>9962.3076923076896</v>
      </c>
      <c r="L28" s="2">
        <v>9962.3076923076896</v>
      </c>
      <c r="M28" s="2">
        <v>12452.884615384599</v>
      </c>
      <c r="N28" s="2">
        <v>9962.3076923076896</v>
      </c>
      <c r="O28" s="2">
        <v>9962.3076923076896</v>
      </c>
      <c r="P28" s="9"/>
      <c r="Q28" s="2">
        <f>SUM(OSRRefD21_1_0x)+IFERROR(SUM(OSRRefE21_1_0x),0)</f>
        <v>84679.615384615332</v>
      </c>
    </row>
    <row r="29" spans="1:17" s="34" customFormat="1" hidden="1" outlineLevel="1" x14ac:dyDescent="0.25">
      <c r="A29" s="35"/>
      <c r="B29" s="13" t="str">
        <f>CONCATENATE("          ","6002", " - ","STAFF SALARIES")</f>
        <v xml:space="preserve">          6002 - STAFF SALARIES</v>
      </c>
      <c r="C29" s="15"/>
      <c r="D29" s="2"/>
      <c r="E29" s="2"/>
      <c r="F29" s="2"/>
      <c r="G29" s="2"/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SUM(OSRRefD21_1_1x)+IFERROR(SUM(OSRRefE21_1_1x),0)</f>
        <v>0</v>
      </c>
    </row>
    <row r="30" spans="1:17" s="34" customFormat="1" hidden="1" outlineLevel="1" x14ac:dyDescent="0.25">
      <c r="A30" s="35"/>
      <c r="B30" s="13" t="str">
        <f>CONCATENATE("          ","6003", " - ","STAFF HOURLY-9 MONTH")</f>
        <v xml:space="preserve">          6003 - STAFF HOURLY-9 MONTH</v>
      </c>
      <c r="C30" s="15"/>
      <c r="D30" s="2"/>
      <c r="E30" s="2"/>
      <c r="F30" s="2"/>
      <c r="G30" s="2"/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SUM(OSRRefD21_1_2x)+IFERROR(SUM(OSRRefE21_1_2x),0)</f>
        <v>0</v>
      </c>
    </row>
    <row r="31" spans="1:17" s="34" customFormat="1" hidden="1" outlineLevel="1" x14ac:dyDescent="0.25">
      <c r="A31" s="35"/>
      <c r="B31" s="13" t="str">
        <f>CONCATENATE("          ","6004", " - ","STAFF HOURLY")</f>
        <v xml:space="preserve">          6004 - STAFF HOURLY</v>
      </c>
      <c r="C31" s="15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SUM(OSRRefD21_1_3x)+IFERROR(SUM(OSRRefE21_1_3x),0)</f>
        <v>0</v>
      </c>
    </row>
    <row r="32" spans="1:17" s="34" customFormat="1" hidden="1" outlineLevel="1" x14ac:dyDescent="0.25">
      <c r="A32" s="35"/>
      <c r="B32" s="13" t="str">
        <f>CONCATENATE("          ","6005", " - ","TEMPORARY WAGES-HOURLY")</f>
        <v xml:space="preserve">          6005 - TEMPORARY WAGES-HOURLY</v>
      </c>
      <c r="C32" s="15"/>
      <c r="D32" s="2"/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SUM(OSRRefD21_1_4x)+IFERROR(SUM(OSRRefE21_1_4x),0)</f>
        <v>0</v>
      </c>
    </row>
    <row r="33" spans="1:17" s="34" customFormat="1" hidden="1" outlineLevel="1" x14ac:dyDescent="0.25">
      <c r="A33" s="35"/>
      <c r="B33" s="13" t="str">
        <f>CONCATENATE("          ","6006", " - ","TEMPORARY PART TIME")</f>
        <v xml:space="preserve">          6006 - TEMPORARY PART TIME</v>
      </c>
      <c r="C33" s="15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SUM(OSRRefD21_1_5x)+IFERROR(SUM(OSRRefE21_1_5x),0)</f>
        <v>0</v>
      </c>
    </row>
    <row r="34" spans="1:17" s="34" customFormat="1" hidden="1" outlineLevel="1" x14ac:dyDescent="0.25">
      <c r="A34" s="35"/>
      <c r="B34" s="13" t="str">
        <f>CONCATENATE("          ","6007", " - ","STUDENT HOURLY")</f>
        <v xml:space="preserve">          6007 - STUDENT HOURLY</v>
      </c>
      <c r="C34" s="15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SUM(OSRRefD21_1_6x)+IFERROR(SUM(OSRRefE21_1_6x),0)</f>
        <v>0</v>
      </c>
    </row>
    <row r="35" spans="1:17" s="34" customFormat="1" hidden="1" outlineLevel="1" x14ac:dyDescent="0.25">
      <c r="A35" s="35"/>
      <c r="B35" s="13" t="str">
        <f>CONCATENATE("          ","6008", " - ","STUDENT HOURLY-FICA EXEMPT")</f>
        <v xml:space="preserve">          6008 - STUDENT HOURLY-FICA EXEMPT</v>
      </c>
      <c r="C35" s="15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SUM(OSRRefD21_1_7x)+IFERROR(SUM(OSRRefE21_1_7x),0)</f>
        <v>0</v>
      </c>
    </row>
    <row r="36" spans="1:17" s="34" customFormat="1" hidden="1" outlineLevel="1" x14ac:dyDescent="0.25">
      <c r="A36" s="35"/>
      <c r="B36" s="13" t="str">
        <f>CONCATENATE("          ","6009", " - ","TEMPORARY-SEASONAL")</f>
        <v xml:space="preserve">          6009 - TEMPORARY-SEASONAL</v>
      </c>
      <c r="C36" s="15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SUM(OSRRefD21_1_8x)+IFERROR(SUM(OSRRefE21_1_8x),0)</f>
        <v>0</v>
      </c>
    </row>
    <row r="37" spans="1:17" s="34" customFormat="1" hidden="1" outlineLevel="1" x14ac:dyDescent="0.25">
      <c r="A37" s="35"/>
      <c r="B37" s="13" t="str">
        <f>CONCATENATE("          ","6010", " - ","GRATUITY")</f>
        <v xml:space="preserve">          6010 - GRATUITY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SUM(OSRRefD21_1_9x)+IFERROR(SUM(OSRRefE21_1_9x),0)</f>
        <v>0</v>
      </c>
    </row>
    <row r="38" spans="1:17" s="34" customFormat="1" collapsed="1" x14ac:dyDescent="0.25">
      <c r="A38" s="35"/>
      <c r="B38" s="15" t="str">
        <f>CONCATENATE("     ","R/H Commissions                                   ")</f>
        <v xml:space="preserve">     R/H Commissions                                   </v>
      </c>
      <c r="C38" s="15"/>
      <c r="D38" s="1">
        <f>SUM(OSRRefD21_2x_0)</f>
        <v>0</v>
      </c>
      <c r="E38" s="1">
        <f>SUM(OSRRefD21_2x_1)</f>
        <v>0</v>
      </c>
      <c r="F38" s="1">
        <f>SUM(OSRRefD21_2x_2)</f>
        <v>0</v>
      </c>
      <c r="G38" s="1">
        <f>SUM(OSRRefD21_2x_3)</f>
        <v>0</v>
      </c>
      <c r="H38" s="1">
        <f>SUM(OSRRefE21_2x_0)</f>
        <v>0</v>
      </c>
      <c r="I38" s="1">
        <f>SUM(OSRRefE21_2x_1)</f>
        <v>0</v>
      </c>
      <c r="J38" s="1">
        <f>SUM(OSRRefE21_2x_2)</f>
        <v>0</v>
      </c>
      <c r="K38" s="1">
        <f>SUM(OSRRefE21_2x_3)</f>
        <v>0</v>
      </c>
      <c r="L38" s="1">
        <f>SUM(OSRRefE21_2x_4)</f>
        <v>0</v>
      </c>
      <c r="M38" s="1">
        <f>SUM(OSRRefE21_2x_5)</f>
        <v>0</v>
      </c>
      <c r="N38" s="1">
        <f>SUM(OSRRefE21_2x_6)</f>
        <v>0</v>
      </c>
      <c r="O38" s="1">
        <f>SUM(OSRRefE21_2x_7)</f>
        <v>2000</v>
      </c>
      <c r="Q38" s="2">
        <f>SUM(OSRRefD20_2x)+IFERROR(SUM(OSRRefE20_2x),0)</f>
        <v>2000</v>
      </c>
    </row>
    <row r="39" spans="1:17" s="34" customFormat="1" hidden="1" outlineLevel="1" x14ac:dyDescent="0.25">
      <c r="A39" s="35"/>
      <c r="B39" s="13" t="str">
        <f>CONCATENATE("          ","6387", " - ","COMMISSION DUE HOUSING")</f>
        <v xml:space="preserve">          6387 - COMMISSION DUE HOUSING</v>
      </c>
      <c r="C39" s="15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2000</v>
      </c>
      <c r="P39" s="9"/>
      <c r="Q39" s="2">
        <f>SUM(OSRRefD21_2_0x)+IFERROR(SUM(OSRRefE21_2_0x),0)</f>
        <v>2000</v>
      </c>
    </row>
    <row r="40" spans="1:17" s="34" customFormat="1" collapsed="1" x14ac:dyDescent="0.25">
      <c r="A40" s="35"/>
      <c r="B40" s="15" t="str">
        <f>CONCATENATE("     ","Services                                          ")</f>
        <v xml:space="preserve">     Services                                          </v>
      </c>
      <c r="C40" s="15"/>
      <c r="D40" s="1">
        <f>SUM(OSRRefD21_3x_0)</f>
        <v>0</v>
      </c>
      <c r="E40" s="1">
        <f>SUM(OSRRefD21_3x_1)</f>
        <v>0</v>
      </c>
      <c r="F40" s="1">
        <f>SUM(OSRRefD21_3x_2)</f>
        <v>0</v>
      </c>
      <c r="G40" s="1">
        <f>SUM(OSRRefD21_3x_3)</f>
        <v>0</v>
      </c>
      <c r="H40" s="1">
        <f>SUM(OSRRefE21_3x_0)</f>
        <v>0</v>
      </c>
      <c r="I40" s="1">
        <f>SUM(OSRRefE21_3x_1)</f>
        <v>0</v>
      </c>
      <c r="J40" s="1">
        <f>SUM(OSRRefE21_3x_2)</f>
        <v>0</v>
      </c>
      <c r="K40" s="1">
        <f>SUM(OSRRefE21_3x_3)</f>
        <v>0</v>
      </c>
      <c r="L40" s="1">
        <f>SUM(OSRRefE21_3x_4)</f>
        <v>0</v>
      </c>
      <c r="M40" s="1">
        <f>SUM(OSRRefE21_3x_5)</f>
        <v>0</v>
      </c>
      <c r="N40" s="1">
        <f>SUM(OSRRefE21_3x_6)</f>
        <v>0</v>
      </c>
      <c r="O40" s="1">
        <f>SUM(OSRRefE21_3x_7)</f>
        <v>0</v>
      </c>
      <c r="Q40" s="2">
        <f>SUM(OSRRefD20_3x)+IFERROR(SUM(OSRRefE20_3x),0)</f>
        <v>0</v>
      </c>
    </row>
    <row r="41" spans="1:17" s="34" customFormat="1" hidden="1" outlineLevel="1" x14ac:dyDescent="0.25">
      <c r="A41" s="35"/>
      <c r="B41" s="13" t="str">
        <f>CONCATENATE("          ","6282", " - ","JANITORIAL/EXTERMINATOR EXPENS")</f>
        <v xml:space="preserve">          6282 - JANITORIAL/EXTERMINATOR EXPENS</v>
      </c>
      <c r="C41" s="15"/>
      <c r="D41" s="2"/>
      <c r="E41" s="2"/>
      <c r="F41" s="2"/>
      <c r="G41" s="2"/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SUM(OSRRefD21_3_0x)+IFERROR(SUM(OSRRefE21_3_0x),0)</f>
        <v>0</v>
      </c>
    </row>
    <row r="42" spans="1:17" s="34" customFormat="1" hidden="1" outlineLevel="1" x14ac:dyDescent="0.25">
      <c r="A42" s="35"/>
      <c r="B42" s="13" t="str">
        <f>CONCATENATE("          ","6285", " - ","JANITORIAL SERVICES")</f>
        <v xml:space="preserve">          6285 - JANITORIAL SERVICES</v>
      </c>
      <c r="C42" s="15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SUM(OSRRefD21_3_1x)+IFERROR(SUM(OSRRefE21_3_1x),0)</f>
        <v>0</v>
      </c>
    </row>
    <row r="43" spans="1:17" s="34" customFormat="1" collapsed="1" x14ac:dyDescent="0.25">
      <c r="A43" s="35"/>
      <c r="B43" s="15" t="str">
        <f>CONCATENATE("     ","Supplies                                          ")</f>
        <v xml:space="preserve">     Supplies                                          </v>
      </c>
      <c r="C43" s="15"/>
      <c r="D43" s="1">
        <f>SUM(OSRRefD21_4x_0)</f>
        <v>-56.3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SUM(OSRRefE21_4x_0)</f>
        <v>25</v>
      </c>
      <c r="I43" s="1">
        <f>SUM(OSRRefE21_4x_1)</f>
        <v>25</v>
      </c>
      <c r="J43" s="1">
        <f>SUM(OSRRefE21_4x_2)</f>
        <v>25</v>
      </c>
      <c r="K43" s="1">
        <f>SUM(OSRRefE21_4x_3)</f>
        <v>25</v>
      </c>
      <c r="L43" s="1">
        <f>SUM(OSRRefE21_4x_4)</f>
        <v>25</v>
      </c>
      <c r="M43" s="1">
        <f>SUM(OSRRefE21_4x_5)</f>
        <v>25</v>
      </c>
      <c r="N43" s="1">
        <f>SUM(OSRRefE21_4x_6)</f>
        <v>25</v>
      </c>
      <c r="O43" s="1">
        <f>SUM(OSRRefE21_4x_7)</f>
        <v>25</v>
      </c>
      <c r="Q43" s="2">
        <f>SUM(OSRRefD20_4x)+IFERROR(SUM(OSRRefE20_4x),0)</f>
        <v>143.69999999999999</v>
      </c>
    </row>
    <row r="44" spans="1:17" s="34" customFormat="1" hidden="1" outlineLevel="1" x14ac:dyDescent="0.25">
      <c r="A44" s="35"/>
      <c r="B44" s="13" t="str">
        <f>CONCATENATE("          ","6241", " - ","OFFICE EXPENSE")</f>
        <v xml:space="preserve">          6241 - OFFICE EXPENSE</v>
      </c>
      <c r="C44" s="15"/>
      <c r="D44" s="2">
        <v>-56.3</v>
      </c>
      <c r="E44" s="2"/>
      <c r="F44" s="2"/>
      <c r="G44" s="2"/>
      <c r="H44" s="2">
        <v>25</v>
      </c>
      <c r="I44" s="2">
        <v>25</v>
      </c>
      <c r="J44" s="2">
        <v>25</v>
      </c>
      <c r="K44" s="2">
        <v>25</v>
      </c>
      <c r="L44" s="2">
        <v>25</v>
      </c>
      <c r="M44" s="2">
        <v>25</v>
      </c>
      <c r="N44" s="2">
        <v>25</v>
      </c>
      <c r="O44" s="2">
        <v>25</v>
      </c>
      <c r="P44" s="9"/>
      <c r="Q44" s="2">
        <f>SUM(OSRRefD21_4_0x)+IFERROR(SUM(OSRRefE21_4_0x),0)</f>
        <v>143.69999999999999</v>
      </c>
    </row>
    <row r="45" spans="1:17" s="34" customFormat="1" collapsed="1" x14ac:dyDescent="0.25">
      <c r="A45" s="35"/>
      <c r="B45" s="15" t="str">
        <f>CONCATENATE("     ","Telephone/Data Lines                              ")</f>
        <v xml:space="preserve">     Telephone/Data Lines                              </v>
      </c>
      <c r="C45" s="15"/>
      <c r="D45" s="1">
        <f>SUM(OSRRefD21_5x_0)</f>
        <v>36</v>
      </c>
      <c r="E45" s="1">
        <f>SUM(OSRRefD21_5x_1)</f>
        <v>36</v>
      </c>
      <c r="F45" s="1">
        <f>SUM(OSRRefD21_5x_2)</f>
        <v>200</v>
      </c>
      <c r="G45" s="1">
        <f>SUM(OSRRefD21_5x_3)</f>
        <v>-114</v>
      </c>
      <c r="H45" s="1">
        <f>SUM(OSRRefE21_5x_0)</f>
        <v>50</v>
      </c>
      <c r="I45" s="1">
        <f>SUM(OSRRefE21_5x_1)</f>
        <v>200</v>
      </c>
      <c r="J45" s="1">
        <f>SUM(OSRRefE21_5x_2)</f>
        <v>50</v>
      </c>
      <c r="K45" s="1">
        <f>SUM(OSRRefE21_5x_3)</f>
        <v>50</v>
      </c>
      <c r="L45" s="1">
        <f>SUM(OSRRefE21_5x_4)</f>
        <v>200</v>
      </c>
      <c r="M45" s="1">
        <f>SUM(OSRRefE21_5x_5)</f>
        <v>50</v>
      </c>
      <c r="N45" s="1">
        <f>SUM(OSRRefE21_5x_6)</f>
        <v>50</v>
      </c>
      <c r="O45" s="1">
        <f>SUM(OSRRefE21_5x_7)</f>
        <v>200</v>
      </c>
      <c r="Q45" s="2">
        <f>SUM(OSRRefD20_5x)+IFERROR(SUM(OSRRefE20_5x),0)</f>
        <v>1008</v>
      </c>
    </row>
    <row r="46" spans="1:17" s="34" customFormat="1" hidden="1" outlineLevel="1" x14ac:dyDescent="0.25">
      <c r="A46" s="35"/>
      <c r="B46" s="13" t="str">
        <f>CONCATENATE("          ","6309", " - ","TELEPHONE")</f>
        <v xml:space="preserve">          6309 - TELEPHONE</v>
      </c>
      <c r="C46" s="15"/>
      <c r="D46" s="2">
        <v>36</v>
      </c>
      <c r="E46" s="2">
        <v>36</v>
      </c>
      <c r="F46" s="2">
        <v>200</v>
      </c>
      <c r="G46" s="2">
        <v>-114</v>
      </c>
      <c r="H46" s="2">
        <v>50</v>
      </c>
      <c r="I46" s="2">
        <v>200</v>
      </c>
      <c r="J46" s="2">
        <v>50</v>
      </c>
      <c r="K46" s="2">
        <v>50</v>
      </c>
      <c r="L46" s="2">
        <v>200</v>
      </c>
      <c r="M46" s="2">
        <v>50</v>
      </c>
      <c r="N46" s="2">
        <v>50</v>
      </c>
      <c r="O46" s="2">
        <v>200</v>
      </c>
      <c r="P46" s="9"/>
      <c r="Q46" s="2">
        <f>SUM(OSRRefD21_5_0x)+IFERROR(SUM(OSRRefE21_5_0x),0)</f>
        <v>1008</v>
      </c>
    </row>
    <row r="47" spans="1:17" s="34" customFormat="1" collapsed="1" x14ac:dyDescent="0.25">
      <c r="A47" s="35"/>
      <c r="B47" s="15" t="str">
        <f>CONCATENATE("     ","Utilities                                         ")</f>
        <v xml:space="preserve">     Utilities                                         </v>
      </c>
      <c r="C47" s="15"/>
      <c r="D47" s="1">
        <f>SUM(OSRRefD21_6x_0)</f>
        <v>0</v>
      </c>
      <c r="E47" s="1">
        <f>SUM(OSRRefD21_6x_1)</f>
        <v>0</v>
      </c>
      <c r="F47" s="1">
        <f>SUM(OSRRefD21_6x_2)</f>
        <v>0</v>
      </c>
      <c r="G47" s="1">
        <f>SUM(OSRRefD21_6x_3)</f>
        <v>0</v>
      </c>
      <c r="H47" s="1">
        <f>SUM(OSRRefE21_6x_0)</f>
        <v>0</v>
      </c>
      <c r="I47" s="1">
        <f>SUM(OSRRefE21_6x_1)</f>
        <v>0</v>
      </c>
      <c r="J47" s="1">
        <f>SUM(OSRRefE21_6x_2)</f>
        <v>0</v>
      </c>
      <c r="K47" s="1">
        <f>SUM(OSRRefE21_6x_3)</f>
        <v>0</v>
      </c>
      <c r="L47" s="1">
        <f>SUM(OSRRefE21_6x_4)</f>
        <v>0</v>
      </c>
      <c r="M47" s="1">
        <f>SUM(OSRRefE21_6x_5)</f>
        <v>0</v>
      </c>
      <c r="N47" s="1">
        <f>SUM(OSRRefE21_6x_6)</f>
        <v>0</v>
      </c>
      <c r="O47" s="1">
        <f>SUM(OSRRefE21_6x_7)</f>
        <v>0</v>
      </c>
      <c r="Q47" s="2">
        <f>SUM(OSRRefD20_6x)+IFERROR(SUM(OSRRefE20_6x),0)</f>
        <v>0</v>
      </c>
    </row>
    <row r="48" spans="1:17" s="34" customFormat="1" hidden="1" outlineLevel="1" x14ac:dyDescent="0.25">
      <c r="A48" s="35"/>
      <c r="B48" s="13" t="str">
        <f>CONCATENATE("          ","6274", " - ","UTILITIES")</f>
        <v xml:space="preserve">          6274 - UTILITIES</v>
      </c>
      <c r="C48" s="15"/>
      <c r="D48" s="2"/>
      <c r="E48" s="2"/>
      <c r="F48" s="2"/>
      <c r="G48" s="2"/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SUM(OSRRefD21_6_0x)+IFERROR(SUM(OSRRefE21_6_0x),0)</f>
        <v>0</v>
      </c>
    </row>
    <row r="49" spans="1:17" s="28" customFormat="1" x14ac:dyDescent="0.25">
      <c r="A49" s="20"/>
      <c r="B49" s="20"/>
      <c r="C49" s="20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9" customFormat="1" x14ac:dyDescent="0.25">
      <c r="A50" s="22"/>
      <c r="B50" s="16" t="s">
        <v>0</v>
      </c>
      <c r="C50" s="23"/>
      <c r="D50" s="3">
        <f t="shared" ref="D50:G50" si="4">0</f>
        <v>0</v>
      </c>
      <c r="E50" s="3">
        <f t="shared" si="4"/>
        <v>0</v>
      </c>
      <c r="F50" s="3">
        <f t="shared" si="4"/>
        <v>0</v>
      </c>
      <c r="G50" s="3">
        <f t="shared" si="4"/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Q50" s="2">
        <f>SUM(OSRRefD23_0x)+IFERROR(SUM(OSRRefE23_0x),0)</f>
        <v>0</v>
      </c>
    </row>
    <row r="51" spans="1:17" x14ac:dyDescent="0.25">
      <c r="A51" s="5"/>
      <c r="B51" s="8"/>
      <c r="C51" s="8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4" customFormat="1" x14ac:dyDescent="0.25">
      <c r="A52" s="8"/>
      <c r="B52" s="17" t="s">
        <v>3</v>
      </c>
      <c r="C52" s="17"/>
      <c r="D52" s="6">
        <f t="shared" ref="D52:O52" si="5">IFERROR(+D14-D17+D50, 0)</f>
        <v>-2458.4299999999998</v>
      </c>
      <c r="E52" s="6">
        <f t="shared" si="5"/>
        <v>-36</v>
      </c>
      <c r="F52" s="6">
        <f t="shared" si="5"/>
        <v>-200</v>
      </c>
      <c r="G52" s="6">
        <f t="shared" si="5"/>
        <v>114</v>
      </c>
      <c r="H52" s="6">
        <f t="shared" si="5"/>
        <v>-14393.621307692309</v>
      </c>
      <c r="I52" s="6">
        <f t="shared" si="5"/>
        <v>-14543.621307692309</v>
      </c>
      <c r="J52" s="6">
        <f t="shared" si="5"/>
        <v>-17627.026634615377</v>
      </c>
      <c r="K52" s="6">
        <f t="shared" si="5"/>
        <v>-14393.621307692309</v>
      </c>
      <c r="L52" s="6">
        <f t="shared" si="5"/>
        <v>-14543.621307692309</v>
      </c>
      <c r="M52" s="6">
        <f t="shared" si="5"/>
        <v>-17627.026634615377</v>
      </c>
      <c r="N52" s="6">
        <f t="shared" si="5"/>
        <v>-14393.621307692309</v>
      </c>
      <c r="O52" s="6">
        <f t="shared" si="5"/>
        <v>-16543.621307692309</v>
      </c>
      <c r="Q52" s="6">
        <f>IFERROR(+Q14-Q17+Q50, 0)</f>
        <v>-126646.21111538461</v>
      </c>
    </row>
    <row r="53" spans="1:17" s="8" customFormat="1" x14ac:dyDescent="0.25">
      <c r="B53" s="16"/>
      <c r="C53" s="16"/>
      <c r="D53" s="4">
        <f t="shared" ref="D53:O53" si="6">IFERROR(D52/D10, 0)</f>
        <v>0</v>
      </c>
      <c r="E53" s="4">
        <f t="shared" si="6"/>
        <v>0</v>
      </c>
      <c r="F53" s="4">
        <f t="shared" si="6"/>
        <v>0</v>
      </c>
      <c r="G53" s="4">
        <f t="shared" si="6"/>
        <v>0</v>
      </c>
      <c r="H53" s="4">
        <f t="shared" si="6"/>
        <v>0</v>
      </c>
      <c r="I53" s="4">
        <f t="shared" si="6"/>
        <v>0</v>
      </c>
      <c r="J53" s="4">
        <f t="shared" si="6"/>
        <v>0</v>
      </c>
      <c r="K53" s="4">
        <f t="shared" si="6"/>
        <v>0</v>
      </c>
      <c r="L53" s="4">
        <f t="shared" si="6"/>
        <v>0</v>
      </c>
      <c r="M53" s="4">
        <f t="shared" si="6"/>
        <v>0</v>
      </c>
      <c r="N53" s="4">
        <f t="shared" si="6"/>
        <v>0</v>
      </c>
      <c r="O53" s="4">
        <f t="shared" si="6"/>
        <v>0</v>
      </c>
      <c r="P53" s="18"/>
      <c r="Q53" s="4">
        <f>IFERROR(Q52/Q10, 0)</f>
        <v>0</v>
      </c>
    </row>
    <row r="54" spans="1:17" x14ac:dyDescent="0.25">
      <c r="A54" s="5"/>
      <c r="B54" s="8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s="14" customFormat="1" x14ac:dyDescent="0.25">
      <c r="A55" s="25"/>
      <c r="B55" s="8" t="s">
        <v>8</v>
      </c>
      <c r="C55" s="8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2">
        <f>SUM(OSRRefD28_0x)+IFERROR(SUM(OSRRefE28_0x),0)</f>
        <v>0</v>
      </c>
    </row>
    <row r="56" spans="1:17" x14ac:dyDescent="0.25">
      <c r="A56" s="5"/>
      <c r="B56" s="8"/>
      <c r="C56" s="8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4" customFormat="1" ht="15.75" thickBot="1" x14ac:dyDescent="0.3">
      <c r="A57" s="8"/>
      <c r="B57" s="17" t="s">
        <v>4</v>
      </c>
      <c r="C57" s="17"/>
      <c r="D57" s="7">
        <f t="shared" ref="D57:O57" si="7">IFERROR(+D52-D55, 0)</f>
        <v>-2458.4299999999998</v>
      </c>
      <c r="E57" s="7">
        <f t="shared" si="7"/>
        <v>-36</v>
      </c>
      <c r="F57" s="7">
        <f t="shared" si="7"/>
        <v>-200</v>
      </c>
      <c r="G57" s="7">
        <f t="shared" si="7"/>
        <v>114</v>
      </c>
      <c r="H57" s="7">
        <f t="shared" si="7"/>
        <v>-14393.621307692309</v>
      </c>
      <c r="I57" s="7">
        <f t="shared" si="7"/>
        <v>-14543.621307692309</v>
      </c>
      <c r="J57" s="7">
        <f t="shared" si="7"/>
        <v>-17627.026634615377</v>
      </c>
      <c r="K57" s="7">
        <f t="shared" si="7"/>
        <v>-14393.621307692309</v>
      </c>
      <c r="L57" s="7">
        <f t="shared" si="7"/>
        <v>-14543.621307692309</v>
      </c>
      <c r="M57" s="7">
        <f t="shared" si="7"/>
        <v>-17627.026634615377</v>
      </c>
      <c r="N57" s="7">
        <f t="shared" si="7"/>
        <v>-14393.621307692309</v>
      </c>
      <c r="O57" s="7">
        <f t="shared" si="7"/>
        <v>-16543.621307692309</v>
      </c>
      <c r="Q57" s="7">
        <f>IFERROR(+Q52-Q55, 0)</f>
        <v>-126646.21111538461</v>
      </c>
    </row>
    <row r="58" spans="1:17" ht="15.75" thickTop="1" x14ac:dyDescent="0.25">
      <c r="A58" s="5"/>
      <c r="B58" s="5"/>
      <c r="C58" s="5"/>
      <c r="D58" s="4">
        <f t="shared" ref="D58:O58" si="8">IFERROR(D57/D10, 0)</f>
        <v>0</v>
      </c>
      <c r="E58" s="4">
        <f t="shared" si="8"/>
        <v>0</v>
      </c>
      <c r="F58" s="4">
        <f t="shared" si="8"/>
        <v>0</v>
      </c>
      <c r="G58" s="4">
        <f t="shared" si="8"/>
        <v>0</v>
      </c>
      <c r="H58" s="4">
        <f t="shared" si="8"/>
        <v>0</v>
      </c>
      <c r="I58" s="4">
        <f t="shared" si="8"/>
        <v>0</v>
      </c>
      <c r="J58" s="4">
        <f t="shared" si="8"/>
        <v>0</v>
      </c>
      <c r="K58" s="4">
        <f t="shared" si="8"/>
        <v>0</v>
      </c>
      <c r="L58" s="4">
        <f t="shared" si="8"/>
        <v>0</v>
      </c>
      <c r="M58" s="4">
        <f t="shared" si="8"/>
        <v>0</v>
      </c>
      <c r="N58" s="4">
        <f t="shared" si="8"/>
        <v>0</v>
      </c>
      <c r="O58" s="4">
        <f t="shared" si="8"/>
        <v>0</v>
      </c>
      <c r="P58" s="18"/>
      <c r="Q58" s="4">
        <f>IFERROR(Q57/Q10, 0)</f>
        <v>0</v>
      </c>
    </row>
    <row r="59" spans="1:17" x14ac:dyDescent="0.25">
      <c r="A59" s="5"/>
      <c r="B59" s="5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x14ac:dyDescent="0.25">
      <c r="A60" s="5"/>
      <c r="B60" s="5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4" customFormat="1" ht="15.75" thickBot="1" x14ac:dyDescent="0.3">
      <c r="A61" s="8"/>
      <c r="B61" s="17" t="s">
        <v>5</v>
      </c>
      <c r="C61" s="17"/>
      <c r="D61" s="7">
        <f t="shared" ref="D61:O61" si="9">IFERROR(SUM(D57:D60), 0)</f>
        <v>-2458.4299999999998</v>
      </c>
      <c r="E61" s="7">
        <f t="shared" si="9"/>
        <v>-36</v>
      </c>
      <c r="F61" s="7">
        <f t="shared" si="9"/>
        <v>-200</v>
      </c>
      <c r="G61" s="7">
        <f t="shared" si="9"/>
        <v>114</v>
      </c>
      <c r="H61" s="7">
        <f t="shared" si="9"/>
        <v>-14393.621307692309</v>
      </c>
      <c r="I61" s="7">
        <f t="shared" si="9"/>
        <v>-14543.621307692309</v>
      </c>
      <c r="J61" s="7">
        <f t="shared" si="9"/>
        <v>-17627.026634615377</v>
      </c>
      <c r="K61" s="7">
        <f t="shared" si="9"/>
        <v>-14393.621307692309</v>
      </c>
      <c r="L61" s="7">
        <f t="shared" si="9"/>
        <v>-14543.621307692309</v>
      </c>
      <c r="M61" s="7">
        <f t="shared" si="9"/>
        <v>-17627.026634615377</v>
      </c>
      <c r="N61" s="7">
        <f t="shared" si="9"/>
        <v>-14393.621307692309</v>
      </c>
      <c r="O61" s="7">
        <f t="shared" si="9"/>
        <v>-16543.621307692309</v>
      </c>
      <c r="Q61" s="7">
        <f>IFERROR(SUM(Q57:Q60), 0)</f>
        <v>-126646.21111538461</v>
      </c>
    </row>
    <row r="62" spans="1:17" ht="15.75" thickTop="1" x14ac:dyDescent="0.25">
      <c r="A62" s="5"/>
      <c r="C62" s="5"/>
      <c r="D62" s="4">
        <f t="shared" ref="D62:O62" si="10">IFERROR(D61/D10, 0)</f>
        <v>0</v>
      </c>
      <c r="E62" s="4">
        <f t="shared" si="10"/>
        <v>0</v>
      </c>
      <c r="F62" s="4">
        <f t="shared" si="10"/>
        <v>0</v>
      </c>
      <c r="G62" s="4">
        <f t="shared" si="10"/>
        <v>0</v>
      </c>
      <c r="H62" s="4">
        <f t="shared" si="10"/>
        <v>0</v>
      </c>
      <c r="I62" s="4">
        <f t="shared" si="10"/>
        <v>0</v>
      </c>
      <c r="J62" s="4">
        <f t="shared" si="10"/>
        <v>0</v>
      </c>
      <c r="K62" s="4">
        <f t="shared" si="10"/>
        <v>0</v>
      </c>
      <c r="L62" s="4">
        <f t="shared" si="10"/>
        <v>0</v>
      </c>
      <c r="M62" s="4">
        <f t="shared" si="10"/>
        <v>0</v>
      </c>
      <c r="N62" s="4">
        <f t="shared" si="10"/>
        <v>0</v>
      </c>
      <c r="O62" s="4">
        <f t="shared" si="10"/>
        <v>0</v>
      </c>
      <c r="P62" s="18"/>
      <c r="Q62" s="4">
        <f>IFERROR(Q61/Q10, 0)</f>
        <v>0</v>
      </c>
    </row>
    <row r="63" spans="1:17" x14ac:dyDescent="0.25">
      <c r="A63" s="5"/>
      <c r="B63" s="26">
        <v>44151.565047418982</v>
      </c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Q63" s="12"/>
    </row>
    <row r="64" spans="1:17" x14ac:dyDescent="0.25">
      <c r="A64" s="5"/>
      <c r="B64" s="30" t="s">
        <v>311</v>
      </c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Q64" s="12"/>
    </row>
    <row r="65" spans="1:17" x14ac:dyDescent="0.25">
      <c r="A65" s="5"/>
      <c r="B65" s="31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Q65" s="12"/>
    </row>
    <row r="66" spans="1:17" x14ac:dyDescent="0.25"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Q66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4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","424", " - ", "Blair Field")</f>
        <v>Department 424 - Blair Field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0">
        <f>SUM(OSRRefD20x_0)</f>
        <v>1212.8499999999999</v>
      </c>
      <c r="E17" s="10">
        <f>SUM(OSRRefD20x_1)</f>
        <v>771.89</v>
      </c>
      <c r="F17" s="10">
        <f>SUM(OSRRefD20x_2)</f>
        <v>555.02</v>
      </c>
      <c r="G17" s="10">
        <f>SUM(OSRRefD20x_3)</f>
        <v>278.25</v>
      </c>
      <c r="H17" s="10">
        <f>SUM(OSRRefE20x_0)</f>
        <v>479</v>
      </c>
      <c r="I17" s="10">
        <f>SUM(OSRRefE20x_1)</f>
        <v>479</v>
      </c>
      <c r="J17" s="10">
        <f>SUM(OSRRefE20x_2)</f>
        <v>479</v>
      </c>
      <c r="K17" s="10">
        <f>SUM(OSRRefE20x_3)</f>
        <v>479</v>
      </c>
      <c r="L17" s="10">
        <f>SUM(OSRRefE20x_4)</f>
        <v>479</v>
      </c>
      <c r="M17" s="10">
        <f>SUM(OSRRefE20x_5)</f>
        <v>479</v>
      </c>
      <c r="N17" s="10">
        <f>SUM(OSRRefE20x_6)</f>
        <v>479</v>
      </c>
      <c r="O17" s="10">
        <f>SUM(OSRRefE20x_7)</f>
        <v>479</v>
      </c>
      <c r="Q17" s="10">
        <f>SUM(OSRRefG20x)</f>
        <v>6650.01</v>
      </c>
    </row>
    <row r="18" spans="1:17" s="34" customFormat="1" collapsed="1" x14ac:dyDescent="0.25">
      <c r="A18" s="35"/>
      <c r="B18" s="15" t="str">
        <f>CONCATENATE("     ","Depreciation                                      ")</f>
        <v xml:space="preserve">     Depreciation                                      </v>
      </c>
      <c r="C18" s="15"/>
      <c r="D18" s="1">
        <f>SUM(OSRRefD21_0x_0)</f>
        <v>479.29</v>
      </c>
      <c r="E18" s="1">
        <f>SUM(OSRRefD21_0x_1)</f>
        <v>479.29</v>
      </c>
      <c r="F18" s="1">
        <f>SUM(OSRRefD21_0x_2)</f>
        <v>479.29</v>
      </c>
      <c r="G18" s="1">
        <f>SUM(OSRRefD21_0x_3)</f>
        <v>479.29</v>
      </c>
      <c r="H18" s="1">
        <f>SUM(OSRRefE21_0x_0)</f>
        <v>479</v>
      </c>
      <c r="I18" s="1">
        <f>SUM(OSRRefE21_0x_1)</f>
        <v>479</v>
      </c>
      <c r="J18" s="1">
        <f>SUM(OSRRefE21_0x_2)</f>
        <v>479</v>
      </c>
      <c r="K18" s="1">
        <f>SUM(OSRRefE21_0x_3)</f>
        <v>479</v>
      </c>
      <c r="L18" s="1">
        <f>SUM(OSRRefE21_0x_4)</f>
        <v>479</v>
      </c>
      <c r="M18" s="1">
        <f>SUM(OSRRefE21_0x_5)</f>
        <v>479</v>
      </c>
      <c r="N18" s="1">
        <f>SUM(OSRRefE21_0x_6)</f>
        <v>479</v>
      </c>
      <c r="O18" s="1">
        <f>SUM(OSRRefE21_0x_7)</f>
        <v>479</v>
      </c>
      <c r="Q18" s="2">
        <f>SUM(OSRRefD20_0x)+IFERROR(SUM(OSRRefE20_0x),0)</f>
        <v>5749.16</v>
      </c>
    </row>
    <row r="19" spans="1:17" s="34" customFormat="1" hidden="1" outlineLevel="1" x14ac:dyDescent="0.25">
      <c r="A19" s="35"/>
      <c r="B19" s="13" t="str">
        <f>CONCATENATE("          ","6322", " - ","EQUIPMENT DEPRECIATION EXPENSE")</f>
        <v xml:space="preserve">          6322 - EQUIPMENT DEPRECIATION EXPENSE</v>
      </c>
      <c r="C19" s="15"/>
      <c r="D19" s="2">
        <v>479.29</v>
      </c>
      <c r="E19" s="2">
        <v>479.29</v>
      </c>
      <c r="F19" s="2">
        <v>479.29</v>
      </c>
      <c r="G19" s="2">
        <v>479.29</v>
      </c>
      <c r="H19" s="2">
        <v>479</v>
      </c>
      <c r="I19" s="2">
        <v>479</v>
      </c>
      <c r="J19" s="2">
        <v>479</v>
      </c>
      <c r="K19" s="2">
        <v>479</v>
      </c>
      <c r="L19" s="2">
        <v>479</v>
      </c>
      <c r="M19" s="2">
        <v>479</v>
      </c>
      <c r="N19" s="2">
        <v>479</v>
      </c>
      <c r="O19" s="2">
        <v>479</v>
      </c>
      <c r="P19" s="9"/>
      <c r="Q19" s="2">
        <f>SUM(OSRRefD21_0_0x)+IFERROR(SUM(OSRRefE21_0_0x),0)</f>
        <v>5749.16</v>
      </c>
    </row>
    <row r="20" spans="1:17" s="34" customFormat="1" collapsed="1" x14ac:dyDescent="0.25">
      <c r="A20" s="35"/>
      <c r="B20" s="15" t="str">
        <f>CONCATENATE("     ","General                                           ")</f>
        <v xml:space="preserve">     General                                           </v>
      </c>
      <c r="C20" s="15"/>
      <c r="D20" s="1">
        <f>SUM(OSRRefD21_1x_0)</f>
        <v>519.54999999999995</v>
      </c>
      <c r="E20" s="1">
        <f>SUM(OSRRefD21_1x_1)</f>
        <v>0</v>
      </c>
      <c r="F20" s="1">
        <f>SUM(OSRRefD21_1x_2)</f>
        <v>0</v>
      </c>
      <c r="G20" s="1">
        <f>SUM(OSRRefD21_1x_3)</f>
        <v>0</v>
      </c>
      <c r="H20" s="1">
        <f>SUM(OSRRefE21_1x_0)</f>
        <v>0</v>
      </c>
      <c r="I20" s="1">
        <f>SUM(OSRRefE21_1x_1)</f>
        <v>0</v>
      </c>
      <c r="J20" s="1">
        <f>SUM(OSRRefE21_1x_2)</f>
        <v>0</v>
      </c>
      <c r="K20" s="1">
        <f>SUM(OSRRefE21_1x_3)</f>
        <v>0</v>
      </c>
      <c r="L20" s="1">
        <f>SUM(OSRRefE21_1x_4)</f>
        <v>0</v>
      </c>
      <c r="M20" s="1">
        <f>SUM(OSRRefE21_1x_5)</f>
        <v>0</v>
      </c>
      <c r="N20" s="1">
        <f>SUM(OSRRefE21_1x_6)</f>
        <v>0</v>
      </c>
      <c r="O20" s="1">
        <f>SUM(OSRRefE21_1x_7)</f>
        <v>0</v>
      </c>
      <c r="Q20" s="2">
        <f>SUM(OSRRefD20_1x)+IFERROR(SUM(OSRRefE20_1x),0)</f>
        <v>519.54999999999995</v>
      </c>
    </row>
    <row r="21" spans="1:17" s="34" customFormat="1" hidden="1" outlineLevel="1" x14ac:dyDescent="0.25">
      <c r="A21" s="35"/>
      <c r="B21" s="13" t="str">
        <f>CONCATENATE("          ","6279", " - ","GENERAL EXPENSE")</f>
        <v xml:space="preserve">          6279 - GENERAL EXPENSE</v>
      </c>
      <c r="C21" s="15"/>
      <c r="D21" s="2">
        <v>519.54999999999995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9"/>
      <c r="Q21" s="2">
        <f>SUM(OSRRefD21_1_0x)+IFERROR(SUM(OSRRefE21_1_0x),0)</f>
        <v>519.54999999999995</v>
      </c>
    </row>
    <row r="22" spans="1:17" s="34" customFormat="1" collapsed="1" x14ac:dyDescent="0.25">
      <c r="A22" s="35"/>
      <c r="B22" s="15" t="str">
        <f>CONCATENATE("     ","Repair and Maintenance                            ")</f>
        <v xml:space="preserve">     Repair and Maintenance                            </v>
      </c>
      <c r="C22" s="15"/>
      <c r="D22" s="1">
        <f>SUM(OSRRefD21_2x_0)</f>
        <v>0</v>
      </c>
      <c r="E22" s="1">
        <f>SUM(OSRRefD21_2x_1)</f>
        <v>78.599999999999994</v>
      </c>
      <c r="F22" s="1">
        <f>SUM(OSRRefD21_2x_2)</f>
        <v>75.73</v>
      </c>
      <c r="G22" s="1">
        <f>SUM(OSRRefD21_2x_3)</f>
        <v>0</v>
      </c>
      <c r="H22" s="1">
        <f>SUM(OSRRefE21_2x_0)</f>
        <v>0</v>
      </c>
      <c r="I22" s="1">
        <f>SUM(OSRRefE21_2x_1)</f>
        <v>0</v>
      </c>
      <c r="J22" s="1">
        <f>SUM(OSRRefE21_2x_2)</f>
        <v>0</v>
      </c>
      <c r="K22" s="1">
        <f>SUM(OSRRefE21_2x_3)</f>
        <v>0</v>
      </c>
      <c r="L22" s="1">
        <f>SUM(OSRRefE21_2x_4)</f>
        <v>0</v>
      </c>
      <c r="M22" s="1">
        <f>SUM(OSRRefE21_2x_5)</f>
        <v>0</v>
      </c>
      <c r="N22" s="1">
        <f>SUM(OSRRefE21_2x_6)</f>
        <v>0</v>
      </c>
      <c r="O22" s="1">
        <f>SUM(OSRRefE21_2x_7)</f>
        <v>0</v>
      </c>
      <c r="Q22" s="2">
        <f>SUM(OSRRefD20_2x)+IFERROR(SUM(OSRRefE20_2x),0)</f>
        <v>154.32999999999998</v>
      </c>
    </row>
    <row r="23" spans="1:17" s="34" customFormat="1" hidden="1" outlineLevel="1" x14ac:dyDescent="0.25">
      <c r="A23" s="35"/>
      <c r="B23" s="13" t="str">
        <f>CONCATENATE("          ","6373", " - ","MAINTENANCE CONTRACTS")</f>
        <v xml:space="preserve">          6373 - MAINTENANCE CONTRACTS</v>
      </c>
      <c r="C23" s="15"/>
      <c r="D23" s="2"/>
      <c r="E23" s="2">
        <v>78.599999999999994</v>
      </c>
      <c r="F23" s="2">
        <v>75.73</v>
      </c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154.32999999999998</v>
      </c>
    </row>
    <row r="24" spans="1:17" s="34" customFormat="1" collapsed="1" x14ac:dyDescent="0.25">
      <c r="A24" s="35"/>
      <c r="B24" s="15" t="str">
        <f>CONCATENATE("     ","Telephone/Data Lines                              ")</f>
        <v xml:space="preserve">     Telephone/Data Lines                              </v>
      </c>
      <c r="C24" s="15"/>
      <c r="D24" s="1">
        <f>SUM(OSRRefD21_3x_0)</f>
        <v>214.01</v>
      </c>
      <c r="E24" s="1">
        <f>SUM(OSRRefD21_3x_1)</f>
        <v>214</v>
      </c>
      <c r="F24" s="1">
        <f>SUM(OSRRefD21_3x_2)</f>
        <v>0</v>
      </c>
      <c r="G24" s="1">
        <f>SUM(OSRRefD21_3x_3)</f>
        <v>-201.04</v>
      </c>
      <c r="H24" s="1">
        <f>SUM(OSRRefE21_3x_0)</f>
        <v>0</v>
      </c>
      <c r="I24" s="1">
        <f>SUM(OSRRefE21_3x_1)</f>
        <v>0</v>
      </c>
      <c r="J24" s="1">
        <f>SUM(OSRRefE21_3x_2)</f>
        <v>0</v>
      </c>
      <c r="K24" s="1">
        <f>SUM(OSRRefE21_3x_3)</f>
        <v>0</v>
      </c>
      <c r="L24" s="1">
        <f>SUM(OSRRefE21_3x_4)</f>
        <v>0</v>
      </c>
      <c r="M24" s="1">
        <f>SUM(OSRRefE21_3x_5)</f>
        <v>0</v>
      </c>
      <c r="N24" s="1">
        <f>SUM(OSRRefE21_3x_6)</f>
        <v>0</v>
      </c>
      <c r="O24" s="1">
        <f>SUM(OSRRefE21_3x_7)</f>
        <v>0</v>
      </c>
      <c r="Q24" s="2">
        <f>SUM(OSRRefD20_3x)+IFERROR(SUM(OSRRefE20_3x),0)</f>
        <v>226.97</v>
      </c>
    </row>
    <row r="25" spans="1:17" s="34" customFormat="1" hidden="1" outlineLevel="1" x14ac:dyDescent="0.25">
      <c r="A25" s="35"/>
      <c r="B25" s="13" t="str">
        <f>CONCATENATE("          ","6309", " - ","TELEPHONE")</f>
        <v xml:space="preserve">          6309 - TELEPHONE</v>
      </c>
      <c r="C25" s="15"/>
      <c r="D25" s="2">
        <v>214.01</v>
      </c>
      <c r="E25" s="2">
        <v>214</v>
      </c>
      <c r="F25" s="2"/>
      <c r="G25" s="2">
        <v>-201.04</v>
      </c>
      <c r="H25" s="2"/>
      <c r="I25" s="2"/>
      <c r="J25" s="2"/>
      <c r="K25" s="2"/>
      <c r="L25" s="2"/>
      <c r="M25" s="2"/>
      <c r="N25" s="2"/>
      <c r="O25" s="2"/>
      <c r="P25" s="9"/>
      <c r="Q25" s="2">
        <f>SUM(OSRRefD21_3_0x)+IFERROR(SUM(OSRRefE21_3_0x),0)</f>
        <v>226.97</v>
      </c>
    </row>
    <row r="26" spans="1:17" s="28" customFormat="1" x14ac:dyDescent="0.25">
      <c r="A26" s="20"/>
      <c r="B26" s="20"/>
      <c r="C26" s="20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</row>
    <row r="27" spans="1:17" s="9" customFormat="1" x14ac:dyDescent="0.25">
      <c r="A27" s="22"/>
      <c r="B27" s="16" t="s">
        <v>0</v>
      </c>
      <c r="C27" s="23"/>
      <c r="D27" s="3">
        <f t="shared" ref="D27:G27" si="4">0</f>
        <v>0</v>
      </c>
      <c r="E27" s="3">
        <f t="shared" si="4"/>
        <v>0</v>
      </c>
      <c r="F27" s="3">
        <f t="shared" si="4"/>
        <v>0</v>
      </c>
      <c r="G27" s="3">
        <f t="shared" si="4"/>
        <v>0</v>
      </c>
      <c r="H27" s="3"/>
      <c r="I27" s="3"/>
      <c r="J27" s="3"/>
      <c r="K27" s="3"/>
      <c r="L27" s="3"/>
      <c r="M27" s="3"/>
      <c r="N27" s="3"/>
      <c r="O27" s="3"/>
      <c r="Q27" s="2">
        <f>SUM(OSRRefD23_0x)+IFERROR(SUM(OSRRefE23_0x),0)</f>
        <v>0</v>
      </c>
    </row>
    <row r="28" spans="1:17" x14ac:dyDescent="0.25">
      <c r="A28" s="5"/>
      <c r="B28" s="8"/>
      <c r="C28" s="8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4" customFormat="1" x14ac:dyDescent="0.25">
      <c r="A29" s="8"/>
      <c r="B29" s="17" t="s">
        <v>3</v>
      </c>
      <c r="C29" s="17"/>
      <c r="D29" s="6">
        <f t="shared" ref="D29:O29" si="5">IFERROR(+D14-D17+D27, 0)</f>
        <v>-1212.8499999999999</v>
      </c>
      <c r="E29" s="6">
        <f t="shared" si="5"/>
        <v>-771.89</v>
      </c>
      <c r="F29" s="6">
        <f t="shared" si="5"/>
        <v>-555.02</v>
      </c>
      <c r="G29" s="6">
        <f t="shared" si="5"/>
        <v>-278.25</v>
      </c>
      <c r="H29" s="6">
        <f t="shared" si="5"/>
        <v>-479</v>
      </c>
      <c r="I29" s="6">
        <f t="shared" si="5"/>
        <v>-479</v>
      </c>
      <c r="J29" s="6">
        <f t="shared" si="5"/>
        <v>-479</v>
      </c>
      <c r="K29" s="6">
        <f t="shared" si="5"/>
        <v>-479</v>
      </c>
      <c r="L29" s="6">
        <f t="shared" si="5"/>
        <v>-479</v>
      </c>
      <c r="M29" s="6">
        <f t="shared" si="5"/>
        <v>-479</v>
      </c>
      <c r="N29" s="6">
        <f t="shared" si="5"/>
        <v>-479</v>
      </c>
      <c r="O29" s="6">
        <f t="shared" si="5"/>
        <v>-479</v>
      </c>
      <c r="Q29" s="6">
        <f>IFERROR(+Q14-Q17+Q27, 0)</f>
        <v>-6650.01</v>
      </c>
    </row>
    <row r="30" spans="1:17" s="8" customFormat="1" x14ac:dyDescent="0.25">
      <c r="B30" s="16"/>
      <c r="C30" s="16"/>
      <c r="D30" s="4">
        <f t="shared" ref="D30:O30" si="6">IFERROR(D29/D10, 0)</f>
        <v>0</v>
      </c>
      <c r="E30" s="4">
        <f t="shared" si="6"/>
        <v>0</v>
      </c>
      <c r="F30" s="4">
        <f t="shared" si="6"/>
        <v>0</v>
      </c>
      <c r="G30" s="4">
        <f t="shared" si="6"/>
        <v>0</v>
      </c>
      <c r="H30" s="4">
        <f t="shared" si="6"/>
        <v>0</v>
      </c>
      <c r="I30" s="4">
        <f t="shared" si="6"/>
        <v>0</v>
      </c>
      <c r="J30" s="4">
        <f t="shared" si="6"/>
        <v>0</v>
      </c>
      <c r="K30" s="4">
        <f t="shared" si="6"/>
        <v>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18"/>
      <c r="Q30" s="4">
        <f>IFERROR(Q29/Q10, 0)</f>
        <v>0</v>
      </c>
    </row>
    <row r="31" spans="1:17" x14ac:dyDescent="0.25">
      <c r="A31" s="5"/>
      <c r="B31" s="8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4" customFormat="1" x14ac:dyDescent="0.25">
      <c r="A32" s="25"/>
      <c r="B32" s="8" t="s">
        <v>8</v>
      </c>
      <c r="C32" s="8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2">
        <f>SUM(OSRRefD28_0x)+IFERROR(SUM(OSRRefE28_0x),0)</f>
        <v>0</v>
      </c>
    </row>
    <row r="33" spans="1:17" x14ac:dyDescent="0.25">
      <c r="A33" s="5"/>
      <c r="B33" s="8"/>
      <c r="C33" s="8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4" customFormat="1" ht="15.75" thickBot="1" x14ac:dyDescent="0.3">
      <c r="A34" s="8"/>
      <c r="B34" s="17" t="s">
        <v>4</v>
      </c>
      <c r="C34" s="17"/>
      <c r="D34" s="7">
        <f t="shared" ref="D34:O34" si="7">IFERROR(+D29-D32, 0)</f>
        <v>-1212.8499999999999</v>
      </c>
      <c r="E34" s="7">
        <f t="shared" si="7"/>
        <v>-771.89</v>
      </c>
      <c r="F34" s="7">
        <f t="shared" si="7"/>
        <v>-555.02</v>
      </c>
      <c r="G34" s="7">
        <f t="shared" si="7"/>
        <v>-278.25</v>
      </c>
      <c r="H34" s="7">
        <f t="shared" si="7"/>
        <v>-479</v>
      </c>
      <c r="I34" s="7">
        <f t="shared" si="7"/>
        <v>-479</v>
      </c>
      <c r="J34" s="7">
        <f t="shared" si="7"/>
        <v>-479</v>
      </c>
      <c r="K34" s="7">
        <f t="shared" si="7"/>
        <v>-479</v>
      </c>
      <c r="L34" s="7">
        <f t="shared" si="7"/>
        <v>-479</v>
      </c>
      <c r="M34" s="7">
        <f t="shared" si="7"/>
        <v>-479</v>
      </c>
      <c r="N34" s="7">
        <f t="shared" si="7"/>
        <v>-479</v>
      </c>
      <c r="O34" s="7">
        <f t="shared" si="7"/>
        <v>-479</v>
      </c>
      <c r="Q34" s="7">
        <f>IFERROR(+Q29-Q32, 0)</f>
        <v>-6650.01</v>
      </c>
    </row>
    <row r="35" spans="1:17" ht="15.75" thickTop="1" x14ac:dyDescent="0.25">
      <c r="A35" s="5"/>
      <c r="B35" s="5"/>
      <c r="C35" s="5"/>
      <c r="D35" s="4">
        <f t="shared" ref="D35:O35" si="8">IFERROR(D34/D10, 0)</f>
        <v>0</v>
      </c>
      <c r="E35" s="4">
        <f t="shared" si="8"/>
        <v>0</v>
      </c>
      <c r="F35" s="4">
        <f t="shared" si="8"/>
        <v>0</v>
      </c>
      <c r="G35" s="4">
        <f t="shared" si="8"/>
        <v>0</v>
      </c>
      <c r="H35" s="4">
        <f t="shared" si="8"/>
        <v>0</v>
      </c>
      <c r="I35" s="4">
        <f t="shared" si="8"/>
        <v>0</v>
      </c>
      <c r="J35" s="4">
        <f t="shared" si="8"/>
        <v>0</v>
      </c>
      <c r="K35" s="4">
        <f t="shared" si="8"/>
        <v>0</v>
      </c>
      <c r="L35" s="4">
        <f t="shared" si="8"/>
        <v>0</v>
      </c>
      <c r="M35" s="4">
        <f t="shared" si="8"/>
        <v>0</v>
      </c>
      <c r="N35" s="4">
        <f t="shared" si="8"/>
        <v>0</v>
      </c>
      <c r="O35" s="4">
        <f t="shared" si="8"/>
        <v>0</v>
      </c>
      <c r="P35" s="18"/>
      <c r="Q35" s="4">
        <f>IFERROR(Q34/Q10, 0)</f>
        <v>0</v>
      </c>
    </row>
    <row r="36" spans="1:17" x14ac:dyDescent="0.25">
      <c r="A36" s="5"/>
      <c r="B36" s="5"/>
      <c r="C36" s="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Q36" s="3"/>
    </row>
    <row r="37" spans="1:17" x14ac:dyDescent="0.25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4" customFormat="1" ht="15.75" thickBot="1" x14ac:dyDescent="0.3">
      <c r="A38" s="8"/>
      <c r="B38" s="17" t="s">
        <v>5</v>
      </c>
      <c r="C38" s="17"/>
      <c r="D38" s="7">
        <f t="shared" ref="D38:O38" si="9">IFERROR(SUM(D34:D37), 0)</f>
        <v>-1212.8499999999999</v>
      </c>
      <c r="E38" s="7">
        <f t="shared" si="9"/>
        <v>-771.89</v>
      </c>
      <c r="F38" s="7">
        <f t="shared" si="9"/>
        <v>-555.02</v>
      </c>
      <c r="G38" s="7">
        <f t="shared" si="9"/>
        <v>-278.25</v>
      </c>
      <c r="H38" s="7">
        <f t="shared" si="9"/>
        <v>-479</v>
      </c>
      <c r="I38" s="7">
        <f t="shared" si="9"/>
        <v>-479</v>
      </c>
      <c r="J38" s="7">
        <f t="shared" si="9"/>
        <v>-479</v>
      </c>
      <c r="K38" s="7">
        <f t="shared" si="9"/>
        <v>-479</v>
      </c>
      <c r="L38" s="7">
        <f t="shared" si="9"/>
        <v>-479</v>
      </c>
      <c r="M38" s="7">
        <f t="shared" si="9"/>
        <v>-479</v>
      </c>
      <c r="N38" s="7">
        <f t="shared" si="9"/>
        <v>-479</v>
      </c>
      <c r="O38" s="7">
        <f t="shared" si="9"/>
        <v>-479</v>
      </c>
      <c r="Q38" s="7">
        <f>IFERROR(SUM(Q34:Q37), 0)</f>
        <v>-6650.01</v>
      </c>
    </row>
    <row r="39" spans="1:17" ht="15.75" thickTop="1" x14ac:dyDescent="0.25">
      <c r="A39" s="5"/>
      <c r="C39" s="5"/>
      <c r="D39" s="4">
        <f t="shared" ref="D39:O39" si="10">IFERROR(D38/D10, 0)</f>
        <v>0</v>
      </c>
      <c r="E39" s="4">
        <f t="shared" si="10"/>
        <v>0</v>
      </c>
      <c r="F39" s="4">
        <f t="shared" si="10"/>
        <v>0</v>
      </c>
      <c r="G39" s="4">
        <f t="shared" si="10"/>
        <v>0</v>
      </c>
      <c r="H39" s="4">
        <f t="shared" si="10"/>
        <v>0</v>
      </c>
      <c r="I39" s="4">
        <f t="shared" si="10"/>
        <v>0</v>
      </c>
      <c r="J39" s="4">
        <f t="shared" si="10"/>
        <v>0</v>
      </c>
      <c r="K39" s="4">
        <f t="shared" si="10"/>
        <v>0</v>
      </c>
      <c r="L39" s="4">
        <f t="shared" si="10"/>
        <v>0</v>
      </c>
      <c r="M39" s="4">
        <f t="shared" si="10"/>
        <v>0</v>
      </c>
      <c r="N39" s="4">
        <f t="shared" si="10"/>
        <v>0</v>
      </c>
      <c r="O39" s="4">
        <f t="shared" si="10"/>
        <v>0</v>
      </c>
      <c r="P39" s="18"/>
      <c r="Q39" s="4">
        <f>IFERROR(Q38/Q10, 0)</f>
        <v>0</v>
      </c>
    </row>
    <row r="40" spans="1:17" x14ac:dyDescent="0.25">
      <c r="A40" s="5"/>
      <c r="B40" s="26">
        <v>44151.565054942126</v>
      </c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Q40" s="12"/>
    </row>
    <row r="41" spans="1:17" x14ac:dyDescent="0.25">
      <c r="A41" s="5"/>
      <c r="B41" s="30" t="s">
        <v>311</v>
      </c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Q41" s="12"/>
    </row>
    <row r="42" spans="1:17" x14ac:dyDescent="0.25">
      <c r="A42" s="5"/>
      <c r="B42" s="31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Q42" s="12"/>
    </row>
    <row r="43" spans="1:17" x14ac:dyDescent="0.25"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Q43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4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","425", " - ", "Events Center")</f>
        <v>Department 425 - Events Center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0">
        <f>SUM(OSRRefD20x_0)</f>
        <v>3855.2699999999995</v>
      </c>
      <c r="E17" s="10">
        <f>SUM(OSRRefD20x_1)</f>
        <v>1292.71</v>
      </c>
      <c r="F17" s="10">
        <f>SUM(OSRRefD20x_2)</f>
        <v>1000.91</v>
      </c>
      <c r="G17" s="10">
        <f>SUM(OSRRefD20x_3)</f>
        <v>1021.4499999999999</v>
      </c>
      <c r="H17" s="10">
        <f>SUM(OSRRefE20x_0)</f>
        <v>1001</v>
      </c>
      <c r="I17" s="10">
        <f>SUM(OSRRefE20x_1)</f>
        <v>1001</v>
      </c>
      <c r="J17" s="10">
        <f>SUM(OSRRefE20x_2)</f>
        <v>1001</v>
      </c>
      <c r="K17" s="10">
        <f>SUM(OSRRefE20x_3)</f>
        <v>1001</v>
      </c>
      <c r="L17" s="10">
        <f>SUM(OSRRefE20x_4)</f>
        <v>1001</v>
      </c>
      <c r="M17" s="10">
        <f>SUM(OSRRefE20x_5)</f>
        <v>1001</v>
      </c>
      <c r="N17" s="10">
        <f>SUM(OSRRefE20x_6)</f>
        <v>1001</v>
      </c>
      <c r="O17" s="10">
        <f>SUM(OSRRefE20x_7)</f>
        <v>1001</v>
      </c>
      <c r="Q17" s="10">
        <f>SUM(OSRRefG20x)</f>
        <v>15178.34</v>
      </c>
    </row>
    <row r="18" spans="1:17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1419.75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SUM(OSRRefE21_0x_0)</f>
        <v>0</v>
      </c>
      <c r="I18" s="1">
        <f>SUM(OSRRefE21_0x_1)</f>
        <v>0</v>
      </c>
      <c r="J18" s="1">
        <f>SUM(OSRRefE21_0x_2)</f>
        <v>0</v>
      </c>
      <c r="K18" s="1">
        <f>SUM(OSRRefE21_0x_3)</f>
        <v>0</v>
      </c>
      <c r="L18" s="1">
        <f>SUM(OSRRefE21_0x_4)</f>
        <v>0</v>
      </c>
      <c r="M18" s="1">
        <f>SUM(OSRRefE21_0x_5)</f>
        <v>0</v>
      </c>
      <c r="N18" s="1">
        <f>SUM(OSRRefE21_0x_6)</f>
        <v>0</v>
      </c>
      <c r="O18" s="1">
        <f>SUM(OSRRefE21_0x_7)</f>
        <v>0</v>
      </c>
      <c r="Q18" s="2">
        <f>SUM(OSRRefD20_0x)+IFERROR(SUM(OSRRefE20_0x),0)</f>
        <v>1419.75</v>
      </c>
    </row>
    <row r="19" spans="1:17" s="34" customFormat="1" hidden="1" outlineLevel="1" x14ac:dyDescent="0.25">
      <c r="A19" s="35"/>
      <c r="B19" s="13" t="str">
        <f>CONCATENATE("          ","6111", " - ","F.I.C.A.")</f>
        <v xml:space="preserve">          6111 - F.I.C.A.</v>
      </c>
      <c r="C19" s="15"/>
      <c r="D19" s="2">
        <v>170.79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170.79</v>
      </c>
    </row>
    <row r="20" spans="1:17" s="34" customFormat="1" hidden="1" outlineLevel="1" x14ac:dyDescent="0.25">
      <c r="A20" s="35"/>
      <c r="B20" s="13" t="str">
        <f>CONCATENATE("          ","6113", " - ","GROUP INSURANCE")</f>
        <v xml:space="preserve">          6113 - GROUP INSURANCE</v>
      </c>
      <c r="C20" s="15"/>
      <c r="D20" s="2">
        <v>699.3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9"/>
      <c r="Q20" s="2">
        <f>SUM(OSRRefD21_0_1x)+IFERROR(SUM(OSRRefE21_0_1x),0)</f>
        <v>699.3</v>
      </c>
    </row>
    <row r="21" spans="1:17" s="34" customFormat="1" hidden="1" outlineLevel="1" x14ac:dyDescent="0.25">
      <c r="A21" s="35"/>
      <c r="B21" s="13" t="str">
        <f>CONCATENATE("          ","6115", " - ","P.E.R.S.")</f>
        <v xml:space="preserve">          6115 - P.E.R.S.</v>
      </c>
      <c r="C21" s="15"/>
      <c r="D21" s="2">
        <v>355.22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9"/>
      <c r="Q21" s="2">
        <f>SUM(OSRRefD21_0_2x)+IFERROR(SUM(OSRRefE21_0_2x),0)</f>
        <v>355.22</v>
      </c>
    </row>
    <row r="22" spans="1:17" s="34" customFormat="1" hidden="1" outlineLevel="1" x14ac:dyDescent="0.25">
      <c r="A22" s="35"/>
      <c r="B22" s="13" t="str">
        <f>CONCATENATE("          ","6118", " - ","VACATION")</f>
        <v xml:space="preserve">          6118 - VACATION</v>
      </c>
      <c r="C22" s="15"/>
      <c r="D22" s="2">
        <v>88.46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9"/>
      <c r="Q22" s="2">
        <f>SUM(OSRRefD21_0_3x)+IFERROR(SUM(OSRRefE21_0_3x),0)</f>
        <v>88.46</v>
      </c>
    </row>
    <row r="23" spans="1:17" s="34" customFormat="1" hidden="1" outlineLevel="1" x14ac:dyDescent="0.25">
      <c r="A23" s="35"/>
      <c r="B23" s="13" t="str">
        <f>CONCATENATE("          ","6119", " - ","SICK LEAVE")</f>
        <v xml:space="preserve">          6119 - SICK LEAVE</v>
      </c>
      <c r="C23" s="15"/>
      <c r="D23" s="2">
        <v>105.98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SUM(OSRRefD21_0_4x)+IFERROR(SUM(OSRRefE21_0_4x),0)</f>
        <v>105.98</v>
      </c>
    </row>
    <row r="24" spans="1:17" s="34" customFormat="1" collapsed="1" x14ac:dyDescent="0.25">
      <c r="A24" s="35"/>
      <c r="B24" s="15" t="str">
        <f>CONCATENATE("     ","*Payroll                                          ")</f>
        <v xml:space="preserve">     *Payroll                                          </v>
      </c>
      <c r="C24" s="15"/>
      <c r="D24" s="1">
        <f>SUM(OSRRefD21_1x_0)</f>
        <v>1378.61</v>
      </c>
      <c r="E24" s="1">
        <f>SUM(OSRRefD21_1x_1)</f>
        <v>0</v>
      </c>
      <c r="F24" s="1">
        <f>SUM(OSRRefD21_1x_2)</f>
        <v>0</v>
      </c>
      <c r="G24" s="1">
        <f>SUM(OSRRefD21_1x_3)</f>
        <v>0</v>
      </c>
      <c r="H24" s="1">
        <f>SUM(OSRRefE21_1x_0)</f>
        <v>0</v>
      </c>
      <c r="I24" s="1">
        <f>SUM(OSRRefE21_1x_1)</f>
        <v>0</v>
      </c>
      <c r="J24" s="1">
        <f>SUM(OSRRefE21_1x_2)</f>
        <v>0</v>
      </c>
      <c r="K24" s="1">
        <f>SUM(OSRRefE21_1x_3)</f>
        <v>0</v>
      </c>
      <c r="L24" s="1">
        <f>SUM(OSRRefE21_1x_4)</f>
        <v>0</v>
      </c>
      <c r="M24" s="1">
        <f>SUM(OSRRefE21_1x_5)</f>
        <v>0</v>
      </c>
      <c r="N24" s="1">
        <f>SUM(OSRRefE21_1x_6)</f>
        <v>0</v>
      </c>
      <c r="O24" s="1">
        <f>SUM(OSRRefE21_1x_7)</f>
        <v>0</v>
      </c>
      <c r="Q24" s="2">
        <f>SUM(OSRRefD20_1x)+IFERROR(SUM(OSRRefE20_1x),0)</f>
        <v>1378.61</v>
      </c>
    </row>
    <row r="25" spans="1:17" s="34" customFormat="1" hidden="1" outlineLevel="1" x14ac:dyDescent="0.25">
      <c r="A25" s="35"/>
      <c r="B25" s="13" t="str">
        <f>CONCATENATE("          ","6002", " - ","STAFF SALARIES")</f>
        <v xml:space="preserve">          6002 - STAFF SALARIES</v>
      </c>
      <c r="C25" s="15"/>
      <c r="D25" s="2">
        <v>1378.61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9"/>
      <c r="Q25" s="2">
        <f>SUM(OSRRefD21_1_0x)+IFERROR(SUM(OSRRefE21_1_0x),0)</f>
        <v>1378.61</v>
      </c>
    </row>
    <row r="26" spans="1:17" s="34" customFormat="1" collapsed="1" x14ac:dyDescent="0.25">
      <c r="A26" s="35"/>
      <c r="B26" s="15" t="str">
        <f>CONCATENATE("     ","Depreciation                                      ")</f>
        <v xml:space="preserve">     Depreciation                                      </v>
      </c>
      <c r="C26" s="15"/>
      <c r="D26" s="1">
        <f>SUM(OSRRefD21_2x_0)</f>
        <v>1000.91</v>
      </c>
      <c r="E26" s="1">
        <f>SUM(OSRRefD21_2x_1)</f>
        <v>1000.91</v>
      </c>
      <c r="F26" s="1">
        <f>SUM(OSRRefD21_2x_2)</f>
        <v>1000.91</v>
      </c>
      <c r="G26" s="1">
        <f>SUM(OSRRefD21_2x_3)</f>
        <v>1000.91</v>
      </c>
      <c r="H26" s="1">
        <f>SUM(OSRRefE21_2x_0)</f>
        <v>1001</v>
      </c>
      <c r="I26" s="1">
        <f>SUM(OSRRefE21_2x_1)</f>
        <v>1001</v>
      </c>
      <c r="J26" s="1">
        <f>SUM(OSRRefE21_2x_2)</f>
        <v>1001</v>
      </c>
      <c r="K26" s="1">
        <f>SUM(OSRRefE21_2x_3)</f>
        <v>1001</v>
      </c>
      <c r="L26" s="1">
        <f>SUM(OSRRefE21_2x_4)</f>
        <v>1001</v>
      </c>
      <c r="M26" s="1">
        <f>SUM(OSRRefE21_2x_5)</f>
        <v>1001</v>
      </c>
      <c r="N26" s="1">
        <f>SUM(OSRRefE21_2x_6)</f>
        <v>1001</v>
      </c>
      <c r="O26" s="1">
        <f>SUM(OSRRefE21_2x_7)</f>
        <v>1001</v>
      </c>
      <c r="Q26" s="2">
        <f>SUM(OSRRefD20_2x)+IFERROR(SUM(OSRRefE20_2x),0)</f>
        <v>12011.64</v>
      </c>
    </row>
    <row r="27" spans="1:17" s="34" customFormat="1" hidden="1" outlineLevel="1" x14ac:dyDescent="0.25">
      <c r="A27" s="35"/>
      <c r="B27" s="13" t="str">
        <f>CONCATENATE("          ","6322", " - ","EQUIPMENT DEPRECIATION EXPENSE")</f>
        <v xml:space="preserve">          6322 - EQUIPMENT DEPRECIATION EXPENSE</v>
      </c>
      <c r="C27" s="15"/>
      <c r="D27" s="2">
        <v>1000.91</v>
      </c>
      <c r="E27" s="2">
        <v>1000.91</v>
      </c>
      <c r="F27" s="2">
        <v>1000.91</v>
      </c>
      <c r="G27" s="2">
        <v>1000.91</v>
      </c>
      <c r="H27" s="2">
        <v>1001</v>
      </c>
      <c r="I27" s="2">
        <v>1001</v>
      </c>
      <c r="J27" s="2">
        <v>1001</v>
      </c>
      <c r="K27" s="2">
        <v>1001</v>
      </c>
      <c r="L27" s="2">
        <v>1001</v>
      </c>
      <c r="M27" s="2">
        <v>1001</v>
      </c>
      <c r="N27" s="2">
        <v>1001</v>
      </c>
      <c r="O27" s="2">
        <v>1001</v>
      </c>
      <c r="P27" s="9"/>
      <c r="Q27" s="2">
        <f>SUM(OSRRefD21_2_0x)+IFERROR(SUM(OSRRefE21_2_0x),0)</f>
        <v>12011.64</v>
      </c>
    </row>
    <row r="28" spans="1:17" s="34" customFormat="1" collapsed="1" x14ac:dyDescent="0.25">
      <c r="A28" s="35"/>
      <c r="B28" s="15" t="str">
        <f>CONCATENATE("     ","Repair and Maintenance                            ")</f>
        <v xml:space="preserve">     Repair and Maintenance                            </v>
      </c>
      <c r="C28" s="15"/>
      <c r="D28" s="1">
        <f>SUM(OSRRefD21_3x_0)</f>
        <v>0</v>
      </c>
      <c r="E28" s="1">
        <f>SUM(OSRRefD21_3x_1)</f>
        <v>235.8</v>
      </c>
      <c r="F28" s="1">
        <f>SUM(OSRRefD21_3x_2)</f>
        <v>0</v>
      </c>
      <c r="G28" s="1">
        <f>SUM(OSRRefD21_3x_3)</f>
        <v>0</v>
      </c>
      <c r="H28" s="1">
        <f>SUM(OSRRefE21_3x_0)</f>
        <v>0</v>
      </c>
      <c r="I28" s="1">
        <f>SUM(OSRRefE21_3x_1)</f>
        <v>0</v>
      </c>
      <c r="J28" s="1">
        <f>SUM(OSRRefE21_3x_2)</f>
        <v>0</v>
      </c>
      <c r="K28" s="1">
        <f>SUM(OSRRefE21_3x_3)</f>
        <v>0</v>
      </c>
      <c r="L28" s="1">
        <f>SUM(OSRRefE21_3x_4)</f>
        <v>0</v>
      </c>
      <c r="M28" s="1">
        <f>SUM(OSRRefE21_3x_5)</f>
        <v>0</v>
      </c>
      <c r="N28" s="1">
        <f>SUM(OSRRefE21_3x_6)</f>
        <v>0</v>
      </c>
      <c r="O28" s="1">
        <f>SUM(OSRRefE21_3x_7)</f>
        <v>0</v>
      </c>
      <c r="Q28" s="2">
        <f>SUM(OSRRefD20_3x)+IFERROR(SUM(OSRRefE20_3x),0)</f>
        <v>235.8</v>
      </c>
    </row>
    <row r="29" spans="1:17" s="34" customFormat="1" hidden="1" outlineLevel="1" x14ac:dyDescent="0.25">
      <c r="A29" s="35"/>
      <c r="B29" s="13" t="str">
        <f>CONCATENATE("          ","6373", " - ","MAINTENANCE CONTRACTS")</f>
        <v xml:space="preserve">          6373 - MAINTENANCE CONTRACTS</v>
      </c>
      <c r="C29" s="15"/>
      <c r="D29" s="2"/>
      <c r="E29" s="2">
        <v>235.8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9"/>
      <c r="Q29" s="2">
        <f>SUM(OSRRefD21_3_0x)+IFERROR(SUM(OSRRefE21_3_0x),0)</f>
        <v>235.8</v>
      </c>
    </row>
    <row r="30" spans="1:17" s="34" customFormat="1" collapsed="1" x14ac:dyDescent="0.25">
      <c r="A30" s="35"/>
      <c r="B30" s="15" t="str">
        <f>CONCATENATE("     ","Telephone/Data Lines                              ")</f>
        <v xml:space="preserve">     Telephone/Data Lines                              </v>
      </c>
      <c r="C30" s="15"/>
      <c r="D30" s="1">
        <f>SUM(OSRRefD21_4x_0)</f>
        <v>56</v>
      </c>
      <c r="E30" s="1">
        <f>SUM(OSRRefD21_4x_1)</f>
        <v>56</v>
      </c>
      <c r="F30" s="1">
        <f>SUM(OSRRefD21_4x_2)</f>
        <v>0</v>
      </c>
      <c r="G30" s="1">
        <f>SUM(OSRRefD21_4x_3)</f>
        <v>20.54</v>
      </c>
      <c r="H30" s="1">
        <f>SUM(OSRRefE21_4x_0)</f>
        <v>0</v>
      </c>
      <c r="I30" s="1">
        <f>SUM(OSRRefE21_4x_1)</f>
        <v>0</v>
      </c>
      <c r="J30" s="1">
        <f>SUM(OSRRefE21_4x_2)</f>
        <v>0</v>
      </c>
      <c r="K30" s="1">
        <f>SUM(OSRRefE21_4x_3)</f>
        <v>0</v>
      </c>
      <c r="L30" s="1">
        <f>SUM(OSRRefE21_4x_4)</f>
        <v>0</v>
      </c>
      <c r="M30" s="1">
        <f>SUM(OSRRefE21_4x_5)</f>
        <v>0</v>
      </c>
      <c r="N30" s="1">
        <f>SUM(OSRRefE21_4x_6)</f>
        <v>0</v>
      </c>
      <c r="O30" s="1">
        <f>SUM(OSRRefE21_4x_7)</f>
        <v>0</v>
      </c>
      <c r="Q30" s="2">
        <f>SUM(OSRRefD20_4x)+IFERROR(SUM(OSRRefE20_4x),0)</f>
        <v>132.54</v>
      </c>
    </row>
    <row r="31" spans="1:17" s="34" customFormat="1" hidden="1" outlineLevel="1" x14ac:dyDescent="0.25">
      <c r="A31" s="35"/>
      <c r="B31" s="13" t="str">
        <f>CONCATENATE("          ","6309", " - ","TELEPHONE")</f>
        <v xml:space="preserve">          6309 - TELEPHONE</v>
      </c>
      <c r="C31" s="15"/>
      <c r="D31" s="2">
        <v>56</v>
      </c>
      <c r="E31" s="2">
        <v>56</v>
      </c>
      <c r="F31" s="2"/>
      <c r="G31" s="2">
        <v>20.54</v>
      </c>
      <c r="H31" s="2"/>
      <c r="I31" s="2"/>
      <c r="J31" s="2"/>
      <c r="K31" s="2"/>
      <c r="L31" s="2"/>
      <c r="M31" s="2"/>
      <c r="N31" s="2"/>
      <c r="O31" s="2"/>
      <c r="P31" s="9"/>
      <c r="Q31" s="2">
        <f>SUM(OSRRefD21_4_0x)+IFERROR(SUM(OSRRefE21_4_0x),0)</f>
        <v>132.54</v>
      </c>
    </row>
    <row r="32" spans="1:17" s="28" customFormat="1" x14ac:dyDescent="0.25">
      <c r="A32" s="20"/>
      <c r="B32" s="20"/>
      <c r="C32" s="20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Q32" s="1"/>
    </row>
    <row r="33" spans="1:17" s="9" customFormat="1" x14ac:dyDescent="0.25">
      <c r="A33" s="22"/>
      <c r="B33" s="16" t="s">
        <v>0</v>
      </c>
      <c r="C33" s="23"/>
      <c r="D33" s="3">
        <f t="shared" ref="D33:G33" si="4">0</f>
        <v>0</v>
      </c>
      <c r="E33" s="3">
        <f t="shared" si="4"/>
        <v>0</v>
      </c>
      <c r="F33" s="3">
        <f t="shared" si="4"/>
        <v>0</v>
      </c>
      <c r="G33" s="3">
        <f t="shared" si="4"/>
        <v>0</v>
      </c>
      <c r="H33" s="3"/>
      <c r="I33" s="3"/>
      <c r="J33" s="3"/>
      <c r="K33" s="3"/>
      <c r="L33" s="3"/>
      <c r="M33" s="3"/>
      <c r="N33" s="3"/>
      <c r="O33" s="3"/>
      <c r="Q33" s="2">
        <f>SUM(OSRRefD23_0x)+IFERROR(SUM(OSRRefE23_0x),0)</f>
        <v>0</v>
      </c>
    </row>
    <row r="34" spans="1:17" x14ac:dyDescent="0.25">
      <c r="A34" s="5"/>
      <c r="B34" s="8"/>
      <c r="C34" s="8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s="14" customFormat="1" x14ac:dyDescent="0.25">
      <c r="A35" s="8"/>
      <c r="B35" s="17" t="s">
        <v>3</v>
      </c>
      <c r="C35" s="17"/>
      <c r="D35" s="6">
        <f t="shared" ref="D35:O35" si="5">IFERROR(+D14-D17+D33, 0)</f>
        <v>-3855.2699999999995</v>
      </c>
      <c r="E35" s="6">
        <f t="shared" si="5"/>
        <v>-1292.71</v>
      </c>
      <c r="F35" s="6">
        <f t="shared" si="5"/>
        <v>-1000.91</v>
      </c>
      <c r="G35" s="6">
        <f t="shared" si="5"/>
        <v>-1021.4499999999999</v>
      </c>
      <c r="H35" s="6">
        <f t="shared" si="5"/>
        <v>-1001</v>
      </c>
      <c r="I35" s="6">
        <f t="shared" si="5"/>
        <v>-1001</v>
      </c>
      <c r="J35" s="6">
        <f t="shared" si="5"/>
        <v>-1001</v>
      </c>
      <c r="K35" s="6">
        <f t="shared" si="5"/>
        <v>-1001</v>
      </c>
      <c r="L35" s="6">
        <f t="shared" si="5"/>
        <v>-1001</v>
      </c>
      <c r="M35" s="6">
        <f t="shared" si="5"/>
        <v>-1001</v>
      </c>
      <c r="N35" s="6">
        <f t="shared" si="5"/>
        <v>-1001</v>
      </c>
      <c r="O35" s="6">
        <f t="shared" si="5"/>
        <v>-1001</v>
      </c>
      <c r="Q35" s="6">
        <f>IFERROR(+Q14-Q17+Q33, 0)</f>
        <v>-15178.34</v>
      </c>
    </row>
    <row r="36" spans="1:17" s="8" customFormat="1" x14ac:dyDescent="0.25">
      <c r="B36" s="16"/>
      <c r="C36" s="16"/>
      <c r="D36" s="4">
        <f t="shared" ref="D36:O36" si="6">IFERROR(D35/D10, 0)</f>
        <v>0</v>
      </c>
      <c r="E36" s="4">
        <f t="shared" si="6"/>
        <v>0</v>
      </c>
      <c r="F36" s="4">
        <f t="shared" si="6"/>
        <v>0</v>
      </c>
      <c r="G36" s="4">
        <f t="shared" si="6"/>
        <v>0</v>
      </c>
      <c r="H36" s="4">
        <f t="shared" si="6"/>
        <v>0</v>
      </c>
      <c r="I36" s="4">
        <f t="shared" si="6"/>
        <v>0</v>
      </c>
      <c r="J36" s="4">
        <f t="shared" si="6"/>
        <v>0</v>
      </c>
      <c r="K36" s="4">
        <f t="shared" si="6"/>
        <v>0</v>
      </c>
      <c r="L36" s="4">
        <f t="shared" si="6"/>
        <v>0</v>
      </c>
      <c r="M36" s="4">
        <f t="shared" si="6"/>
        <v>0</v>
      </c>
      <c r="N36" s="4">
        <f t="shared" si="6"/>
        <v>0</v>
      </c>
      <c r="O36" s="4">
        <f t="shared" si="6"/>
        <v>0</v>
      </c>
      <c r="P36" s="18"/>
      <c r="Q36" s="4">
        <f>IFERROR(Q35/Q10, 0)</f>
        <v>0</v>
      </c>
    </row>
    <row r="37" spans="1:17" x14ac:dyDescent="0.25">
      <c r="A37" s="5"/>
      <c r="B37" s="8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4" customFormat="1" x14ac:dyDescent="0.25">
      <c r="A38" s="25"/>
      <c r="B38" s="8" t="s">
        <v>8</v>
      </c>
      <c r="C38" s="8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2">
        <f>SUM(OSRRefD28_0x)+IFERROR(SUM(OSRRefE28_0x),0)</f>
        <v>0</v>
      </c>
    </row>
    <row r="39" spans="1:17" x14ac:dyDescent="0.25">
      <c r="A39" s="5"/>
      <c r="B39" s="8"/>
      <c r="C39" s="8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Q39" s="3"/>
    </row>
    <row r="40" spans="1:17" s="14" customFormat="1" ht="15.75" thickBot="1" x14ac:dyDescent="0.3">
      <c r="A40" s="8"/>
      <c r="B40" s="17" t="s">
        <v>4</v>
      </c>
      <c r="C40" s="17"/>
      <c r="D40" s="7">
        <f t="shared" ref="D40:O40" si="7">IFERROR(+D35-D38, 0)</f>
        <v>-3855.2699999999995</v>
      </c>
      <c r="E40" s="7">
        <f t="shared" si="7"/>
        <v>-1292.71</v>
      </c>
      <c r="F40" s="7">
        <f t="shared" si="7"/>
        <v>-1000.91</v>
      </c>
      <c r="G40" s="7">
        <f t="shared" si="7"/>
        <v>-1021.4499999999999</v>
      </c>
      <c r="H40" s="7">
        <f t="shared" si="7"/>
        <v>-1001</v>
      </c>
      <c r="I40" s="7">
        <f t="shared" si="7"/>
        <v>-1001</v>
      </c>
      <c r="J40" s="7">
        <f t="shared" si="7"/>
        <v>-1001</v>
      </c>
      <c r="K40" s="7">
        <f t="shared" si="7"/>
        <v>-1001</v>
      </c>
      <c r="L40" s="7">
        <f t="shared" si="7"/>
        <v>-1001</v>
      </c>
      <c r="M40" s="7">
        <f t="shared" si="7"/>
        <v>-1001</v>
      </c>
      <c r="N40" s="7">
        <f t="shared" si="7"/>
        <v>-1001</v>
      </c>
      <c r="O40" s="7">
        <f t="shared" si="7"/>
        <v>-1001</v>
      </c>
      <c r="Q40" s="7">
        <f>IFERROR(+Q35-Q38, 0)</f>
        <v>-15178.34</v>
      </c>
    </row>
    <row r="41" spans="1:17" ht="15.75" thickTop="1" x14ac:dyDescent="0.25">
      <c r="A41" s="5"/>
      <c r="B41" s="5"/>
      <c r="C41" s="5"/>
      <c r="D41" s="4">
        <f t="shared" ref="D41:O41" si="8">IFERROR(D40/D10, 0)</f>
        <v>0</v>
      </c>
      <c r="E41" s="4">
        <f t="shared" si="8"/>
        <v>0</v>
      </c>
      <c r="F41" s="4">
        <f t="shared" si="8"/>
        <v>0</v>
      </c>
      <c r="G41" s="4">
        <f t="shared" si="8"/>
        <v>0</v>
      </c>
      <c r="H41" s="4">
        <f t="shared" si="8"/>
        <v>0</v>
      </c>
      <c r="I41" s="4">
        <f t="shared" si="8"/>
        <v>0</v>
      </c>
      <c r="J41" s="4">
        <f t="shared" si="8"/>
        <v>0</v>
      </c>
      <c r="K41" s="4">
        <f t="shared" si="8"/>
        <v>0</v>
      </c>
      <c r="L41" s="4">
        <f t="shared" si="8"/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18"/>
      <c r="Q41" s="4">
        <f>IFERROR(Q40/Q10, 0)</f>
        <v>0</v>
      </c>
    </row>
    <row r="42" spans="1:17" x14ac:dyDescent="0.25">
      <c r="A42" s="5"/>
      <c r="B42" s="5"/>
      <c r="C42" s="5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Q42" s="3"/>
    </row>
    <row r="43" spans="1:17" x14ac:dyDescent="0.25">
      <c r="A43" s="5"/>
      <c r="B43" s="5"/>
      <c r="C43" s="5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Q43" s="3"/>
    </row>
    <row r="44" spans="1:17" s="14" customFormat="1" ht="15.75" thickBot="1" x14ac:dyDescent="0.3">
      <c r="A44" s="8"/>
      <c r="B44" s="17" t="s">
        <v>5</v>
      </c>
      <c r="C44" s="17"/>
      <c r="D44" s="7">
        <f t="shared" ref="D44:O44" si="9">IFERROR(SUM(D40:D43), 0)</f>
        <v>-3855.2699999999995</v>
      </c>
      <c r="E44" s="7">
        <f t="shared" si="9"/>
        <v>-1292.71</v>
      </c>
      <c r="F44" s="7">
        <f t="shared" si="9"/>
        <v>-1000.91</v>
      </c>
      <c r="G44" s="7">
        <f t="shared" si="9"/>
        <v>-1021.4499999999999</v>
      </c>
      <c r="H44" s="7">
        <f t="shared" si="9"/>
        <v>-1001</v>
      </c>
      <c r="I44" s="7">
        <f t="shared" si="9"/>
        <v>-1001</v>
      </c>
      <c r="J44" s="7">
        <f t="shared" si="9"/>
        <v>-1001</v>
      </c>
      <c r="K44" s="7">
        <f t="shared" si="9"/>
        <v>-1001</v>
      </c>
      <c r="L44" s="7">
        <f t="shared" si="9"/>
        <v>-1001</v>
      </c>
      <c r="M44" s="7">
        <f t="shared" si="9"/>
        <v>-1001</v>
      </c>
      <c r="N44" s="7">
        <f t="shared" si="9"/>
        <v>-1001</v>
      </c>
      <c r="O44" s="7">
        <f t="shared" si="9"/>
        <v>-1001</v>
      </c>
      <c r="Q44" s="7">
        <f>IFERROR(SUM(Q40:Q43), 0)</f>
        <v>-15178.34</v>
      </c>
    </row>
    <row r="45" spans="1:17" ht="15.75" thickTop="1" x14ac:dyDescent="0.25">
      <c r="A45" s="5"/>
      <c r="C45" s="5"/>
      <c r="D45" s="4">
        <f t="shared" ref="D45:O45" si="10">IFERROR(D44/D10, 0)</f>
        <v>0</v>
      </c>
      <c r="E45" s="4">
        <f t="shared" si="10"/>
        <v>0</v>
      </c>
      <c r="F45" s="4">
        <f t="shared" si="10"/>
        <v>0</v>
      </c>
      <c r="G45" s="4">
        <f t="shared" si="10"/>
        <v>0</v>
      </c>
      <c r="H45" s="4">
        <f t="shared" si="10"/>
        <v>0</v>
      </c>
      <c r="I45" s="4">
        <f t="shared" si="10"/>
        <v>0</v>
      </c>
      <c r="J45" s="4">
        <f t="shared" si="10"/>
        <v>0</v>
      </c>
      <c r="K45" s="4">
        <f t="shared" si="10"/>
        <v>0</v>
      </c>
      <c r="L45" s="4">
        <f t="shared" si="10"/>
        <v>0</v>
      </c>
      <c r="M45" s="4">
        <f t="shared" si="10"/>
        <v>0</v>
      </c>
      <c r="N45" s="4">
        <f t="shared" si="10"/>
        <v>0</v>
      </c>
      <c r="O45" s="4">
        <f t="shared" si="10"/>
        <v>0</v>
      </c>
      <c r="P45" s="18"/>
      <c r="Q45" s="4">
        <f>IFERROR(Q44/Q10, 0)</f>
        <v>0</v>
      </c>
    </row>
    <row r="46" spans="1:17" x14ac:dyDescent="0.25">
      <c r="A46" s="5"/>
      <c r="B46" s="26">
        <v>44151.565062152775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Q46" s="12"/>
    </row>
    <row r="47" spans="1:17" x14ac:dyDescent="0.25">
      <c r="A47" s="5"/>
      <c r="B47" s="30" t="s">
        <v>311</v>
      </c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Q47" s="12"/>
    </row>
    <row r="48" spans="1:17" x14ac:dyDescent="0.25">
      <c r="A48" s="5"/>
      <c r="B48" s="31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Q48" s="12"/>
    </row>
    <row r="49" spans="4:17" x14ac:dyDescent="0.25"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Q49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3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","455", " - ", "Vending")</f>
        <v>Department 455 - Vending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0">
        <f t="shared" ref="D17:O17" si="4">SUM(0)</f>
        <v>0</v>
      </c>
      <c r="E17" s="10">
        <f t="shared" si="4"/>
        <v>0</v>
      </c>
      <c r="F17" s="10">
        <f t="shared" si="4"/>
        <v>0</v>
      </c>
      <c r="G17" s="10">
        <f t="shared" si="4"/>
        <v>0</v>
      </c>
      <c r="H17" s="10">
        <f t="shared" si="4"/>
        <v>0</v>
      </c>
      <c r="I17" s="10">
        <f t="shared" si="4"/>
        <v>0</v>
      </c>
      <c r="J17" s="10">
        <f t="shared" si="4"/>
        <v>0</v>
      </c>
      <c r="K17" s="10">
        <f t="shared" si="4"/>
        <v>0</v>
      </c>
      <c r="L17" s="10">
        <f t="shared" si="4"/>
        <v>0</v>
      </c>
      <c r="M17" s="10">
        <f t="shared" si="4"/>
        <v>0</v>
      </c>
      <c r="N17" s="10">
        <f t="shared" si="4"/>
        <v>0</v>
      </c>
      <c r="O17" s="10">
        <f t="shared" si="4"/>
        <v>0</v>
      </c>
      <c r="Q17" s="10">
        <f>SUM(0)</f>
        <v>0</v>
      </c>
    </row>
    <row r="18" spans="1:17" s="28" customFormat="1" x14ac:dyDescent="0.25">
      <c r="A18" s="20"/>
      <c r="B18" s="20"/>
      <c r="C18" s="2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25">
      <c r="A19" s="22"/>
      <c r="B19" s="16" t="s">
        <v>0</v>
      </c>
      <c r="C19" s="23"/>
      <c r="D19" s="3">
        <f>--1564.13</f>
        <v>1564.13</v>
      </c>
      <c r="E19" s="3">
        <f>0</f>
        <v>0</v>
      </c>
      <c r="F19" s="3">
        <f>--624.68</f>
        <v>624.67999999999995</v>
      </c>
      <c r="G19" s="3">
        <f>--338.19</f>
        <v>338.19</v>
      </c>
      <c r="H19" s="3"/>
      <c r="I19" s="3"/>
      <c r="J19" s="3"/>
      <c r="K19" s="3"/>
      <c r="L19" s="3"/>
      <c r="M19" s="3"/>
      <c r="N19" s="3"/>
      <c r="O19" s="3"/>
      <c r="Q19" s="2">
        <f>SUM(OSRRefD23_0x)+IFERROR(SUM(OSRRefE23_0x),0)</f>
        <v>2527</v>
      </c>
    </row>
    <row r="20" spans="1:17" x14ac:dyDescent="0.2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25">
      <c r="A21" s="8"/>
      <c r="B21" s="17" t="s">
        <v>3</v>
      </c>
      <c r="C21" s="17"/>
      <c r="D21" s="6">
        <f t="shared" ref="D21:O21" si="5">IFERROR(+D14-D17+D19, 0)</f>
        <v>1564.13</v>
      </c>
      <c r="E21" s="6">
        <f t="shared" si="5"/>
        <v>0</v>
      </c>
      <c r="F21" s="6">
        <f t="shared" si="5"/>
        <v>624.67999999999995</v>
      </c>
      <c r="G21" s="6">
        <f t="shared" si="5"/>
        <v>338.19</v>
      </c>
      <c r="H21" s="6">
        <f t="shared" si="5"/>
        <v>0</v>
      </c>
      <c r="I21" s="6">
        <f t="shared" si="5"/>
        <v>0</v>
      </c>
      <c r="J21" s="6">
        <f t="shared" si="5"/>
        <v>0</v>
      </c>
      <c r="K21" s="6">
        <f t="shared" si="5"/>
        <v>0</v>
      </c>
      <c r="L21" s="6">
        <f t="shared" si="5"/>
        <v>0</v>
      </c>
      <c r="M21" s="6">
        <f t="shared" si="5"/>
        <v>0</v>
      </c>
      <c r="N21" s="6">
        <f t="shared" si="5"/>
        <v>0</v>
      </c>
      <c r="O21" s="6">
        <f t="shared" si="5"/>
        <v>0</v>
      </c>
      <c r="Q21" s="6">
        <f>IFERROR(+Q14-Q17+Q19, 0)</f>
        <v>2527</v>
      </c>
    </row>
    <row r="22" spans="1:17" s="8" customFormat="1" x14ac:dyDescent="0.25">
      <c r="B22" s="16"/>
      <c r="C22" s="16"/>
      <c r="D22" s="4">
        <f t="shared" ref="D22:O22" si="6">IFERROR(D21/D10, 0)</f>
        <v>0</v>
      </c>
      <c r="E22" s="4">
        <f t="shared" si="6"/>
        <v>0</v>
      </c>
      <c r="F22" s="4">
        <f t="shared" si="6"/>
        <v>0</v>
      </c>
      <c r="G22" s="4">
        <f t="shared" si="6"/>
        <v>0</v>
      </c>
      <c r="H22" s="4">
        <f t="shared" si="6"/>
        <v>0</v>
      </c>
      <c r="I22" s="4">
        <f t="shared" si="6"/>
        <v>0</v>
      </c>
      <c r="J22" s="4">
        <f t="shared" si="6"/>
        <v>0</v>
      </c>
      <c r="K22" s="4">
        <f t="shared" si="6"/>
        <v>0</v>
      </c>
      <c r="L22" s="4">
        <f t="shared" si="6"/>
        <v>0</v>
      </c>
      <c r="M22" s="4">
        <f t="shared" si="6"/>
        <v>0</v>
      </c>
      <c r="N22" s="4">
        <f t="shared" si="6"/>
        <v>0</v>
      </c>
      <c r="O22" s="4">
        <f t="shared" si="6"/>
        <v>0</v>
      </c>
      <c r="P22" s="18"/>
      <c r="Q22" s="4">
        <f>IFERROR(Q21/Q10, 0)</f>
        <v>0</v>
      </c>
    </row>
    <row r="23" spans="1:17" x14ac:dyDescent="0.25">
      <c r="A23" s="5"/>
      <c r="B23" s="8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4" customFormat="1" x14ac:dyDescent="0.25">
      <c r="A24" s="25"/>
      <c r="B24" s="8" t="s">
        <v>8</v>
      </c>
      <c r="C24" s="8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25">
      <c r="A25" s="5"/>
      <c r="B25" s="8"/>
      <c r="C25" s="8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4" customFormat="1" ht="15.75" thickBot="1" x14ac:dyDescent="0.3">
      <c r="A26" s="8"/>
      <c r="B26" s="17" t="s">
        <v>4</v>
      </c>
      <c r="C26" s="17"/>
      <c r="D26" s="7">
        <f t="shared" ref="D26:O26" si="7">IFERROR(+D21-D24, 0)</f>
        <v>1564.13</v>
      </c>
      <c r="E26" s="7">
        <f t="shared" si="7"/>
        <v>0</v>
      </c>
      <c r="F26" s="7">
        <f t="shared" si="7"/>
        <v>624.67999999999995</v>
      </c>
      <c r="G26" s="7">
        <f t="shared" si="7"/>
        <v>338.19</v>
      </c>
      <c r="H26" s="7">
        <f t="shared" si="7"/>
        <v>0</v>
      </c>
      <c r="I26" s="7">
        <f t="shared" si="7"/>
        <v>0</v>
      </c>
      <c r="J26" s="7">
        <f t="shared" si="7"/>
        <v>0</v>
      </c>
      <c r="K26" s="7">
        <f t="shared" si="7"/>
        <v>0</v>
      </c>
      <c r="L26" s="7">
        <f t="shared" si="7"/>
        <v>0</v>
      </c>
      <c r="M26" s="7">
        <f t="shared" si="7"/>
        <v>0</v>
      </c>
      <c r="N26" s="7">
        <f t="shared" si="7"/>
        <v>0</v>
      </c>
      <c r="O26" s="7">
        <f t="shared" si="7"/>
        <v>0</v>
      </c>
      <c r="Q26" s="7">
        <f>IFERROR(+Q21-Q24, 0)</f>
        <v>2527</v>
      </c>
    </row>
    <row r="27" spans="1:17" ht="15.75" thickTop="1" x14ac:dyDescent="0.25">
      <c r="A27" s="5"/>
      <c r="B27" s="5"/>
      <c r="C27" s="5"/>
      <c r="D27" s="4">
        <f t="shared" ref="D27:O27" si="8">IFERROR(D26/D10, 0)</f>
        <v>0</v>
      </c>
      <c r="E27" s="4">
        <f t="shared" si="8"/>
        <v>0</v>
      </c>
      <c r="F27" s="4">
        <f t="shared" si="8"/>
        <v>0</v>
      </c>
      <c r="G27" s="4">
        <f t="shared" si="8"/>
        <v>0</v>
      </c>
      <c r="H27" s="4">
        <f t="shared" si="8"/>
        <v>0</v>
      </c>
      <c r="I27" s="4">
        <f t="shared" si="8"/>
        <v>0</v>
      </c>
      <c r="J27" s="4">
        <f t="shared" si="8"/>
        <v>0</v>
      </c>
      <c r="K27" s="4">
        <f t="shared" si="8"/>
        <v>0</v>
      </c>
      <c r="L27" s="4">
        <f t="shared" si="8"/>
        <v>0</v>
      </c>
      <c r="M27" s="4">
        <f t="shared" si="8"/>
        <v>0</v>
      </c>
      <c r="N27" s="4">
        <f t="shared" si="8"/>
        <v>0</v>
      </c>
      <c r="O27" s="4">
        <f t="shared" si="8"/>
        <v>0</v>
      </c>
      <c r="P27" s="18"/>
      <c r="Q27" s="4">
        <f>IFERROR(Q26/Q10, 0)</f>
        <v>0</v>
      </c>
    </row>
    <row r="28" spans="1:17" x14ac:dyDescent="0.2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x14ac:dyDescent="0.25">
      <c r="A29" s="5"/>
      <c r="B29" s="5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4" customFormat="1" ht="15.75" thickBot="1" x14ac:dyDescent="0.3">
      <c r="A30" s="8"/>
      <c r="B30" s="17" t="s">
        <v>5</v>
      </c>
      <c r="C30" s="17"/>
      <c r="D30" s="7">
        <f t="shared" ref="D30:O30" si="9">IFERROR(SUM(D26:D29), 0)</f>
        <v>1564.13</v>
      </c>
      <c r="E30" s="7">
        <f t="shared" si="9"/>
        <v>0</v>
      </c>
      <c r="F30" s="7">
        <f t="shared" si="9"/>
        <v>624.67999999999995</v>
      </c>
      <c r="G30" s="7">
        <f t="shared" si="9"/>
        <v>338.19</v>
      </c>
      <c r="H30" s="7">
        <f t="shared" si="9"/>
        <v>0</v>
      </c>
      <c r="I30" s="7">
        <f t="shared" si="9"/>
        <v>0</v>
      </c>
      <c r="J30" s="7">
        <f t="shared" si="9"/>
        <v>0</v>
      </c>
      <c r="K30" s="7">
        <f t="shared" si="9"/>
        <v>0</v>
      </c>
      <c r="L30" s="7">
        <f t="shared" si="9"/>
        <v>0</v>
      </c>
      <c r="M30" s="7">
        <f t="shared" si="9"/>
        <v>0</v>
      </c>
      <c r="N30" s="7">
        <f t="shared" si="9"/>
        <v>0</v>
      </c>
      <c r="O30" s="7">
        <f t="shared" si="9"/>
        <v>0</v>
      </c>
      <c r="Q30" s="7">
        <f>IFERROR(SUM(Q26:Q29), 0)</f>
        <v>2527</v>
      </c>
    </row>
    <row r="31" spans="1:17" ht="15.75" thickTop="1" x14ac:dyDescent="0.25">
      <c r="A31" s="5"/>
      <c r="C31" s="5"/>
      <c r="D31" s="4">
        <f t="shared" ref="D31:O31" si="10">IFERROR(D30/D10, 0)</f>
        <v>0</v>
      </c>
      <c r="E31" s="4">
        <f t="shared" si="10"/>
        <v>0</v>
      </c>
      <c r="F31" s="4">
        <f t="shared" si="10"/>
        <v>0</v>
      </c>
      <c r="G31" s="4">
        <f t="shared" si="10"/>
        <v>0</v>
      </c>
      <c r="H31" s="4">
        <f t="shared" si="10"/>
        <v>0</v>
      </c>
      <c r="I31" s="4">
        <f t="shared" si="10"/>
        <v>0</v>
      </c>
      <c r="J31" s="4">
        <f t="shared" si="10"/>
        <v>0</v>
      </c>
      <c r="K31" s="4">
        <f t="shared" si="10"/>
        <v>0</v>
      </c>
      <c r="L31" s="4">
        <f t="shared" si="10"/>
        <v>0</v>
      </c>
      <c r="M31" s="4">
        <f t="shared" si="10"/>
        <v>0</v>
      </c>
      <c r="N31" s="4">
        <f t="shared" si="10"/>
        <v>0</v>
      </c>
      <c r="O31" s="4">
        <f t="shared" si="10"/>
        <v>0</v>
      </c>
      <c r="P31" s="18"/>
      <c r="Q31" s="4">
        <f>IFERROR(Q30/Q10, 0)</f>
        <v>0</v>
      </c>
    </row>
    <row r="32" spans="1:17" x14ac:dyDescent="0.25">
      <c r="A32" s="5"/>
      <c r="B32" s="26">
        <v>44151.565117094906</v>
      </c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Q32" s="12"/>
    </row>
    <row r="33" spans="1:17" x14ac:dyDescent="0.25">
      <c r="A33" s="5"/>
      <c r="B33" s="30" t="s">
        <v>311</v>
      </c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Q33" s="12"/>
    </row>
    <row r="34" spans="1:17" x14ac:dyDescent="0.25">
      <c r="A34" s="5"/>
      <c r="B34" s="31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Q34" s="12"/>
    </row>
    <row r="35" spans="1:17" x14ac:dyDescent="0.25"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Q35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1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">
        <v>306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19327.919999999998</v>
      </c>
      <c r="E10" s="3">
        <f>SUM(OSRRefD11x_1)</f>
        <v>49828.08</v>
      </c>
      <c r="F10" s="3">
        <f>SUM(OSRRefD11x_2)</f>
        <v>222354.97999999998</v>
      </c>
      <c r="G10" s="3">
        <f>SUM(OSRRefD11x_3)</f>
        <v>152150.81999999998</v>
      </c>
      <c r="H10" s="3">
        <f>SUM(OSRRefE11x_0)</f>
        <v>130145</v>
      </c>
      <c r="I10" s="3">
        <f>SUM(OSRRefE11x_1)</f>
        <v>109321</v>
      </c>
      <c r="J10" s="3">
        <f>SUM(OSRRefE11x_2)</f>
        <v>71117</v>
      </c>
      <c r="K10" s="3">
        <f>SUM(OSRRefE11x_3)</f>
        <v>153713</v>
      </c>
      <c r="L10" s="3">
        <f>SUM(OSRRefE11x_4)</f>
        <v>148223</v>
      </c>
      <c r="M10" s="3">
        <f>SUM(OSRRefE11x_5)</f>
        <v>148223</v>
      </c>
      <c r="N10" s="3">
        <f>SUM(OSRRefE11x_6)</f>
        <v>82346</v>
      </c>
      <c r="O10" s="3">
        <f>SUM(OSRRefE11x_7)</f>
        <v>0</v>
      </c>
      <c r="P10" s="24"/>
      <c r="Q10" s="3">
        <f>SUM(OSRRefG11x)</f>
        <v>1286749.8</v>
      </c>
      <c r="R10" s="24"/>
    </row>
    <row r="11" spans="1:18" s="9" customFormat="1" hidden="1" outlineLevel="1" x14ac:dyDescent="0.25">
      <c r="A11" s="22"/>
      <c r="B11" s="13" t="str">
        <f>CONCATENATE("          ","4053", " - ","TAXABLE SALES-FOOD")</f>
        <v xml:space="preserve">          4053 - TAXABLE SALES-FOOD</v>
      </c>
      <c r="C11" s="23"/>
      <c r="D11" s="2">
        <f>--199.89</f>
        <v>199.89</v>
      </c>
      <c r="E11" s="2">
        <f>--140.01</f>
        <v>140.01</v>
      </c>
      <c r="F11" s="2">
        <f>--62.54</f>
        <v>62.54</v>
      </c>
      <c r="G11" s="2">
        <f t="shared" ref="G11:G12" si="0">0</f>
        <v>0</v>
      </c>
      <c r="H11" s="2"/>
      <c r="I11" s="2"/>
      <c r="J11" s="2"/>
      <c r="K11" s="2"/>
      <c r="L11" s="2"/>
      <c r="M11" s="2"/>
      <c r="N11" s="2"/>
      <c r="O11" s="2"/>
      <c r="Q11" s="2">
        <f>SUM(OSRRefD11_0x)+IFERROR(SUM(OSRRefE11_0x),0)</f>
        <v>402.44</v>
      </c>
    </row>
    <row r="12" spans="1:18" s="9" customFormat="1" hidden="1" outlineLevel="1" x14ac:dyDescent="0.2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 t="shared" ref="D12:F12" si="1">0</f>
        <v>0</v>
      </c>
      <c r="E12" s="2">
        <f t="shared" si="1"/>
        <v>0</v>
      </c>
      <c r="F12" s="2">
        <f t="shared" si="1"/>
        <v>0</v>
      </c>
      <c r="G12" s="2">
        <f t="shared" si="0"/>
        <v>0</v>
      </c>
      <c r="H12" s="2">
        <v>130145</v>
      </c>
      <c r="I12" s="2">
        <v>109321</v>
      </c>
      <c r="J12" s="2">
        <v>71117</v>
      </c>
      <c r="K12" s="2">
        <v>153713</v>
      </c>
      <c r="L12" s="2">
        <v>148223</v>
      </c>
      <c r="M12" s="2">
        <v>148223</v>
      </c>
      <c r="N12" s="2">
        <v>82346</v>
      </c>
      <c r="O12" s="2">
        <v>0</v>
      </c>
      <c r="Q12" s="2">
        <f>SUM(OSRRefD11_1x)+IFERROR(SUM(OSRRefE11_1x),0)</f>
        <v>843088</v>
      </c>
    </row>
    <row r="13" spans="1:18" s="9" customFormat="1" hidden="1" outlineLevel="1" x14ac:dyDescent="0.25">
      <c r="A13" s="22"/>
      <c r="B13" s="13" t="str">
        <f>CONCATENATE("          ","4151", " - ","NON-TAXABLE SALES-FOOD")</f>
        <v xml:space="preserve">          4151 - NON-TAXABLE SALES-FOOD</v>
      </c>
      <c r="C13" s="23"/>
      <c r="D13" s="2">
        <f>--1300</f>
        <v>1300</v>
      </c>
      <c r="E13" s="2">
        <f>--40550.68</f>
        <v>40550.68</v>
      </c>
      <c r="F13" s="2">
        <f>--219014.08</f>
        <v>219014.08</v>
      </c>
      <c r="G13" s="2">
        <f>--166628.02</f>
        <v>166628.01999999999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427492.77999999997</v>
      </c>
    </row>
    <row r="14" spans="1:18" s="9" customFormat="1" hidden="1" outlineLevel="1" x14ac:dyDescent="0.25">
      <c r="A14" s="22"/>
      <c r="B14" s="13" t="str">
        <f>CONCATENATE("          ","4153", " - ","NON-TAXABLE SALES-FOOD")</f>
        <v xml:space="preserve">          4153 - NON-TAXABLE SALES-FOOD</v>
      </c>
      <c r="C14" s="23"/>
      <c r="D14" s="2">
        <f>--17828.03</f>
        <v>17828.03</v>
      </c>
      <c r="E14" s="2">
        <f>--9137.39</f>
        <v>9137.39</v>
      </c>
      <c r="F14" s="2">
        <f>--3278.36</f>
        <v>3278.36</v>
      </c>
      <c r="G14" s="2">
        <f>-14477.2</f>
        <v>-14477.2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15766.579999999998</v>
      </c>
    </row>
    <row r="15" spans="1:18" x14ac:dyDescent="0.2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290</v>
      </c>
      <c r="C16" s="23"/>
      <c r="D16" s="3">
        <f>SUM(OSRRefD14x_0)</f>
        <v>11689.62</v>
      </c>
      <c r="E16" s="3">
        <f>SUM(OSRRefD14x_1)</f>
        <v>46072.600000000006</v>
      </c>
      <c r="F16" s="3">
        <f>SUM(OSRRefD14x_2)</f>
        <v>43646.619999999995</v>
      </c>
      <c r="G16" s="3">
        <f>SUM(OSRRefD14x_3)</f>
        <v>73585.929999999993</v>
      </c>
      <c r="H16" s="3">
        <f>SUM(OSRRefE14x_0)</f>
        <v>33838</v>
      </c>
      <c r="I16" s="3">
        <f>SUM(OSRRefE14x_1)</f>
        <v>28423</v>
      </c>
      <c r="J16" s="3">
        <f>SUM(OSRRefE14x_2)</f>
        <v>19202</v>
      </c>
      <c r="K16" s="3">
        <f>SUM(OSRRefE14x_3)</f>
        <v>38428</v>
      </c>
      <c r="L16" s="3">
        <f>SUM(OSRRefE14x_4)</f>
        <v>41502</v>
      </c>
      <c r="M16" s="3">
        <f>SUM(OSRRefE14x_5)</f>
        <v>41502</v>
      </c>
      <c r="N16" s="3">
        <f>SUM(OSRRefE14x_6)</f>
        <v>23057</v>
      </c>
      <c r="O16" s="3">
        <f>SUM(OSRRefE14x_7)</f>
        <v>0</v>
      </c>
      <c r="Q16" s="3">
        <f>SUM(OSRRefG14x)</f>
        <v>400946.76999999996</v>
      </c>
    </row>
    <row r="17" spans="1:17" s="9" customFormat="1" hidden="1" outlineLevel="1" x14ac:dyDescent="0.25">
      <c r="A17" s="22"/>
      <c r="B17" s="13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>
        <v>33838</v>
      </c>
      <c r="I17" s="2">
        <v>28423</v>
      </c>
      <c r="J17" s="2">
        <v>19202</v>
      </c>
      <c r="K17" s="2">
        <v>38428</v>
      </c>
      <c r="L17" s="2">
        <v>41502</v>
      </c>
      <c r="M17" s="2">
        <v>41502</v>
      </c>
      <c r="N17" s="2">
        <v>23057</v>
      </c>
      <c r="O17" s="2">
        <v>0</v>
      </c>
      <c r="Q17" s="2">
        <f>SUM(OSRRefD14_0x)+IFERROR(SUM(OSRRefE14_0x),0)</f>
        <v>225952</v>
      </c>
    </row>
    <row r="18" spans="1:17" s="9" customFormat="1" hidden="1" outlineLevel="1" x14ac:dyDescent="0.25">
      <c r="A18" s="22"/>
      <c r="B18" s="13" t="str">
        <f>CONCATENATE("          ","5053", " - ","PURCHASES @ COST-FOOD")</f>
        <v xml:space="preserve">          5053 - PURCHASES @ COST-FOOD</v>
      </c>
      <c r="C18" s="23"/>
      <c r="D18" s="2">
        <v>8280.6200000000008</v>
      </c>
      <c r="E18" s="2">
        <v>76328.600000000006</v>
      </c>
      <c r="F18" s="2">
        <v>40326.199999999997</v>
      </c>
      <c r="G18" s="2">
        <v>60972.029999999992</v>
      </c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185907.44999999998</v>
      </c>
    </row>
    <row r="19" spans="1:17" s="9" customFormat="1" hidden="1" outlineLevel="1" x14ac:dyDescent="0.25">
      <c r="A19" s="22"/>
      <c r="B19" s="13" t="str">
        <f>CONCATENATE("          ","5059", " - ","PURCHASES @ COST-FOOD")</f>
        <v xml:space="preserve">          5059 - PURCHASES @ COST-FOOD</v>
      </c>
      <c r="C19" s="23"/>
      <c r="D19" s="2">
        <v>3409</v>
      </c>
      <c r="E19" s="2">
        <v>-30256</v>
      </c>
      <c r="F19" s="2">
        <v>3320.42</v>
      </c>
      <c r="G19" s="2">
        <v>12613.9</v>
      </c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-10912.680000000002</v>
      </c>
    </row>
    <row r="20" spans="1:17" x14ac:dyDescent="0.2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25">
      <c r="A21" s="8"/>
      <c r="B21" s="17" t="s">
        <v>6</v>
      </c>
      <c r="C21" s="17"/>
      <c r="D21" s="6">
        <f t="shared" ref="D21:O21" si="2">IFERROR(+D10-D16, 0)</f>
        <v>7638.2999999999975</v>
      </c>
      <c r="E21" s="6">
        <f t="shared" si="2"/>
        <v>3755.4799999999959</v>
      </c>
      <c r="F21" s="6">
        <f t="shared" si="2"/>
        <v>178708.36</v>
      </c>
      <c r="G21" s="6">
        <f t="shared" si="2"/>
        <v>78564.889999999985</v>
      </c>
      <c r="H21" s="6">
        <f t="shared" si="2"/>
        <v>96307</v>
      </c>
      <c r="I21" s="6">
        <f t="shared" si="2"/>
        <v>80898</v>
      </c>
      <c r="J21" s="6">
        <f t="shared" si="2"/>
        <v>51915</v>
      </c>
      <c r="K21" s="6">
        <f t="shared" si="2"/>
        <v>115285</v>
      </c>
      <c r="L21" s="6">
        <f t="shared" si="2"/>
        <v>106721</v>
      </c>
      <c r="M21" s="6">
        <f t="shared" si="2"/>
        <v>106721</v>
      </c>
      <c r="N21" s="6">
        <f t="shared" si="2"/>
        <v>59289</v>
      </c>
      <c r="O21" s="6">
        <f t="shared" si="2"/>
        <v>0</v>
      </c>
      <c r="Q21" s="6">
        <f>IFERROR(+Q10-Q16, 0)</f>
        <v>885803.03</v>
      </c>
    </row>
    <row r="22" spans="1:17" s="8" customFormat="1" x14ac:dyDescent="0.25">
      <c r="B22" s="16"/>
      <c r="C22" s="16"/>
      <c r="D22" s="4">
        <f t="shared" ref="D22:O22" si="3">IFERROR(D21/D10, 0)</f>
        <v>0.39519513739709178</v>
      </c>
      <c r="E22" s="4">
        <f t="shared" si="3"/>
        <v>7.5368747902788871E-2</v>
      </c>
      <c r="F22" s="4">
        <f t="shared" si="3"/>
        <v>0.80370747711609603</v>
      </c>
      <c r="G22" s="4">
        <f t="shared" si="3"/>
        <v>0.51636192299193651</v>
      </c>
      <c r="H22" s="4">
        <f t="shared" si="3"/>
        <v>0.73999769487878908</v>
      </c>
      <c r="I22" s="4">
        <f t="shared" si="3"/>
        <v>0.74000420779173259</v>
      </c>
      <c r="J22" s="4">
        <f t="shared" si="3"/>
        <v>0.72999423485242632</v>
      </c>
      <c r="K22" s="4">
        <f t="shared" si="3"/>
        <v>0.75000162640765577</v>
      </c>
      <c r="L22" s="4">
        <f t="shared" si="3"/>
        <v>0.72000296850016532</v>
      </c>
      <c r="M22" s="4">
        <f t="shared" si="3"/>
        <v>0.72000296850016532</v>
      </c>
      <c r="N22" s="4">
        <f t="shared" si="3"/>
        <v>0.71999854273431618</v>
      </c>
      <c r="O22" s="4">
        <f t="shared" si="3"/>
        <v>0</v>
      </c>
      <c r="P22" s="18"/>
      <c r="Q22" s="4">
        <f>IFERROR(Q21/Q10, 0)</f>
        <v>0.68840347206582042</v>
      </c>
    </row>
    <row r="23" spans="1:17" x14ac:dyDescent="0.2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25">
      <c r="A24" s="8"/>
      <c r="B24" s="16" t="s">
        <v>291</v>
      </c>
      <c r="C24" s="8"/>
      <c r="D24" s="10">
        <f>SUM(OSRRefD20x_0)</f>
        <v>185969.99999999994</v>
      </c>
      <c r="E24" s="10">
        <f>SUM(OSRRefD20x_1)</f>
        <v>198092.34999999998</v>
      </c>
      <c r="F24" s="10">
        <f>SUM(OSRRefD20x_2)</f>
        <v>241864.58</v>
      </c>
      <c r="G24" s="10">
        <f>SUM(OSRRefD20x_3)</f>
        <v>287908.50999999995</v>
      </c>
      <c r="H24" s="10">
        <f>SUM(OSRRefE20x_0)</f>
        <v>289414.34896420315</v>
      </c>
      <c r="I24" s="10">
        <f>SUM(OSRRefE20x_1)</f>
        <v>91366.887740000006</v>
      </c>
      <c r="J24" s="10">
        <f>SUM(OSRRefE20x_2)</f>
        <v>301583.5752677538</v>
      </c>
      <c r="K24" s="10">
        <f>SUM(OSRRefE20x_3)</f>
        <v>317689.4302142032</v>
      </c>
      <c r="L24" s="10">
        <f>SUM(OSRRefE20x_4)</f>
        <v>275204.4302142032</v>
      </c>
      <c r="M24" s="10">
        <f>SUM(OSRRefE20x_5)</f>
        <v>317289.25276775379</v>
      </c>
      <c r="N24" s="10">
        <f>SUM(OSRRefE20x_6)</f>
        <v>249341.86021420319</v>
      </c>
      <c r="O24" s="10">
        <f>SUM(OSRRefE20x_7)</f>
        <v>207151.29021420318</v>
      </c>
      <c r="Q24" s="10">
        <f>SUM(OSRRefG20x)</f>
        <v>2962876.5155965248</v>
      </c>
    </row>
    <row r="25" spans="1:17" s="34" customFormat="1" collapsed="1" x14ac:dyDescent="0.25">
      <c r="A25" s="35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71541.810000000012</v>
      </c>
      <c r="E25" s="1">
        <f>SUM(OSRRefD21_0x_1)</f>
        <v>72340.7</v>
      </c>
      <c r="F25" s="1">
        <f>SUM(OSRRefD21_0x_2)</f>
        <v>76244.08</v>
      </c>
      <c r="G25" s="1">
        <f>SUM(OSRRefD21_0x_3)</f>
        <v>86647.97</v>
      </c>
      <c r="H25" s="1">
        <f>SUM(OSRRefE21_0x_0)</f>
        <v>90010.91404420312</v>
      </c>
      <c r="I25" s="1">
        <f>SUM(OSRRefE21_0x_1)</f>
        <v>10066.087739999999</v>
      </c>
      <c r="J25" s="1">
        <f>SUM(OSRRefE21_0x_2)</f>
        <v>105589.18786775378</v>
      </c>
      <c r="K25" s="1">
        <f>SUM(OSRRefE21_0x_3)</f>
        <v>89655.120294203138</v>
      </c>
      <c r="L25" s="1">
        <f>SUM(OSRRefE21_0x_4)</f>
        <v>89655.120294203138</v>
      </c>
      <c r="M25" s="1">
        <f>SUM(OSRRefE21_0x_5)</f>
        <v>106639.01536775377</v>
      </c>
      <c r="N25" s="1">
        <f>SUM(OSRRefE21_0x_6)</f>
        <v>88255.350294203134</v>
      </c>
      <c r="O25" s="1">
        <f>SUM(OSRRefE21_0x_7)</f>
        <v>86855.58029420313</v>
      </c>
      <c r="Q25" s="2">
        <f>SUM(OSRRefD20_0x)+IFERROR(SUM(OSRRefE20_0x),0)</f>
        <v>973500.93619652337</v>
      </c>
    </row>
    <row r="26" spans="1:17" s="34" customFormat="1" hidden="1" outlineLevel="1" x14ac:dyDescent="0.25">
      <c r="A26" s="35"/>
      <c r="B26" s="13" t="str">
        <f>CONCATENATE("          ","6111", " - ","F.I.C.A.")</f>
        <v xml:space="preserve">          6111 - F.I.C.A.</v>
      </c>
      <c r="C26" s="15"/>
      <c r="D26" s="2">
        <v>6400.51</v>
      </c>
      <c r="E26" s="2">
        <v>6963.14</v>
      </c>
      <c r="F26" s="2">
        <v>8222.0400000000009</v>
      </c>
      <c r="G26" s="2">
        <v>12597.07</v>
      </c>
      <c r="H26" s="2">
        <v>8447.6656677415413</v>
      </c>
      <c r="I26" s="2">
        <v>685.55574000000001</v>
      </c>
      <c r="J26" s="2">
        <v>10559.58208467692</v>
      </c>
      <c r="K26" s="2">
        <v>8447.6656677415413</v>
      </c>
      <c r="L26" s="2">
        <v>8447.6656677415413</v>
      </c>
      <c r="M26" s="2">
        <v>10559.58208467692</v>
      </c>
      <c r="N26" s="2">
        <v>8447.6656677415413</v>
      </c>
      <c r="O26" s="2">
        <v>8447.6656677415413</v>
      </c>
      <c r="P26" s="9"/>
      <c r="Q26" s="2">
        <f>SUM(OSRRefD21_0_0x)+IFERROR(SUM(OSRRefE21_0_0x),0)</f>
        <v>98225.808248061541</v>
      </c>
    </row>
    <row r="27" spans="1:17" s="34" customFormat="1" hidden="1" outlineLevel="1" x14ac:dyDescent="0.25">
      <c r="A27" s="35"/>
      <c r="B27" s="13" t="str">
        <f>CONCATENATE("          ","6112", " - ","COMPENSATION INSURANCE")</f>
        <v xml:space="preserve">          6112 - COMPENSATION INSURANCE</v>
      </c>
      <c r="C27" s="15"/>
      <c r="D27" s="2">
        <v>3571.21</v>
      </c>
      <c r="E27" s="2">
        <v>3863.42</v>
      </c>
      <c r="F27" s="2">
        <v>5274.71</v>
      </c>
      <c r="G27" s="2">
        <v>4831.29</v>
      </c>
      <c r="H27" s="2">
        <v>6528.3596004000001</v>
      </c>
      <c r="I27" s="2">
        <v>1577.3471999999999</v>
      </c>
      <c r="J27" s="2">
        <v>6913.5341880000005</v>
      </c>
      <c r="K27" s="2">
        <v>6326.1933503999999</v>
      </c>
      <c r="L27" s="2">
        <v>6326.1933503999999</v>
      </c>
      <c r="M27" s="2">
        <v>7510.0586880000001</v>
      </c>
      <c r="N27" s="2">
        <v>5530.8273503999999</v>
      </c>
      <c r="O27" s="2">
        <v>4735.4613503999999</v>
      </c>
      <c r="P27" s="9"/>
      <c r="Q27" s="2">
        <f>SUM(OSRRefD21_0_1x)+IFERROR(SUM(OSRRefE21_0_1x),0)</f>
        <v>62988.605078000008</v>
      </c>
    </row>
    <row r="28" spans="1:17" s="34" customFormat="1" hidden="1" outlineLevel="1" x14ac:dyDescent="0.25">
      <c r="A28" s="35"/>
      <c r="B28" s="13" t="str">
        <f>CONCATENATE("          ","6113", " - ","GROUP INSURANCE")</f>
        <v xml:space="preserve">          6113 - GROUP INSURANCE</v>
      </c>
      <c r="C28" s="15"/>
      <c r="D28" s="2">
        <v>41691.089999999997</v>
      </c>
      <c r="E28" s="2">
        <v>44390.990000000005</v>
      </c>
      <c r="F28" s="2">
        <v>44390.990000000005</v>
      </c>
      <c r="G28" s="2">
        <v>45706.28</v>
      </c>
      <c r="H28" s="2">
        <v>55634.230769230802</v>
      </c>
      <c r="I28" s="2">
        <v>1980</v>
      </c>
      <c r="J28" s="2">
        <v>65731.538461538395</v>
      </c>
      <c r="K28" s="2">
        <v>55634.230769230802</v>
      </c>
      <c r="L28" s="2">
        <v>55634.230769230802</v>
      </c>
      <c r="M28" s="2">
        <v>65731.538461538395</v>
      </c>
      <c r="N28" s="2">
        <v>55634.230769230802</v>
      </c>
      <c r="O28" s="2">
        <v>55634.230769230802</v>
      </c>
      <c r="P28" s="9"/>
      <c r="Q28" s="2">
        <f>SUM(OSRRefD21_0_2x)+IFERROR(SUM(OSRRefE21_0_2x),0)</f>
        <v>587793.58076923084</v>
      </c>
    </row>
    <row r="29" spans="1:17" s="34" customFormat="1" hidden="1" outlineLevel="1" x14ac:dyDescent="0.25">
      <c r="A29" s="35"/>
      <c r="B29" s="13" t="str">
        <f>CONCATENATE("          ","6114", " - ","STATE UNEMPLOYMENT INSURANCE")</f>
        <v xml:space="preserve">          6114 - STATE UNEMPLOYMENT INSURANCE</v>
      </c>
      <c r="C29" s="15"/>
      <c r="D29" s="2">
        <v>292.62</v>
      </c>
      <c r="E29" s="2">
        <v>238.78</v>
      </c>
      <c r="F29" s="2">
        <v>319.66000000000003</v>
      </c>
      <c r="G29" s="2">
        <v>292.77999999999997</v>
      </c>
      <c r="H29" s="2">
        <v>395.65815759999998</v>
      </c>
      <c r="I29" s="2">
        <v>95.596800000000002</v>
      </c>
      <c r="J29" s="2">
        <v>419.002072</v>
      </c>
      <c r="K29" s="2">
        <v>383.40565759999998</v>
      </c>
      <c r="L29" s="2">
        <v>383.40565759999998</v>
      </c>
      <c r="M29" s="2">
        <v>455.15507200000002</v>
      </c>
      <c r="N29" s="2">
        <v>335.20165759999998</v>
      </c>
      <c r="O29" s="2">
        <v>286.99765760000003</v>
      </c>
      <c r="P29" s="9"/>
      <c r="Q29" s="2">
        <f>SUM(OSRRefD21_0_3x)+IFERROR(SUM(OSRRefE21_0_3x),0)</f>
        <v>3898.2627320000001</v>
      </c>
    </row>
    <row r="30" spans="1:17" s="34" customFormat="1" hidden="1" outlineLevel="1" x14ac:dyDescent="0.25">
      <c r="A30" s="35"/>
      <c r="B30" s="13" t="str">
        <f>CONCATENATE("          ","6115", " - ","P.E.R.S.")</f>
        <v xml:space="preserve">          6115 - P.E.R.S.</v>
      </c>
      <c r="C30" s="15"/>
      <c r="D30" s="2">
        <v>5377.76</v>
      </c>
      <c r="E30" s="2">
        <v>3585.18</v>
      </c>
      <c r="F30" s="2">
        <v>3585.18</v>
      </c>
      <c r="G30" s="2">
        <v>3352.04</v>
      </c>
      <c r="H30" s="2">
        <v>3776.220307692312</v>
      </c>
      <c r="I30" s="2">
        <v>770.38800000000003</v>
      </c>
      <c r="J30" s="2">
        <v>4720.2753846153873</v>
      </c>
      <c r="K30" s="2">
        <v>3776.220307692312</v>
      </c>
      <c r="L30" s="2">
        <v>3776.220307692312</v>
      </c>
      <c r="M30" s="2">
        <v>4720.2753846153873</v>
      </c>
      <c r="N30" s="2">
        <v>3776.220307692312</v>
      </c>
      <c r="O30" s="2">
        <v>3776.220307692312</v>
      </c>
      <c r="P30" s="9"/>
      <c r="Q30" s="2">
        <f>SUM(OSRRefD21_0_4x)+IFERROR(SUM(OSRRefE21_0_4x),0)</f>
        <v>44992.200307692328</v>
      </c>
    </row>
    <row r="31" spans="1:17" s="34" customFormat="1" hidden="1" outlineLevel="1" x14ac:dyDescent="0.25">
      <c r="A31" s="35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25">
      <c r="A32" s="35"/>
      <c r="B32" s="13" t="str">
        <f>CONCATENATE("          ","6117", " - ","RETIREMENT STAFF HOURLY")</f>
        <v xml:space="preserve">          6117 - RETIREMENT STAFF HOURLY</v>
      </c>
      <c r="C32" s="15"/>
      <c r="D32" s="2">
        <v>1969.14</v>
      </c>
      <c r="E32" s="2">
        <v>1373.88</v>
      </c>
      <c r="F32" s="2">
        <v>1526.6</v>
      </c>
      <c r="G32" s="2">
        <v>1396.69</v>
      </c>
      <c r="H32" s="2"/>
      <c r="I32" s="2"/>
      <c r="J32" s="2"/>
      <c r="K32" s="2"/>
      <c r="L32" s="2"/>
      <c r="M32" s="2"/>
      <c r="N32" s="2"/>
      <c r="O32" s="2"/>
      <c r="P32" s="9"/>
      <c r="Q32" s="2">
        <f>SUM(OSRRefD21_0_6x)+IFERROR(SUM(OSRRefE21_0_6x),0)</f>
        <v>6266.3100000000013</v>
      </c>
    </row>
    <row r="33" spans="1:17" s="34" customFormat="1" hidden="1" outlineLevel="1" x14ac:dyDescent="0.25">
      <c r="A33" s="35"/>
      <c r="B33" s="13" t="str">
        <f>CONCATENATE("          ","6118", " - ","VACATION")</f>
        <v xml:space="preserve">          6118 - VACATION</v>
      </c>
      <c r="C33" s="15"/>
      <c r="D33" s="2">
        <v>5452.12</v>
      </c>
      <c r="E33" s="2">
        <v>5869.15</v>
      </c>
      <c r="F33" s="2">
        <v>6416.14</v>
      </c>
      <c r="G33" s="2">
        <v>9308.25</v>
      </c>
      <c r="H33" s="2">
        <v>6367.6263384615404</v>
      </c>
      <c r="I33" s="2">
        <v>268.74</v>
      </c>
      <c r="J33" s="2">
        <v>7959.5329230769194</v>
      </c>
      <c r="K33" s="2">
        <v>6367.6263384615404</v>
      </c>
      <c r="L33" s="2">
        <v>6367.6263384615404</v>
      </c>
      <c r="M33" s="2">
        <v>7959.5329230769194</v>
      </c>
      <c r="N33" s="2">
        <v>6367.6263384615404</v>
      </c>
      <c r="O33" s="2">
        <v>6367.6263384615404</v>
      </c>
      <c r="P33" s="9"/>
      <c r="Q33" s="2">
        <f>SUM(OSRRefD21_0_7x)+IFERROR(SUM(OSRRefE21_0_7x),0)</f>
        <v>75071.59753846153</v>
      </c>
    </row>
    <row r="34" spans="1:17" s="34" customFormat="1" hidden="1" outlineLevel="1" x14ac:dyDescent="0.25">
      <c r="A34" s="35"/>
      <c r="B34" s="13" t="str">
        <f>CONCATENATE("          ","6119", " - ","SICK LEAVE")</f>
        <v xml:space="preserve">          6119 - SICK LEAVE</v>
      </c>
      <c r="C34" s="15"/>
      <c r="D34" s="2">
        <v>4078.56</v>
      </c>
      <c r="E34" s="2">
        <v>4078.56</v>
      </c>
      <c r="F34" s="2">
        <v>4078.56</v>
      </c>
      <c r="G34" s="2">
        <v>6012.99</v>
      </c>
      <c r="H34" s="2">
        <v>5186.1532030769204</v>
      </c>
      <c r="I34" s="2">
        <v>1013.46</v>
      </c>
      <c r="J34" s="2">
        <v>5610.7227538461502</v>
      </c>
      <c r="K34" s="2">
        <v>5044.7782030769249</v>
      </c>
      <c r="L34" s="2">
        <v>5044.7782030769249</v>
      </c>
      <c r="M34" s="2">
        <v>6027.8727538461499</v>
      </c>
      <c r="N34" s="2">
        <v>4488.5782030769251</v>
      </c>
      <c r="O34" s="2">
        <v>3932.3782030769248</v>
      </c>
      <c r="P34" s="9"/>
      <c r="Q34" s="2">
        <f>SUM(OSRRefD21_0_8x)+IFERROR(SUM(OSRRefE21_0_8x),0)</f>
        <v>54597.39152307692</v>
      </c>
    </row>
    <row r="35" spans="1:17" s="34" customFormat="1" hidden="1" outlineLevel="1" x14ac:dyDescent="0.25">
      <c r="A35" s="35"/>
      <c r="B35" s="13" t="str">
        <f>CONCATENATE("          ","6156", " - ","EMPLOYEE MEALS")</f>
        <v xml:space="preserve">          6156 - EMPLOYEE MEALS</v>
      </c>
      <c r="C35" s="15"/>
      <c r="D35" s="2">
        <v>2708.8</v>
      </c>
      <c r="E35" s="2">
        <v>1977.6</v>
      </c>
      <c r="F35" s="2">
        <v>2430.1999999999998</v>
      </c>
      <c r="G35" s="2">
        <v>3150.58</v>
      </c>
      <c r="H35" s="2">
        <v>3675</v>
      </c>
      <c r="I35" s="2">
        <v>3675</v>
      </c>
      <c r="J35" s="2">
        <v>3675</v>
      </c>
      <c r="K35" s="2">
        <v>3675</v>
      </c>
      <c r="L35" s="2">
        <v>3675</v>
      </c>
      <c r="M35" s="2">
        <v>3675</v>
      </c>
      <c r="N35" s="2">
        <v>3675</v>
      </c>
      <c r="O35" s="2">
        <v>3675</v>
      </c>
      <c r="P35" s="9"/>
      <c r="Q35" s="2">
        <f>SUM(OSRRefD21_0_9x)+IFERROR(SUM(OSRRefE21_0_9x),0)</f>
        <v>39667.18</v>
      </c>
    </row>
    <row r="36" spans="1:17" s="34" customFormat="1" collapsed="1" x14ac:dyDescent="0.25">
      <c r="A36" s="35"/>
      <c r="B36" s="15" t="str">
        <f>CONCATENATE("     ","*Payroll                                          ")</f>
        <v xml:space="preserve">     *Payroll                                          </v>
      </c>
      <c r="C36" s="15"/>
      <c r="D36" s="1">
        <f>SUM(OSRRefD21_1x_0)</f>
        <v>86997.56</v>
      </c>
      <c r="E36" s="1">
        <f>SUM(OSRRefD21_1x_1)</f>
        <v>87695.920000000013</v>
      </c>
      <c r="F36" s="1">
        <f>SUM(OSRRefD21_1x_2)</f>
        <v>119920.17000000001</v>
      </c>
      <c r="G36" s="1">
        <f>SUM(OSRRefD21_1x_3)</f>
        <v>143698.02999999997</v>
      </c>
      <c r="H36" s="1">
        <f>SUM(OSRRefE21_1x_0)</f>
        <v>140622.43492000006</v>
      </c>
      <c r="I36" s="1">
        <f>SUM(OSRRefE21_1x_1)</f>
        <v>35485.800000000003</v>
      </c>
      <c r="J36" s="1">
        <f>SUM(OSRRefE21_1x_2)</f>
        <v>147584.38740000001</v>
      </c>
      <c r="K36" s="1">
        <f>SUM(OSRRefE21_1x_3)</f>
        <v>136051.30992000006</v>
      </c>
      <c r="L36" s="1">
        <f>SUM(OSRRefE21_1x_4)</f>
        <v>136051.30992000006</v>
      </c>
      <c r="M36" s="1">
        <f>SUM(OSRRefE21_1x_5)</f>
        <v>161072.23740000001</v>
      </c>
      <c r="N36" s="1">
        <f>SUM(OSRRefE21_1x_6)</f>
        <v>118067.50992000005</v>
      </c>
      <c r="O36" s="1">
        <f>SUM(OSRRefE21_1x_7)</f>
        <v>100083.70992000005</v>
      </c>
      <c r="Q36" s="2">
        <f>SUM(OSRRefD20_1x)+IFERROR(SUM(OSRRefE20_1x),0)</f>
        <v>1413330.3794000002</v>
      </c>
    </row>
    <row r="37" spans="1:17" s="34" customFormat="1" hidden="1" outlineLevel="1" x14ac:dyDescent="0.25">
      <c r="A37" s="35"/>
      <c r="B37" s="13" t="str">
        <f>CONCATENATE("          ","6001", " - ","ADMINISTRATIVE SALARIES")</f>
        <v xml:space="preserve">          6001 - ADMINISTRATIVE SALARIES</v>
      </c>
      <c r="C37" s="15"/>
      <c r="D37" s="2">
        <v>11199.54</v>
      </c>
      <c r="E37" s="2">
        <v>5375.72</v>
      </c>
      <c r="F37" s="2">
        <v>8959.5400000000009</v>
      </c>
      <c r="G37" s="2">
        <v>11199.31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36734.11</v>
      </c>
    </row>
    <row r="38" spans="1:17" s="34" customFormat="1" hidden="1" outlineLevel="1" x14ac:dyDescent="0.25">
      <c r="A38" s="35"/>
      <c r="B38" s="13" t="str">
        <f>CONCATENATE("          ","6002", " - ","STAFF SALARIES")</f>
        <v xml:space="preserve">          6002 - STAFF SALARIES</v>
      </c>
      <c r="C38" s="15"/>
      <c r="D38" s="2">
        <v>34236.54</v>
      </c>
      <c r="E38" s="2">
        <v>27627.58</v>
      </c>
      <c r="F38" s="2">
        <v>28059.710000000003</v>
      </c>
      <c r="G38" s="2">
        <v>31630.769999999997</v>
      </c>
      <c r="H38" s="2">
        <v>39345.260000000046</v>
      </c>
      <c r="I38" s="2">
        <v>8510.1</v>
      </c>
      <c r="J38" s="2">
        <v>49181.575000000019</v>
      </c>
      <c r="K38" s="2">
        <v>39345.260000000046</v>
      </c>
      <c r="L38" s="2">
        <v>39345.260000000046</v>
      </c>
      <c r="M38" s="2">
        <v>49181.575000000019</v>
      </c>
      <c r="N38" s="2">
        <v>39345.260000000046</v>
      </c>
      <c r="O38" s="2">
        <v>39345.260000000046</v>
      </c>
      <c r="P38" s="9"/>
      <c r="Q38" s="2">
        <f>SUM(OSRRefD21_1_1x)+IFERROR(SUM(OSRRefE21_1_1x),0)</f>
        <v>425154.15000000026</v>
      </c>
    </row>
    <row r="39" spans="1:17" s="34" customFormat="1" hidden="1" outlineLevel="1" x14ac:dyDescent="0.25">
      <c r="A39" s="35"/>
      <c r="B39" s="13" t="str">
        <f>CONCATENATE("          ","6003", " - ","STAFF HOURLY-9 MONTH")</f>
        <v xml:space="preserve">          6003 - STAFF HOURLY-9 MONTH</v>
      </c>
      <c r="C39" s="15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25">
      <c r="A40" s="35"/>
      <c r="B40" s="13" t="str">
        <f>CONCATENATE("          ","6004", " - ","STAFF HOURLY")</f>
        <v xml:space="preserve">          6004 - STAFF HOURLY</v>
      </c>
      <c r="C40" s="15"/>
      <c r="D40" s="2">
        <v>33160.480000000003</v>
      </c>
      <c r="E40" s="2">
        <v>41720.519999999997</v>
      </c>
      <c r="F40" s="2">
        <v>48764.51</v>
      </c>
      <c r="G40" s="2">
        <v>67702.179999999993</v>
      </c>
      <c r="H40" s="2">
        <v>60738.449919999999</v>
      </c>
      <c r="I40" s="2">
        <v>0</v>
      </c>
      <c r="J40" s="2">
        <v>75923.062399999995</v>
      </c>
      <c r="K40" s="2">
        <v>60738.449919999999</v>
      </c>
      <c r="L40" s="2">
        <v>60738.449919999999</v>
      </c>
      <c r="M40" s="2">
        <v>75923.062399999995</v>
      </c>
      <c r="N40" s="2">
        <v>60738.449919999999</v>
      </c>
      <c r="O40" s="2">
        <v>60738.449919999999</v>
      </c>
      <c r="P40" s="9"/>
      <c r="Q40" s="2">
        <f>SUM(OSRRefD21_1_3x)+IFERROR(SUM(OSRRefE21_1_3x),0)</f>
        <v>646886.06439999992</v>
      </c>
    </row>
    <row r="41" spans="1:17" s="34" customFormat="1" hidden="1" outlineLevel="1" x14ac:dyDescent="0.25">
      <c r="A41" s="35"/>
      <c r="B41" s="13" t="str">
        <f>CONCATENATE("          ","6005", " - ","TEMPORARY WAGES-HOURLY")</f>
        <v xml:space="preserve">          6005 - TEMPORARY WAGES-HOURLY</v>
      </c>
      <c r="C41" s="15"/>
      <c r="D41" s="2"/>
      <c r="E41" s="2">
        <v>953.1</v>
      </c>
      <c r="F41" s="2">
        <v>13566.64</v>
      </c>
      <c r="G41" s="2">
        <v>23204.070000000003</v>
      </c>
      <c r="H41" s="2">
        <v>34175.525000000001</v>
      </c>
      <c r="I41" s="2">
        <v>26975.7</v>
      </c>
      <c r="J41" s="2">
        <v>22479.75</v>
      </c>
      <c r="K41" s="2">
        <v>35967.599999999999</v>
      </c>
      <c r="L41" s="2">
        <v>35967.599999999999</v>
      </c>
      <c r="M41" s="2">
        <v>35967.599999999999</v>
      </c>
      <c r="N41" s="2">
        <v>17983.8</v>
      </c>
      <c r="O41" s="2">
        <v>0</v>
      </c>
      <c r="P41" s="9"/>
      <c r="Q41" s="2">
        <f>SUM(OSRRefD21_1_4x)+IFERROR(SUM(OSRRefE21_1_4x),0)</f>
        <v>247241.38500000001</v>
      </c>
    </row>
    <row r="42" spans="1:17" s="34" customFormat="1" hidden="1" outlineLevel="1" x14ac:dyDescent="0.25">
      <c r="A42" s="35"/>
      <c r="B42" s="13" t="str">
        <f>CONCATENATE("          ","6006", " - ","TEMPORARY PART TIME")</f>
        <v xml:space="preserve">          6006 - TEMPORARY PART TIME</v>
      </c>
      <c r="C42" s="15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25">
      <c r="A43" s="35"/>
      <c r="B43" s="13" t="str">
        <f>CONCATENATE("          ","6007", " - ","STUDENT HOURLY")</f>
        <v xml:space="preserve">          6007 - STUDENT HOURLY</v>
      </c>
      <c r="C43" s="15"/>
      <c r="D43" s="2">
        <v>8401</v>
      </c>
      <c r="E43" s="2">
        <v>11402.67</v>
      </c>
      <c r="F43" s="2">
        <v>17483.439999999999</v>
      </c>
      <c r="G43" s="2">
        <v>5969.4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43256.51</v>
      </c>
    </row>
    <row r="44" spans="1:17" s="34" customFormat="1" hidden="1" outlineLevel="1" x14ac:dyDescent="0.25">
      <c r="A44" s="35"/>
      <c r="B44" s="13" t="str">
        <f>CONCATENATE("          ","6008", " - ","STUDENT HOURLY-FICA EXEMPT")</f>
        <v xml:space="preserve">          6008 - STUDENT HOURLY-FICA EXEMPT</v>
      </c>
      <c r="C44" s="15"/>
      <c r="D44" s="2"/>
      <c r="E44" s="2">
        <v>616.33000000000004</v>
      </c>
      <c r="F44" s="2">
        <v>3086.33</v>
      </c>
      <c r="G44" s="2">
        <v>3992.3</v>
      </c>
      <c r="H44" s="2">
        <v>6363.2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SUM(OSRRefD21_1_7x)+IFERROR(SUM(OSRRefE21_1_7x),0)</f>
        <v>14058.16</v>
      </c>
    </row>
    <row r="45" spans="1:17" s="34" customFormat="1" hidden="1" outlineLevel="1" x14ac:dyDescent="0.25">
      <c r="A45" s="35"/>
      <c r="B45" s="13" t="str">
        <f>CONCATENATE("          ","6009", " - ","TEMPORARY-SEASONAL")</f>
        <v xml:space="preserve">          6009 - TEMPORARY-SEASONAL</v>
      </c>
      <c r="C45" s="15"/>
      <c r="D45" s="2"/>
      <c r="E45" s="2"/>
      <c r="F45" s="2"/>
      <c r="G45" s="2"/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25">
      <c r="A46" s="35"/>
      <c r="B46" s="13" t="str">
        <f>CONCATENATE("          ","6010", " - ","GRATUITY")</f>
        <v xml:space="preserve">          6010 - GRATUITY</v>
      </c>
      <c r="C46" s="15"/>
      <c r="D46" s="2"/>
      <c r="E46" s="2"/>
      <c r="F46" s="2"/>
      <c r="G46" s="2"/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25">
      <c r="A47" s="35"/>
      <c r="B47" s="15" t="str">
        <f>CONCATENATE("     ","Advertising/Promo                                 ")</f>
        <v xml:space="preserve">     Advertising/Promo                                 </v>
      </c>
      <c r="C47" s="15"/>
      <c r="D47" s="1">
        <f>SUM(OSRRefD21_2x_0)</f>
        <v>724.49</v>
      </c>
      <c r="E47" s="1">
        <f>SUM(OSRRefD21_2x_1)</f>
        <v>704.51</v>
      </c>
      <c r="F47" s="1">
        <f>SUM(OSRRefD21_2x_2)</f>
        <v>0</v>
      </c>
      <c r="G47" s="1">
        <f>SUM(OSRRefD21_2x_3)</f>
        <v>0</v>
      </c>
      <c r="H47" s="1">
        <f>SUM(OSRRefE21_2x_0)</f>
        <v>369</v>
      </c>
      <c r="I47" s="1">
        <f>SUM(OSRRefE21_2x_1)</f>
        <v>369</v>
      </c>
      <c r="J47" s="1">
        <f>SUM(OSRRefE21_2x_2)</f>
        <v>369</v>
      </c>
      <c r="K47" s="1">
        <f>SUM(OSRRefE21_2x_3)</f>
        <v>369</v>
      </c>
      <c r="L47" s="1">
        <f>SUM(OSRRefE21_2x_4)</f>
        <v>369</v>
      </c>
      <c r="M47" s="1">
        <f>SUM(OSRRefE21_2x_5)</f>
        <v>369</v>
      </c>
      <c r="N47" s="1">
        <f>SUM(OSRRefE21_2x_6)</f>
        <v>369</v>
      </c>
      <c r="O47" s="1">
        <f>SUM(OSRRefE21_2x_7)</f>
        <v>369</v>
      </c>
      <c r="Q47" s="2">
        <f>SUM(OSRRefD20_2x)+IFERROR(SUM(OSRRefE20_2x),0)</f>
        <v>4381</v>
      </c>
    </row>
    <row r="48" spans="1:17" s="34" customFormat="1" hidden="1" outlineLevel="1" x14ac:dyDescent="0.25">
      <c r="A48" s="35"/>
      <c r="B48" s="13" t="str">
        <f>CONCATENATE("          ","6362", " - ","ADVERTISING EXPENSE")</f>
        <v xml:space="preserve">          6362 - ADVERTISING EXPENSE</v>
      </c>
      <c r="C48" s="15"/>
      <c r="D48" s="2">
        <v>724.49</v>
      </c>
      <c r="E48" s="2">
        <v>704.51</v>
      </c>
      <c r="F48" s="2"/>
      <c r="G48" s="2"/>
      <c r="H48" s="2">
        <v>369</v>
      </c>
      <c r="I48" s="2">
        <v>369</v>
      </c>
      <c r="J48" s="2">
        <v>369</v>
      </c>
      <c r="K48" s="2">
        <v>369</v>
      </c>
      <c r="L48" s="2">
        <v>369</v>
      </c>
      <c r="M48" s="2">
        <v>369</v>
      </c>
      <c r="N48" s="2">
        <v>369</v>
      </c>
      <c r="O48" s="2">
        <v>369</v>
      </c>
      <c r="P48" s="9"/>
      <c r="Q48" s="2">
        <f>SUM(OSRRefD21_2_0x)+IFERROR(SUM(OSRRefE21_2_0x),0)</f>
        <v>4381</v>
      </c>
    </row>
    <row r="49" spans="1:17" s="34" customFormat="1" collapsed="1" x14ac:dyDescent="0.25">
      <c r="A49" s="35"/>
      <c r="B49" s="15" t="str">
        <f>CONCATENATE("     ","Bad Debts/Over/Short                              ")</f>
        <v xml:space="preserve">     Bad Debts/Over/Short                              </v>
      </c>
      <c r="C49" s="15"/>
      <c r="D49" s="1">
        <f>SUM(OSRRefD21_3x_0)</f>
        <v>0</v>
      </c>
      <c r="E49" s="1">
        <f>SUM(OSRRefD21_3x_1)</f>
        <v>32</v>
      </c>
      <c r="F49" s="1">
        <f>SUM(OSRRefD21_3x_2)</f>
        <v>29.74</v>
      </c>
      <c r="G49" s="1">
        <f>SUM(OSRRefD21_3x_3)</f>
        <v>8</v>
      </c>
      <c r="H49" s="1">
        <f>SUM(OSRRefE21_3x_0)</f>
        <v>16</v>
      </c>
      <c r="I49" s="1">
        <f>SUM(OSRRefE21_3x_1)</f>
        <v>16</v>
      </c>
      <c r="J49" s="1">
        <f>SUM(OSRRefE21_3x_2)</f>
        <v>16</v>
      </c>
      <c r="K49" s="1">
        <f>SUM(OSRRefE21_3x_3)</f>
        <v>16</v>
      </c>
      <c r="L49" s="1">
        <f>SUM(OSRRefE21_3x_4)</f>
        <v>16</v>
      </c>
      <c r="M49" s="1">
        <f>SUM(OSRRefE21_3x_5)</f>
        <v>16</v>
      </c>
      <c r="N49" s="1">
        <f>SUM(OSRRefE21_3x_6)</f>
        <v>16</v>
      </c>
      <c r="O49" s="1">
        <f>SUM(OSRRefE21_3x_7)</f>
        <v>0</v>
      </c>
      <c r="Q49" s="2">
        <f>SUM(OSRRefD20_3x)+IFERROR(SUM(OSRRefE20_3x),0)</f>
        <v>181.74</v>
      </c>
    </row>
    <row r="50" spans="1:17" s="34" customFormat="1" hidden="1" outlineLevel="1" x14ac:dyDescent="0.25">
      <c r="A50" s="35"/>
      <c r="B50" s="13" t="str">
        <f>CONCATENATE("          ","6272", " - ","CASH (OVER/SHORT)")</f>
        <v xml:space="preserve">          6272 - CASH (OVER/SHORT)</v>
      </c>
      <c r="C50" s="15"/>
      <c r="D50" s="2"/>
      <c r="E50" s="2">
        <v>32</v>
      </c>
      <c r="F50" s="2">
        <v>29.74</v>
      </c>
      <c r="G50" s="2">
        <v>8</v>
      </c>
      <c r="H50" s="2">
        <v>16</v>
      </c>
      <c r="I50" s="2">
        <v>16</v>
      </c>
      <c r="J50" s="2">
        <v>16</v>
      </c>
      <c r="K50" s="2">
        <v>16</v>
      </c>
      <c r="L50" s="2">
        <v>16</v>
      </c>
      <c r="M50" s="2">
        <v>16</v>
      </c>
      <c r="N50" s="2">
        <v>16</v>
      </c>
      <c r="O50" s="2">
        <v>0</v>
      </c>
      <c r="P50" s="9"/>
      <c r="Q50" s="2">
        <f>SUM(OSRRefD21_3_0x)+IFERROR(SUM(OSRRefE21_3_0x),0)</f>
        <v>181.74</v>
      </c>
    </row>
    <row r="51" spans="1:17" s="34" customFormat="1" collapsed="1" x14ac:dyDescent="0.25">
      <c r="A51" s="35"/>
      <c r="B51" s="15" t="str">
        <f>CONCATENATE("     ","Bank/card Fees                                    ")</f>
        <v xml:space="preserve">     Bank/card Fees                                    </v>
      </c>
      <c r="C51" s="15"/>
      <c r="D51" s="1">
        <f>SUM(OSRRefD21_4x_0)</f>
        <v>0</v>
      </c>
      <c r="E51" s="1">
        <f>SUM(OSRRefD21_4x_1)</f>
        <v>0</v>
      </c>
      <c r="F51" s="1">
        <f>SUM(OSRRefD21_4x_2)</f>
        <v>0</v>
      </c>
      <c r="G51" s="1">
        <f>SUM(OSRRefD21_4x_3)</f>
        <v>0</v>
      </c>
      <c r="H51" s="1">
        <f>SUM(OSRRefE21_4x_0)</f>
        <v>145</v>
      </c>
      <c r="I51" s="1">
        <f>SUM(OSRRefE21_4x_1)</f>
        <v>145</v>
      </c>
      <c r="J51" s="1">
        <f>SUM(OSRRefE21_4x_2)</f>
        <v>145</v>
      </c>
      <c r="K51" s="1">
        <f>SUM(OSRRefE21_4x_3)</f>
        <v>145</v>
      </c>
      <c r="L51" s="1">
        <f>SUM(OSRRefE21_4x_4)</f>
        <v>145</v>
      </c>
      <c r="M51" s="1">
        <f>SUM(OSRRefE21_4x_5)</f>
        <v>145</v>
      </c>
      <c r="N51" s="1">
        <f>SUM(OSRRefE21_4x_6)</f>
        <v>136</v>
      </c>
      <c r="O51" s="1">
        <f>SUM(OSRRefE21_4x_7)</f>
        <v>0</v>
      </c>
      <c r="Q51" s="2">
        <f>SUM(OSRRefD20_4x)+IFERROR(SUM(OSRRefE20_4x),0)</f>
        <v>1006</v>
      </c>
    </row>
    <row r="52" spans="1:17" s="34" customFormat="1" hidden="1" outlineLevel="1" x14ac:dyDescent="0.25">
      <c r="A52" s="35"/>
      <c r="B52" s="13" t="str">
        <f>CONCATENATE("          ","6381", " - ","BANK/CREDIT CARD FEES")</f>
        <v xml:space="preserve">          6381 - BANK/CREDIT CARD FEES</v>
      </c>
      <c r="C52" s="15"/>
      <c r="D52" s="2"/>
      <c r="E52" s="2"/>
      <c r="F52" s="2"/>
      <c r="G52" s="2"/>
      <c r="H52" s="2">
        <v>145</v>
      </c>
      <c r="I52" s="2">
        <v>145</v>
      </c>
      <c r="J52" s="2">
        <v>145</v>
      </c>
      <c r="K52" s="2">
        <v>145</v>
      </c>
      <c r="L52" s="2">
        <v>145</v>
      </c>
      <c r="M52" s="2">
        <v>145</v>
      </c>
      <c r="N52" s="2">
        <v>136</v>
      </c>
      <c r="O52" s="2">
        <v>0</v>
      </c>
      <c r="P52" s="9"/>
      <c r="Q52" s="2">
        <f>SUM(OSRRefD21_4_0x)+IFERROR(SUM(OSRRefE21_4_0x),0)</f>
        <v>1006</v>
      </c>
    </row>
    <row r="53" spans="1:17" s="34" customFormat="1" collapsed="1" x14ac:dyDescent="0.25">
      <c r="A53" s="35"/>
      <c r="B53" s="15" t="str">
        <f>CONCATENATE("     ","Depreciation                                      ")</f>
        <v xml:space="preserve">     Depreciation                                      </v>
      </c>
      <c r="C53" s="15"/>
      <c r="D53" s="1">
        <f>SUM(OSRRefD21_5x_0)</f>
        <v>213.02</v>
      </c>
      <c r="E53" s="1">
        <f>SUM(OSRRefD21_5x_1)</f>
        <v>775.54</v>
      </c>
      <c r="F53" s="1">
        <f>SUM(OSRRefD21_5x_2)</f>
        <v>758.5</v>
      </c>
      <c r="G53" s="1">
        <f>SUM(OSRRefD21_5x_3)</f>
        <v>758.5</v>
      </c>
      <c r="H53" s="1">
        <f>SUM(OSRRefE21_5x_0)</f>
        <v>213</v>
      </c>
      <c r="I53" s="1">
        <f>SUM(OSRRefE21_5x_1)</f>
        <v>213</v>
      </c>
      <c r="J53" s="1">
        <f>SUM(OSRRefE21_5x_2)</f>
        <v>213</v>
      </c>
      <c r="K53" s="1">
        <f>SUM(OSRRefE21_5x_3)</f>
        <v>213</v>
      </c>
      <c r="L53" s="1">
        <f>SUM(OSRRefE21_5x_4)</f>
        <v>213</v>
      </c>
      <c r="M53" s="1">
        <f>SUM(OSRRefE21_5x_5)</f>
        <v>213</v>
      </c>
      <c r="N53" s="1">
        <f>SUM(OSRRefE21_5x_6)</f>
        <v>213</v>
      </c>
      <c r="O53" s="1">
        <f>SUM(OSRRefE21_5x_7)</f>
        <v>213</v>
      </c>
      <c r="Q53" s="2">
        <f>SUM(OSRRefD20_5x)+IFERROR(SUM(OSRRefE20_5x),0)</f>
        <v>4209.5599999999995</v>
      </c>
    </row>
    <row r="54" spans="1:17" s="34" customFormat="1" hidden="1" outlineLevel="1" x14ac:dyDescent="0.25">
      <c r="A54" s="35"/>
      <c r="B54" s="13" t="str">
        <f>CONCATENATE("          ","6322", " - ","EQUIPMENT DEPRECIATION EXPENSE")</f>
        <v xml:space="preserve">          6322 - EQUIPMENT DEPRECIATION EXPENSE</v>
      </c>
      <c r="C54" s="15"/>
      <c r="D54" s="2">
        <v>213.02</v>
      </c>
      <c r="E54" s="2">
        <v>775.54</v>
      </c>
      <c r="F54" s="2">
        <v>758.5</v>
      </c>
      <c r="G54" s="2">
        <v>758.5</v>
      </c>
      <c r="H54" s="2">
        <v>213</v>
      </c>
      <c r="I54" s="2">
        <v>213</v>
      </c>
      <c r="J54" s="2">
        <v>213</v>
      </c>
      <c r="K54" s="2">
        <v>213</v>
      </c>
      <c r="L54" s="2">
        <v>213</v>
      </c>
      <c r="M54" s="2">
        <v>213</v>
      </c>
      <c r="N54" s="2">
        <v>213</v>
      </c>
      <c r="O54" s="2">
        <v>213</v>
      </c>
      <c r="P54" s="9"/>
      <c r="Q54" s="2">
        <f>SUM(OSRRefD21_5_0x)+IFERROR(SUM(OSRRefE21_5_0x),0)</f>
        <v>4209.5599999999995</v>
      </c>
    </row>
    <row r="55" spans="1:17" s="34" customFormat="1" collapsed="1" x14ac:dyDescent="0.25">
      <c r="A55" s="35"/>
      <c r="B55" s="15" t="str">
        <f>CONCATENATE("     ","Donations                                         ")</f>
        <v xml:space="preserve">     Donations                                         </v>
      </c>
      <c r="C55" s="15"/>
      <c r="D55" s="1">
        <f>SUM(OSRRefD21_6x_0)</f>
        <v>0</v>
      </c>
      <c r="E55" s="1">
        <f>SUM(OSRRefD21_6x_1)</f>
        <v>2222.02</v>
      </c>
      <c r="F55" s="1">
        <f>SUM(OSRRefD21_6x_2)</f>
        <v>8888.07</v>
      </c>
      <c r="G55" s="1">
        <f>SUM(OSRRefD21_6x_3)</f>
        <v>11110.09</v>
      </c>
      <c r="H55" s="1">
        <f>SUM(OSRRefE21_6x_0)</f>
        <v>12100</v>
      </c>
      <c r="I55" s="1">
        <f>SUM(OSRRefE21_6x_1)</f>
        <v>11100</v>
      </c>
      <c r="J55" s="1">
        <f>SUM(OSRRefE21_6x_2)</f>
        <v>8100</v>
      </c>
      <c r="K55" s="1">
        <f>SUM(OSRRefE21_6x_3)</f>
        <v>11100</v>
      </c>
      <c r="L55" s="1">
        <f>SUM(OSRRefE21_6x_4)</f>
        <v>11100</v>
      </c>
      <c r="M55" s="1">
        <f>SUM(OSRRefE21_6x_5)</f>
        <v>11100</v>
      </c>
      <c r="N55" s="1">
        <f>SUM(OSRRefE21_6x_6)</f>
        <v>8100</v>
      </c>
      <c r="O55" s="1">
        <f>SUM(OSRRefE21_6x_7)</f>
        <v>0</v>
      </c>
      <c r="Q55" s="2">
        <f>SUM(OSRRefD20_6x)+IFERROR(SUM(OSRRefE20_6x),0)</f>
        <v>94920.18</v>
      </c>
    </row>
    <row r="56" spans="1:17" s="34" customFormat="1" hidden="1" outlineLevel="1" x14ac:dyDescent="0.25">
      <c r="A56" s="35"/>
      <c r="B56" s="13" t="str">
        <f>CONCATENATE("          ","6399", " - ","DONATION-ON CAMPUS")</f>
        <v xml:space="preserve">          6399 - DONATION-ON CAMPUS</v>
      </c>
      <c r="C56" s="15"/>
      <c r="D56" s="2"/>
      <c r="E56" s="2">
        <v>2222.02</v>
      </c>
      <c r="F56" s="2">
        <v>8888.07</v>
      </c>
      <c r="G56" s="2">
        <v>11110.09</v>
      </c>
      <c r="H56" s="2">
        <v>12100</v>
      </c>
      <c r="I56" s="2">
        <v>11100</v>
      </c>
      <c r="J56" s="2">
        <v>8100</v>
      </c>
      <c r="K56" s="2">
        <v>11100</v>
      </c>
      <c r="L56" s="2">
        <v>11100</v>
      </c>
      <c r="M56" s="2">
        <v>11100</v>
      </c>
      <c r="N56" s="2">
        <v>8100</v>
      </c>
      <c r="O56" s="2"/>
      <c r="P56" s="9"/>
      <c r="Q56" s="2">
        <f>SUM(OSRRefD21_6_0x)+IFERROR(SUM(OSRRefE21_6_0x),0)</f>
        <v>94920.18</v>
      </c>
    </row>
    <row r="57" spans="1:17" s="34" customFormat="1" collapsed="1" x14ac:dyDescent="0.25">
      <c r="A57" s="35"/>
      <c r="B57" s="15" t="str">
        <f>CONCATENATE("     ","Employees' Appreciation                           ")</f>
        <v xml:space="preserve">     Employees' Appreciation                           </v>
      </c>
      <c r="C57" s="15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SUM(OSRRefE21_7x_0)</f>
        <v>150</v>
      </c>
      <c r="I57" s="1">
        <f>SUM(OSRRefE21_7x_1)</f>
        <v>150</v>
      </c>
      <c r="J57" s="1">
        <f>SUM(OSRRefE21_7x_2)</f>
        <v>150</v>
      </c>
      <c r="K57" s="1">
        <f>SUM(OSRRefE21_7x_3)</f>
        <v>150</v>
      </c>
      <c r="L57" s="1">
        <f>SUM(OSRRefE21_7x_4)</f>
        <v>150</v>
      </c>
      <c r="M57" s="1">
        <f>SUM(OSRRefE21_7x_5)</f>
        <v>150</v>
      </c>
      <c r="N57" s="1">
        <f>SUM(OSRRefE21_7x_6)</f>
        <v>150</v>
      </c>
      <c r="O57" s="1">
        <f>SUM(OSRRefE21_7x_7)</f>
        <v>0</v>
      </c>
      <c r="Q57" s="2">
        <f>SUM(OSRRefD20_7x)+IFERROR(SUM(OSRRefE20_7x),0)</f>
        <v>1050</v>
      </c>
    </row>
    <row r="58" spans="1:17" s="34" customFormat="1" hidden="1" outlineLevel="1" x14ac:dyDescent="0.25">
      <c r="A58" s="35"/>
      <c r="B58" s="13" t="str">
        <f>CONCATENATE("          ","6277", " - ","EMPLOYEE APPRECIATION")</f>
        <v xml:space="preserve">          6277 - EMPLOYEE APPRECIATION</v>
      </c>
      <c r="C58" s="15"/>
      <c r="D58" s="2"/>
      <c r="E58" s="2"/>
      <c r="F58" s="2"/>
      <c r="G58" s="2"/>
      <c r="H58" s="2">
        <v>150</v>
      </c>
      <c r="I58" s="2">
        <v>150</v>
      </c>
      <c r="J58" s="2">
        <v>150</v>
      </c>
      <c r="K58" s="2">
        <v>150</v>
      </c>
      <c r="L58" s="2">
        <v>150</v>
      </c>
      <c r="M58" s="2">
        <v>150</v>
      </c>
      <c r="N58" s="2">
        <v>150</v>
      </c>
      <c r="O58" s="2">
        <v>0</v>
      </c>
      <c r="P58" s="9"/>
      <c r="Q58" s="2">
        <f>SUM(OSRRefD21_7_0x)+IFERROR(SUM(OSRRefE21_7_0x),0)</f>
        <v>1050</v>
      </c>
    </row>
    <row r="59" spans="1:17" s="34" customFormat="1" collapsed="1" x14ac:dyDescent="0.25">
      <c r="A59" s="35"/>
      <c r="B59" s="15" t="str">
        <f>CONCATENATE("     ","Equipment Rental                                  ")</f>
        <v xml:space="preserve">     Equipment Rental                                  </v>
      </c>
      <c r="C59" s="15"/>
      <c r="D59" s="1">
        <f>SUM(OSRRefD21_8x_0)</f>
        <v>381.55</v>
      </c>
      <c r="E59" s="1">
        <f>SUM(OSRRefD21_8x_1)</f>
        <v>675.21</v>
      </c>
      <c r="F59" s="1">
        <f>SUM(OSRRefD21_8x_2)</f>
        <v>601.91999999999996</v>
      </c>
      <c r="G59" s="1">
        <f>SUM(OSRRefD21_8x_3)</f>
        <v>613.79</v>
      </c>
      <c r="H59" s="1">
        <f>SUM(OSRRefE21_8x_0)</f>
        <v>690</v>
      </c>
      <c r="I59" s="1">
        <f>SUM(OSRRefE21_8x_1)</f>
        <v>690</v>
      </c>
      <c r="J59" s="1">
        <f>SUM(OSRRefE21_8x_2)</f>
        <v>690</v>
      </c>
      <c r="K59" s="1">
        <f>SUM(OSRRefE21_8x_3)</f>
        <v>690</v>
      </c>
      <c r="L59" s="1">
        <f>SUM(OSRRefE21_8x_4)</f>
        <v>690</v>
      </c>
      <c r="M59" s="1">
        <f>SUM(OSRRefE21_8x_5)</f>
        <v>690</v>
      </c>
      <c r="N59" s="1">
        <f>SUM(OSRRefE21_8x_6)</f>
        <v>690</v>
      </c>
      <c r="O59" s="1">
        <f>SUM(OSRRefE21_8x_7)</f>
        <v>690</v>
      </c>
      <c r="Q59" s="2">
        <f>SUM(OSRRefD20_8x)+IFERROR(SUM(OSRRefE20_8x),0)</f>
        <v>7792.4699999999993</v>
      </c>
    </row>
    <row r="60" spans="1:17" s="34" customFormat="1" hidden="1" outlineLevel="1" x14ac:dyDescent="0.25">
      <c r="A60" s="35"/>
      <c r="B60" s="13" t="str">
        <f>CONCATENATE("          ","6351", " - ","EQUIPMENT RENTAL")</f>
        <v xml:space="preserve">          6351 - EQUIPMENT RENTAL</v>
      </c>
      <c r="C60" s="15"/>
      <c r="D60" s="2">
        <v>381.55</v>
      </c>
      <c r="E60" s="2">
        <v>675.21</v>
      </c>
      <c r="F60" s="2">
        <v>601.91999999999996</v>
      </c>
      <c r="G60" s="2">
        <v>613.79</v>
      </c>
      <c r="H60" s="2">
        <v>690</v>
      </c>
      <c r="I60" s="2">
        <v>690</v>
      </c>
      <c r="J60" s="2">
        <v>690</v>
      </c>
      <c r="K60" s="2">
        <v>690</v>
      </c>
      <c r="L60" s="2">
        <v>690</v>
      </c>
      <c r="M60" s="2">
        <v>690</v>
      </c>
      <c r="N60" s="2">
        <v>690</v>
      </c>
      <c r="O60" s="2">
        <v>690</v>
      </c>
      <c r="P60" s="9"/>
      <c r="Q60" s="2">
        <f>SUM(OSRRefD21_8_0x)+IFERROR(SUM(OSRRefE21_8_0x),0)</f>
        <v>7792.4699999999993</v>
      </c>
    </row>
    <row r="61" spans="1:17" s="34" customFormat="1" collapsed="1" x14ac:dyDescent="0.25">
      <c r="A61" s="35"/>
      <c r="B61" s="15" t="str">
        <f>CONCATENATE("     ","General                                           ")</f>
        <v xml:space="preserve">     General                                           </v>
      </c>
      <c r="C61" s="15"/>
      <c r="D61" s="1">
        <f>SUM(OSRRefD21_9x_0)</f>
        <v>6298.65</v>
      </c>
      <c r="E61" s="1">
        <f>SUM(OSRRefD21_9x_1)</f>
        <v>80.650000000000006</v>
      </c>
      <c r="F61" s="1">
        <f>SUM(OSRRefD21_9x_2)</f>
        <v>1.65</v>
      </c>
      <c r="G61" s="1">
        <f>SUM(OSRRefD21_9x_3)</f>
        <v>0</v>
      </c>
      <c r="H61" s="1">
        <f>SUM(OSRRefE21_9x_0)</f>
        <v>420</v>
      </c>
      <c r="I61" s="1">
        <f>SUM(OSRRefE21_9x_1)</f>
        <v>420</v>
      </c>
      <c r="J61" s="1">
        <f>SUM(OSRRefE21_9x_2)</f>
        <v>420</v>
      </c>
      <c r="K61" s="1">
        <f>SUM(OSRRefE21_9x_3)</f>
        <v>420</v>
      </c>
      <c r="L61" s="1">
        <f>SUM(OSRRefE21_9x_4)</f>
        <v>420</v>
      </c>
      <c r="M61" s="1">
        <f>SUM(OSRRefE21_9x_5)</f>
        <v>420</v>
      </c>
      <c r="N61" s="1">
        <f>SUM(OSRRefE21_9x_6)</f>
        <v>420</v>
      </c>
      <c r="O61" s="1">
        <f>SUM(OSRRefE21_9x_7)</f>
        <v>420</v>
      </c>
      <c r="Q61" s="2">
        <f>SUM(OSRRefD20_9x)+IFERROR(SUM(OSRRefE20_9x),0)</f>
        <v>9740.9499999999989</v>
      </c>
    </row>
    <row r="62" spans="1:17" s="34" customFormat="1" hidden="1" outlineLevel="1" x14ac:dyDescent="0.25">
      <c r="A62" s="35"/>
      <c r="B62" s="13" t="str">
        <f>CONCATENATE("          ","6279", " - ","GENERAL EXPENSE")</f>
        <v xml:space="preserve">          6279 - GENERAL EXPENSE</v>
      </c>
      <c r="C62" s="15"/>
      <c r="D62" s="2">
        <v>6298.65</v>
      </c>
      <c r="E62" s="2">
        <v>80.650000000000006</v>
      </c>
      <c r="F62" s="2">
        <v>1.65</v>
      </c>
      <c r="G62" s="2"/>
      <c r="H62" s="2">
        <v>420</v>
      </c>
      <c r="I62" s="2">
        <v>420</v>
      </c>
      <c r="J62" s="2">
        <v>420</v>
      </c>
      <c r="K62" s="2">
        <v>420</v>
      </c>
      <c r="L62" s="2">
        <v>420</v>
      </c>
      <c r="M62" s="2">
        <v>420</v>
      </c>
      <c r="N62" s="2">
        <v>420</v>
      </c>
      <c r="O62" s="2">
        <v>420</v>
      </c>
      <c r="P62" s="9"/>
      <c r="Q62" s="2">
        <f>SUM(OSRRefD21_9_0x)+IFERROR(SUM(OSRRefE21_9_0x),0)</f>
        <v>9740.9499999999989</v>
      </c>
    </row>
    <row r="63" spans="1:17" s="34" customFormat="1" collapsed="1" x14ac:dyDescent="0.25">
      <c r="A63" s="35"/>
      <c r="B63" s="15" t="str">
        <f>CONCATENATE("     ","Insurance                                         ")</f>
        <v xml:space="preserve">     Insurance                                         </v>
      </c>
      <c r="C63" s="15"/>
      <c r="D63" s="1">
        <f>SUM(OSRRefD21_10x_0)</f>
        <v>5.9</v>
      </c>
      <c r="E63" s="1">
        <f>SUM(OSRRefD21_10x_1)</f>
        <v>5.9</v>
      </c>
      <c r="F63" s="1">
        <f>SUM(OSRRefD21_10x_2)</f>
        <v>5.9</v>
      </c>
      <c r="G63" s="1">
        <f>SUM(OSRRefD21_10x_3)</f>
        <v>5.9</v>
      </c>
      <c r="H63" s="1">
        <f>SUM(OSRRefE21_10x_0)</f>
        <v>7</v>
      </c>
      <c r="I63" s="1">
        <f>SUM(OSRRefE21_10x_1)</f>
        <v>7</v>
      </c>
      <c r="J63" s="1">
        <f>SUM(OSRRefE21_10x_2)</f>
        <v>7</v>
      </c>
      <c r="K63" s="1">
        <f>SUM(OSRRefE21_10x_3)</f>
        <v>7</v>
      </c>
      <c r="L63" s="1">
        <f>SUM(OSRRefE21_10x_4)</f>
        <v>7</v>
      </c>
      <c r="M63" s="1">
        <f>SUM(OSRRefE21_10x_5)</f>
        <v>7</v>
      </c>
      <c r="N63" s="1">
        <f>SUM(OSRRefE21_10x_6)</f>
        <v>7</v>
      </c>
      <c r="O63" s="1">
        <f>SUM(OSRRefE21_10x_7)</f>
        <v>7</v>
      </c>
      <c r="Q63" s="2">
        <f>SUM(OSRRefD20_10x)+IFERROR(SUM(OSRRefE20_10x),0)</f>
        <v>79.599999999999994</v>
      </c>
    </row>
    <row r="64" spans="1:17" s="34" customFormat="1" hidden="1" outlineLevel="1" x14ac:dyDescent="0.25">
      <c r="A64" s="35"/>
      <c r="B64" s="13" t="str">
        <f>CONCATENATE("          ","6314", " - ","LIABILITY INSURANCE")</f>
        <v xml:space="preserve">          6314 - LIABILITY INSURANCE</v>
      </c>
      <c r="C64" s="15"/>
      <c r="D64" s="2">
        <v>5.9</v>
      </c>
      <c r="E64" s="2">
        <v>5.9</v>
      </c>
      <c r="F64" s="2">
        <v>5.9</v>
      </c>
      <c r="G64" s="2">
        <v>5.9</v>
      </c>
      <c r="H64" s="2">
        <v>7</v>
      </c>
      <c r="I64" s="2">
        <v>7</v>
      </c>
      <c r="J64" s="2">
        <v>7</v>
      </c>
      <c r="K64" s="2">
        <v>7</v>
      </c>
      <c r="L64" s="2">
        <v>7</v>
      </c>
      <c r="M64" s="2">
        <v>7</v>
      </c>
      <c r="N64" s="2">
        <v>7</v>
      </c>
      <c r="O64" s="2">
        <v>7</v>
      </c>
      <c r="P64" s="9"/>
      <c r="Q64" s="2">
        <f>SUM(OSRRefD21_10_0x)+IFERROR(SUM(OSRRefE21_10_0x),0)</f>
        <v>79.599999999999994</v>
      </c>
    </row>
    <row r="65" spans="1:17" s="34" customFormat="1" collapsed="1" x14ac:dyDescent="0.25">
      <c r="A65" s="35"/>
      <c r="B65" s="15" t="str">
        <f>CONCATENATE("     ","R/H Commissions                                   ")</f>
        <v xml:space="preserve">     R/H Commissions                                   </v>
      </c>
      <c r="C65" s="15"/>
      <c r="D65" s="1">
        <f>SUM(OSRRefD21_11x_0)</f>
        <v>1151.68</v>
      </c>
      <c r="E65" s="1">
        <f>SUM(OSRRefD21_11x_1)</f>
        <v>3533.81</v>
      </c>
      <c r="F65" s="1">
        <f>SUM(OSRRefD21_11x_2)</f>
        <v>11792.03</v>
      </c>
      <c r="G65" s="1">
        <f>SUM(OSRRefD21_11x_3)</f>
        <v>12242.68</v>
      </c>
      <c r="H65" s="1">
        <f>SUM(OSRRefE21_11x_0)</f>
        <v>10412</v>
      </c>
      <c r="I65" s="1">
        <f>SUM(OSRRefE21_11x_1)</f>
        <v>8746</v>
      </c>
      <c r="J65" s="1">
        <f>SUM(OSRRefE21_11x_2)</f>
        <v>5689</v>
      </c>
      <c r="K65" s="1">
        <f>SUM(OSRRefE21_11x_3)</f>
        <v>12297</v>
      </c>
      <c r="L65" s="1">
        <f>SUM(OSRRefE21_11x_4)</f>
        <v>11857</v>
      </c>
      <c r="M65" s="1">
        <f>SUM(OSRRefE21_11x_5)</f>
        <v>11857</v>
      </c>
      <c r="N65" s="1">
        <f>SUM(OSRRefE21_11x_6)</f>
        <v>6587</v>
      </c>
      <c r="O65" s="1">
        <f>SUM(OSRRefE21_11x_7)</f>
        <v>0</v>
      </c>
      <c r="Q65" s="2">
        <f>SUM(OSRRefD20_11x)+IFERROR(SUM(OSRRefE20_11x),0)</f>
        <v>96165.2</v>
      </c>
    </row>
    <row r="66" spans="1:17" s="34" customFormat="1" hidden="1" outlineLevel="1" x14ac:dyDescent="0.25">
      <c r="A66" s="35"/>
      <c r="B66" s="13" t="str">
        <f>CONCATENATE("          ","6387", " - ","COMMISSION DUE HOUSING")</f>
        <v xml:space="preserve">          6387 - COMMISSION DUE HOUSING</v>
      </c>
      <c r="C66" s="15"/>
      <c r="D66" s="2">
        <v>1151.68</v>
      </c>
      <c r="E66" s="2">
        <v>3533.81</v>
      </c>
      <c r="F66" s="2">
        <v>11792.03</v>
      </c>
      <c r="G66" s="2">
        <v>12242.68</v>
      </c>
      <c r="H66" s="2">
        <v>10412</v>
      </c>
      <c r="I66" s="2">
        <v>8746</v>
      </c>
      <c r="J66" s="2">
        <v>5689</v>
      </c>
      <c r="K66" s="2">
        <v>12297</v>
      </c>
      <c r="L66" s="2">
        <v>11857</v>
      </c>
      <c r="M66" s="2">
        <v>11857</v>
      </c>
      <c r="N66" s="2">
        <v>6587</v>
      </c>
      <c r="O66" s="2">
        <v>0</v>
      </c>
      <c r="P66" s="9"/>
      <c r="Q66" s="2">
        <f>SUM(OSRRefD21_11_0x)+IFERROR(SUM(OSRRefE21_11_0x),0)</f>
        <v>96165.2</v>
      </c>
    </row>
    <row r="67" spans="1:17" s="34" customFormat="1" collapsed="1" x14ac:dyDescent="0.25">
      <c r="A67" s="35"/>
      <c r="B67" s="15" t="str">
        <f>CONCATENATE("     ","Repair and Maintenance                            ")</f>
        <v xml:space="preserve">     Repair and Maintenance                            </v>
      </c>
      <c r="C67" s="15"/>
      <c r="D67" s="1">
        <f>SUM(OSRRefD21_12x_0)</f>
        <v>1.65</v>
      </c>
      <c r="E67" s="1">
        <f>SUM(OSRRefD21_12x_1)</f>
        <v>2473.65</v>
      </c>
      <c r="F67" s="1">
        <f>SUM(OSRRefD21_12x_2)</f>
        <v>438.18</v>
      </c>
      <c r="G67" s="1">
        <f>SUM(OSRRefD21_12x_3)</f>
        <v>414.44</v>
      </c>
      <c r="H67" s="1">
        <f>SUM(OSRRefE21_12x_0)</f>
        <v>10588</v>
      </c>
      <c r="I67" s="1">
        <f>SUM(OSRRefE21_12x_1)</f>
        <v>288</v>
      </c>
      <c r="J67" s="1">
        <f>SUM(OSRRefE21_12x_2)</f>
        <v>8288</v>
      </c>
      <c r="K67" s="1">
        <f>SUM(OSRRefE21_12x_3)</f>
        <v>42333</v>
      </c>
      <c r="L67" s="1">
        <f>SUM(OSRRefE21_12x_4)</f>
        <v>288</v>
      </c>
      <c r="M67" s="1">
        <f>SUM(OSRRefE21_12x_5)</f>
        <v>288</v>
      </c>
      <c r="N67" s="1">
        <f>SUM(OSRRefE21_12x_6)</f>
        <v>2088</v>
      </c>
      <c r="O67" s="1">
        <f>SUM(OSRRefE21_12x_7)</f>
        <v>288</v>
      </c>
      <c r="Q67" s="2">
        <f>SUM(OSRRefD20_12x)+IFERROR(SUM(OSRRefE20_12x),0)</f>
        <v>67776.92</v>
      </c>
    </row>
    <row r="68" spans="1:17" s="34" customFormat="1" hidden="1" outlineLevel="1" x14ac:dyDescent="0.25">
      <c r="A68" s="35"/>
      <c r="B68" s="13" t="str">
        <f>CONCATENATE("          ","6371", " - ","COMPUTER SOFTWARE MAINTENANCE")</f>
        <v xml:space="preserve">          6371 - COMPUTER SOFTWARE MAINTENANCE</v>
      </c>
      <c r="C68" s="15"/>
      <c r="D68" s="2"/>
      <c r="E68" s="2"/>
      <c r="F68" s="2"/>
      <c r="G68" s="2"/>
      <c r="H68" s="2">
        <v>8500</v>
      </c>
      <c r="I68" s="2"/>
      <c r="J68" s="2">
        <v>8000</v>
      </c>
      <c r="K68" s="2">
        <v>40245</v>
      </c>
      <c r="L68" s="2"/>
      <c r="M68" s="2"/>
      <c r="N68" s="2"/>
      <c r="O68" s="2"/>
      <c r="P68" s="9"/>
      <c r="Q68" s="2">
        <f>SUM(OSRRefD21_12_0x)+IFERROR(SUM(OSRRefE21_12_0x),0)</f>
        <v>56745</v>
      </c>
    </row>
    <row r="69" spans="1:17" s="34" customFormat="1" hidden="1" outlineLevel="1" x14ac:dyDescent="0.25">
      <c r="A69" s="35"/>
      <c r="B69" s="13" t="str">
        <f>CONCATENATE("          ","6373", " - ","MAINTENANCE CONTRACTS")</f>
        <v xml:space="preserve">          6373 - MAINTENANCE CONTRACTS</v>
      </c>
      <c r="C69" s="15"/>
      <c r="D69" s="2">
        <v>1.65</v>
      </c>
      <c r="E69" s="2">
        <v>2473.65</v>
      </c>
      <c r="F69" s="2">
        <v>233.18</v>
      </c>
      <c r="G69" s="2">
        <v>17.82</v>
      </c>
      <c r="H69" s="2">
        <v>1838</v>
      </c>
      <c r="I69" s="2">
        <v>38</v>
      </c>
      <c r="J69" s="2">
        <v>38</v>
      </c>
      <c r="K69" s="2">
        <v>1838</v>
      </c>
      <c r="L69" s="2">
        <v>38</v>
      </c>
      <c r="M69" s="2">
        <v>38</v>
      </c>
      <c r="N69" s="2">
        <v>1838</v>
      </c>
      <c r="O69" s="2">
        <v>38</v>
      </c>
      <c r="P69" s="9"/>
      <c r="Q69" s="2">
        <f>SUM(OSRRefD21_12_1x)+IFERROR(SUM(OSRRefE21_12_1x),0)</f>
        <v>8430.2999999999993</v>
      </c>
    </row>
    <row r="70" spans="1:17" s="34" customFormat="1" hidden="1" outlineLevel="1" x14ac:dyDescent="0.25">
      <c r="A70" s="35"/>
      <c r="B70" s="13" t="str">
        <f>CONCATENATE("          ","6375", " - ","OUTSIDE REPAIRS &amp; MAINTENANCE")</f>
        <v xml:space="preserve">          6375 - OUTSIDE REPAIRS &amp; MAINTENANCE</v>
      </c>
      <c r="C70" s="15"/>
      <c r="D70" s="2"/>
      <c r="E70" s="2"/>
      <c r="F70" s="2">
        <v>205</v>
      </c>
      <c r="G70" s="2">
        <v>396.62</v>
      </c>
      <c r="H70" s="2">
        <v>250</v>
      </c>
      <c r="I70" s="2">
        <v>250</v>
      </c>
      <c r="J70" s="2">
        <v>250</v>
      </c>
      <c r="K70" s="2">
        <v>250</v>
      </c>
      <c r="L70" s="2">
        <v>250</v>
      </c>
      <c r="M70" s="2">
        <v>250</v>
      </c>
      <c r="N70" s="2">
        <v>250</v>
      </c>
      <c r="O70" s="2">
        <v>250</v>
      </c>
      <c r="P70" s="9"/>
      <c r="Q70" s="2">
        <f>SUM(OSRRefD21_12_2x)+IFERROR(SUM(OSRRefE21_12_2x),0)</f>
        <v>2601.62</v>
      </c>
    </row>
    <row r="71" spans="1:17" s="34" customFormat="1" collapsed="1" x14ac:dyDescent="0.25">
      <c r="A71" s="35"/>
      <c r="B71" s="15" t="str">
        <f>CONCATENATE("     ","Services                                          ")</f>
        <v xml:space="preserve">     Services                                          </v>
      </c>
      <c r="C71" s="15"/>
      <c r="D71" s="1">
        <f>SUM(OSRRefD21_13x_0)</f>
        <v>11152.67</v>
      </c>
      <c r="E71" s="1">
        <f>SUM(OSRRefD21_13x_1)</f>
        <v>7432.2300000000005</v>
      </c>
      <c r="F71" s="1">
        <f>SUM(OSRRefD21_13x_2)</f>
        <v>13181.349999999999</v>
      </c>
      <c r="G71" s="1">
        <f>SUM(OSRRefD21_13x_3)</f>
        <v>11898.099999999999</v>
      </c>
      <c r="H71" s="1">
        <f>SUM(OSRRefE21_13x_0)</f>
        <v>13678</v>
      </c>
      <c r="I71" s="1">
        <f>SUM(OSRRefE21_13x_1)</f>
        <v>13678</v>
      </c>
      <c r="J71" s="1">
        <f>SUM(OSRRefE21_13x_2)</f>
        <v>14250</v>
      </c>
      <c r="K71" s="1">
        <f>SUM(OSRRefE21_13x_3)</f>
        <v>14250</v>
      </c>
      <c r="L71" s="1">
        <f>SUM(OSRRefE21_13x_4)</f>
        <v>14250</v>
      </c>
      <c r="M71" s="1">
        <f>SUM(OSRRefE21_13x_5)</f>
        <v>14250</v>
      </c>
      <c r="N71" s="1">
        <f>SUM(OSRRefE21_13x_6)</f>
        <v>14250</v>
      </c>
      <c r="O71" s="1">
        <f>SUM(OSRRefE21_13x_7)</f>
        <v>14250</v>
      </c>
      <c r="Q71" s="2">
        <f>SUM(OSRRefD20_13x)+IFERROR(SUM(OSRRefE20_13x),0)</f>
        <v>156520.35</v>
      </c>
    </row>
    <row r="72" spans="1:17" s="34" customFormat="1" hidden="1" outlineLevel="1" x14ac:dyDescent="0.25">
      <c r="A72" s="35"/>
      <c r="B72" s="13" t="str">
        <f>CONCATENATE("          ","6282", " - ","JANITORIAL/EXTERMINATOR EXPENS")</f>
        <v xml:space="preserve">          6282 - JANITORIAL/EXTERMINATOR EXPENS</v>
      </c>
      <c r="C72" s="15"/>
      <c r="D72" s="2">
        <v>1221.68</v>
      </c>
      <c r="E72" s="2">
        <v>910.43</v>
      </c>
      <c r="F72" s="2"/>
      <c r="G72" s="2">
        <v>1625.9</v>
      </c>
      <c r="H72" s="2">
        <v>1750</v>
      </c>
      <c r="I72" s="2">
        <v>1750</v>
      </c>
      <c r="J72" s="2">
        <v>1750</v>
      </c>
      <c r="K72" s="2">
        <v>1750</v>
      </c>
      <c r="L72" s="2">
        <v>1750</v>
      </c>
      <c r="M72" s="2">
        <v>1750</v>
      </c>
      <c r="N72" s="2">
        <v>1750</v>
      </c>
      <c r="O72" s="2">
        <v>1750</v>
      </c>
      <c r="P72" s="9"/>
      <c r="Q72" s="2">
        <f>SUM(OSRRefD21_13_0x)+IFERROR(SUM(OSRRefE21_13_0x),0)</f>
        <v>17758.010000000002</v>
      </c>
    </row>
    <row r="73" spans="1:17" s="34" customFormat="1" hidden="1" outlineLevel="1" x14ac:dyDescent="0.25">
      <c r="A73" s="35"/>
      <c r="B73" s="13" t="str">
        <f>CONCATENATE("          ","6284", " - ","TRASH REMOVAL EXPENSE")</f>
        <v xml:space="preserve">          6284 - TRASH REMOVAL EXPENSE</v>
      </c>
      <c r="C73" s="15"/>
      <c r="D73" s="2"/>
      <c r="E73" s="2"/>
      <c r="F73" s="2"/>
      <c r="G73" s="2"/>
      <c r="H73" s="2">
        <v>500</v>
      </c>
      <c r="I73" s="2">
        <v>500</v>
      </c>
      <c r="J73" s="2">
        <v>500</v>
      </c>
      <c r="K73" s="2">
        <v>500</v>
      </c>
      <c r="L73" s="2">
        <v>500</v>
      </c>
      <c r="M73" s="2">
        <v>500</v>
      </c>
      <c r="N73" s="2">
        <v>500</v>
      </c>
      <c r="O73" s="2">
        <v>500</v>
      </c>
      <c r="P73" s="9"/>
      <c r="Q73" s="2">
        <f>SUM(OSRRefD21_13_1x)+IFERROR(SUM(OSRRefE21_13_1x),0)</f>
        <v>4000</v>
      </c>
    </row>
    <row r="74" spans="1:17" s="34" customFormat="1" hidden="1" outlineLevel="1" x14ac:dyDescent="0.25">
      <c r="A74" s="35"/>
      <c r="B74" s="13" t="str">
        <f>CONCATENATE("          ","6285", " - ","JANITORIAL SERVICES")</f>
        <v xml:space="preserve">          6285 - JANITORIAL SERVICES</v>
      </c>
      <c r="C74" s="15"/>
      <c r="D74" s="2">
        <v>8314.1</v>
      </c>
      <c r="E74" s="2">
        <v>4157.05</v>
      </c>
      <c r="F74" s="2">
        <v>11777.38</v>
      </c>
      <c r="G74" s="2">
        <v>8351.15</v>
      </c>
      <c r="H74" s="2">
        <v>8428</v>
      </c>
      <c r="I74" s="2">
        <v>8428</v>
      </c>
      <c r="J74" s="2">
        <v>9000</v>
      </c>
      <c r="K74" s="2">
        <v>9000</v>
      </c>
      <c r="L74" s="2">
        <v>9000</v>
      </c>
      <c r="M74" s="2">
        <v>9000</v>
      </c>
      <c r="N74" s="2">
        <v>9000</v>
      </c>
      <c r="O74" s="2">
        <v>9000</v>
      </c>
      <c r="P74" s="9"/>
      <c r="Q74" s="2">
        <f>SUM(OSRRefD21_13_2x)+IFERROR(SUM(OSRRefE21_13_2x),0)</f>
        <v>103455.67999999999</v>
      </c>
    </row>
    <row r="75" spans="1:17" s="34" customFormat="1" hidden="1" outlineLevel="1" x14ac:dyDescent="0.25">
      <c r="A75" s="35"/>
      <c r="B75" s="13" t="str">
        <f>CONCATENATE("          ","6286", " - ","LAUNDRY EXPENSE")</f>
        <v xml:space="preserve">          6286 - LAUNDRY EXPENSE</v>
      </c>
      <c r="C75" s="15"/>
      <c r="D75" s="2">
        <v>1616.89</v>
      </c>
      <c r="E75" s="2">
        <v>2364.75</v>
      </c>
      <c r="F75" s="2">
        <v>1403.97</v>
      </c>
      <c r="G75" s="2">
        <v>1921.05</v>
      </c>
      <c r="H75" s="2">
        <v>3000</v>
      </c>
      <c r="I75" s="2">
        <v>3000</v>
      </c>
      <c r="J75" s="2">
        <v>3000</v>
      </c>
      <c r="K75" s="2">
        <v>3000</v>
      </c>
      <c r="L75" s="2">
        <v>3000</v>
      </c>
      <c r="M75" s="2">
        <v>3000</v>
      </c>
      <c r="N75" s="2">
        <v>3000</v>
      </c>
      <c r="O75" s="2">
        <v>3000</v>
      </c>
      <c r="P75" s="9"/>
      <c r="Q75" s="2">
        <f>SUM(OSRRefD21_13_3x)+IFERROR(SUM(OSRRefE21_13_3x),0)</f>
        <v>31306.66</v>
      </c>
    </row>
    <row r="76" spans="1:17" s="34" customFormat="1" collapsed="1" x14ac:dyDescent="0.25">
      <c r="A76" s="35"/>
      <c r="B76" s="15" t="str">
        <f>CONCATENATE("     ","Supplies                                          ")</f>
        <v xml:space="preserve">     Supplies                                          </v>
      </c>
      <c r="C76" s="15"/>
      <c r="D76" s="1">
        <f>SUM(OSRRefD21_14x_0)</f>
        <v>6868.5199999999995</v>
      </c>
      <c r="E76" s="1">
        <f>SUM(OSRRefD21_14x_1)</f>
        <v>19137.71</v>
      </c>
      <c r="F76" s="1">
        <f>SUM(OSRRefD21_14x_2)</f>
        <v>9027.9900000000016</v>
      </c>
      <c r="G76" s="1">
        <f>SUM(OSRRefD21_14x_3)</f>
        <v>19578.689999999999</v>
      </c>
      <c r="H76" s="1">
        <f>SUM(OSRRefE21_14x_0)</f>
        <v>8418</v>
      </c>
      <c r="I76" s="1">
        <f>SUM(OSRRefE21_14x_1)</f>
        <v>8418</v>
      </c>
      <c r="J76" s="1">
        <f>SUM(OSRRefE21_14x_2)</f>
        <v>8498</v>
      </c>
      <c r="K76" s="1">
        <f>SUM(OSRRefE21_14x_3)</f>
        <v>8418</v>
      </c>
      <c r="L76" s="1">
        <f>SUM(OSRRefE21_14x_4)</f>
        <v>8418</v>
      </c>
      <c r="M76" s="1">
        <f>SUM(OSRRefE21_14x_5)</f>
        <v>8498</v>
      </c>
      <c r="N76" s="1">
        <f>SUM(OSRRefE21_14x_6)</f>
        <v>8418</v>
      </c>
      <c r="O76" s="1">
        <f>SUM(OSRRefE21_14x_7)</f>
        <v>2400</v>
      </c>
      <c r="Q76" s="2">
        <f>SUM(OSRRefD20_14x)+IFERROR(SUM(OSRRefE20_14x),0)</f>
        <v>116098.91</v>
      </c>
    </row>
    <row r="77" spans="1:17" s="34" customFormat="1" hidden="1" outlineLevel="1" x14ac:dyDescent="0.25">
      <c r="A77" s="35"/>
      <c r="B77" s="13" t="str">
        <f>CONCATENATE("          ","6234", " - ","EXPENDABLE SUPPLIES &amp; EQUIPMEN")</f>
        <v xml:space="preserve">          6234 - EXPENDABLE SUPPLIES &amp; EQUIPMEN</v>
      </c>
      <c r="C77" s="15"/>
      <c r="D77" s="2"/>
      <c r="E77" s="2"/>
      <c r="F77" s="2"/>
      <c r="G77" s="2"/>
      <c r="H77" s="2">
        <v>100</v>
      </c>
      <c r="I77" s="2">
        <v>100</v>
      </c>
      <c r="J77" s="2">
        <v>100</v>
      </c>
      <c r="K77" s="2">
        <v>100</v>
      </c>
      <c r="L77" s="2">
        <v>100</v>
      </c>
      <c r="M77" s="2">
        <v>100</v>
      </c>
      <c r="N77" s="2">
        <v>100</v>
      </c>
      <c r="O77" s="2">
        <v>100</v>
      </c>
      <c r="P77" s="9"/>
      <c r="Q77" s="2">
        <f>SUM(OSRRefD21_14_0x)+IFERROR(SUM(OSRRefE21_14_0x),0)</f>
        <v>800</v>
      </c>
    </row>
    <row r="78" spans="1:17" s="34" customFormat="1" hidden="1" outlineLevel="1" x14ac:dyDescent="0.25">
      <c r="A78" s="35"/>
      <c r="B78" s="13" t="str">
        <f>CONCATENATE("          ","6235", " - ","COVID-19 EXPENSES")</f>
        <v xml:space="preserve">          6235 - COVID-19 EXPENSES</v>
      </c>
      <c r="C78" s="15"/>
      <c r="D78" s="2">
        <v>4966.12</v>
      </c>
      <c r="E78" s="2">
        <v>8707.61</v>
      </c>
      <c r="F78" s="2">
        <v>3917.37</v>
      </c>
      <c r="G78" s="2">
        <v>13495.55</v>
      </c>
      <c r="H78" s="2">
        <v>4200</v>
      </c>
      <c r="I78" s="2">
        <v>4200</v>
      </c>
      <c r="J78" s="2">
        <v>4200</v>
      </c>
      <c r="K78" s="2">
        <v>4200</v>
      </c>
      <c r="L78" s="2">
        <v>4200</v>
      </c>
      <c r="M78" s="2">
        <v>4200</v>
      </c>
      <c r="N78" s="2">
        <v>4200</v>
      </c>
      <c r="O78" s="2">
        <v>2200</v>
      </c>
      <c r="P78" s="9"/>
      <c r="Q78" s="2">
        <f>SUM(OSRRefD21_14_1x)+IFERROR(SUM(OSRRefE21_14_1x),0)</f>
        <v>62686.649999999994</v>
      </c>
    </row>
    <row r="79" spans="1:17" s="34" customFormat="1" hidden="1" outlineLevel="1" x14ac:dyDescent="0.25">
      <c r="A79" s="35"/>
      <c r="B79" s="13" t="str">
        <f>CONCATENATE("          ","6237", " - ","JANITORIAL SUPPLIES")</f>
        <v xml:space="preserve">          6237 - JANITORIAL SUPPLIES</v>
      </c>
      <c r="C79" s="15"/>
      <c r="D79" s="2">
        <v>1188.04</v>
      </c>
      <c r="E79" s="2">
        <v>1416.91</v>
      </c>
      <c r="F79" s="2">
        <v>3488.76</v>
      </c>
      <c r="G79" s="2">
        <v>1798.45</v>
      </c>
      <c r="H79" s="2">
        <v>3000</v>
      </c>
      <c r="I79" s="2">
        <v>3000</v>
      </c>
      <c r="J79" s="2">
        <v>3000</v>
      </c>
      <c r="K79" s="2">
        <v>3000</v>
      </c>
      <c r="L79" s="2">
        <v>3000</v>
      </c>
      <c r="M79" s="2">
        <v>3000</v>
      </c>
      <c r="N79" s="2">
        <v>3000</v>
      </c>
      <c r="O79" s="2">
        <v>0</v>
      </c>
      <c r="P79" s="9"/>
      <c r="Q79" s="2">
        <f>SUM(OSRRefD21_14_2x)+IFERROR(SUM(OSRRefE21_14_2x),0)</f>
        <v>28892.16</v>
      </c>
    </row>
    <row r="80" spans="1:17" s="34" customFormat="1" hidden="1" outlineLevel="1" x14ac:dyDescent="0.25">
      <c r="A80" s="35"/>
      <c r="B80" s="13" t="str">
        <f>CONCATENATE("          ","6239", " - ","KITCHEN SUPPLIES")</f>
        <v xml:space="preserve">          6239 - KITCHEN SUPPLIES</v>
      </c>
      <c r="C80" s="15"/>
      <c r="D80" s="2">
        <v>50</v>
      </c>
      <c r="E80" s="2">
        <v>2324.31</v>
      </c>
      <c r="F80" s="2">
        <v>553.01</v>
      </c>
      <c r="G80" s="2">
        <v>1244.3599999999999</v>
      </c>
      <c r="H80" s="2">
        <v>500</v>
      </c>
      <c r="I80" s="2">
        <v>500</v>
      </c>
      <c r="J80" s="2">
        <v>500</v>
      </c>
      <c r="K80" s="2">
        <v>500</v>
      </c>
      <c r="L80" s="2">
        <v>500</v>
      </c>
      <c r="M80" s="2">
        <v>500</v>
      </c>
      <c r="N80" s="2">
        <v>500</v>
      </c>
      <c r="O80" s="2">
        <v>0</v>
      </c>
      <c r="P80" s="9"/>
      <c r="Q80" s="2">
        <f>SUM(OSRRefD21_14_3x)+IFERROR(SUM(OSRRefE21_14_3x),0)</f>
        <v>7671.6799999999994</v>
      </c>
    </row>
    <row r="81" spans="1:17" s="34" customFormat="1" hidden="1" outlineLevel="1" x14ac:dyDescent="0.25">
      <c r="A81" s="35"/>
      <c r="B81" s="13" t="str">
        <f>CONCATENATE("          ","6241", " - ","OFFICE EXPENSE")</f>
        <v xml:space="preserve">          6241 - OFFICE EXPENSE</v>
      </c>
      <c r="C81" s="15"/>
      <c r="D81" s="2">
        <v>16.48</v>
      </c>
      <c r="E81" s="2">
        <v>165.61</v>
      </c>
      <c r="F81" s="2">
        <v>765.15</v>
      </c>
      <c r="G81" s="2">
        <v>407.69</v>
      </c>
      <c r="H81" s="2">
        <v>250</v>
      </c>
      <c r="I81" s="2">
        <v>250</v>
      </c>
      <c r="J81" s="2">
        <v>250</v>
      </c>
      <c r="K81" s="2">
        <v>250</v>
      </c>
      <c r="L81" s="2">
        <v>250</v>
      </c>
      <c r="M81" s="2">
        <v>250</v>
      </c>
      <c r="N81" s="2">
        <v>250</v>
      </c>
      <c r="O81" s="2">
        <v>100</v>
      </c>
      <c r="P81" s="9"/>
      <c r="Q81" s="2">
        <f>SUM(OSRRefD21_14_4x)+IFERROR(SUM(OSRRefE21_14_4x),0)</f>
        <v>3204.9300000000003</v>
      </c>
    </row>
    <row r="82" spans="1:17" s="34" customFormat="1" hidden="1" outlineLevel="1" x14ac:dyDescent="0.25">
      <c r="A82" s="35"/>
      <c r="B82" s="13" t="str">
        <f>CONCATENATE("          ","6243", " - ","PAPER SUPPLIES")</f>
        <v xml:space="preserve">          6243 - PAPER SUPPLIES</v>
      </c>
      <c r="C82" s="15"/>
      <c r="D82" s="2">
        <v>647.88</v>
      </c>
      <c r="E82" s="2">
        <v>3012.29</v>
      </c>
      <c r="F82" s="2"/>
      <c r="G82" s="2">
        <v>2632.64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9"/>
      <c r="Q82" s="2">
        <f>SUM(OSRRefD21_14_5x)+IFERROR(SUM(OSRRefE21_14_5x),0)</f>
        <v>6292.8099999999995</v>
      </c>
    </row>
    <row r="83" spans="1:17" s="34" customFormat="1" hidden="1" outlineLevel="1" x14ac:dyDescent="0.25">
      <c r="A83" s="35"/>
      <c r="B83" s="13" t="str">
        <f>CONCATENATE("          ","6244", " - ","SAFETY SUPPLY EXPENSE")</f>
        <v xml:space="preserve">          6244 - SAFETY SUPPLY EXPENSE</v>
      </c>
      <c r="C83" s="15"/>
      <c r="D83" s="2"/>
      <c r="E83" s="2"/>
      <c r="F83" s="2"/>
      <c r="G83" s="2"/>
      <c r="H83" s="2">
        <v>0</v>
      </c>
      <c r="I83" s="2">
        <v>0</v>
      </c>
      <c r="J83" s="2">
        <v>80</v>
      </c>
      <c r="K83" s="2">
        <v>0</v>
      </c>
      <c r="L83" s="2">
        <v>0</v>
      </c>
      <c r="M83" s="2">
        <v>80</v>
      </c>
      <c r="N83" s="2">
        <v>0</v>
      </c>
      <c r="O83" s="2">
        <v>0</v>
      </c>
      <c r="P83" s="9"/>
      <c r="Q83" s="2">
        <f>SUM(OSRRefD21_14_6x)+IFERROR(SUM(OSRRefE21_14_6x),0)</f>
        <v>160</v>
      </c>
    </row>
    <row r="84" spans="1:17" s="34" customFormat="1" hidden="1" outlineLevel="1" x14ac:dyDescent="0.25">
      <c r="A84" s="35"/>
      <c r="B84" s="13" t="str">
        <f>CONCATENATE("          ","6245", " - ","PRINTING")</f>
        <v xml:space="preserve">          6245 - PRINTING</v>
      </c>
      <c r="C84" s="15"/>
      <c r="D84" s="2"/>
      <c r="E84" s="2"/>
      <c r="F84" s="2"/>
      <c r="G84" s="2"/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9"/>
      <c r="Q84" s="2">
        <f>SUM(OSRRefD21_14_7x)+IFERROR(SUM(OSRRefE21_14_7x),0)</f>
        <v>0</v>
      </c>
    </row>
    <row r="85" spans="1:17" s="34" customFormat="1" hidden="1" outlineLevel="1" x14ac:dyDescent="0.25">
      <c r="A85" s="35"/>
      <c r="B85" s="13" t="str">
        <f>CONCATENATE("          ","6247", " - ","STORE SUPPLIES")</f>
        <v xml:space="preserve">          6247 - STORE SUPPLIES</v>
      </c>
      <c r="C85" s="15"/>
      <c r="D85" s="2"/>
      <c r="E85" s="2"/>
      <c r="F85" s="2"/>
      <c r="G85" s="2"/>
      <c r="H85" s="2">
        <v>18</v>
      </c>
      <c r="I85" s="2">
        <v>18</v>
      </c>
      <c r="J85" s="2">
        <v>18</v>
      </c>
      <c r="K85" s="2">
        <v>18</v>
      </c>
      <c r="L85" s="2">
        <v>18</v>
      </c>
      <c r="M85" s="2">
        <v>18</v>
      </c>
      <c r="N85" s="2">
        <v>18</v>
      </c>
      <c r="O85" s="2">
        <v>0</v>
      </c>
      <c r="P85" s="9"/>
      <c r="Q85" s="2">
        <f>SUM(OSRRefD21_14_8x)+IFERROR(SUM(OSRRefE21_14_8x),0)</f>
        <v>126</v>
      </c>
    </row>
    <row r="86" spans="1:17" s="34" customFormat="1" hidden="1" outlineLevel="1" x14ac:dyDescent="0.25">
      <c r="A86" s="35"/>
      <c r="B86" s="13" t="str">
        <f>CONCATENATE("          ","6248", " - ","UNIFORMS")</f>
        <v xml:space="preserve">          6248 - UNIFORMS</v>
      </c>
      <c r="C86" s="15"/>
      <c r="D86" s="2"/>
      <c r="E86" s="2">
        <v>3510.98</v>
      </c>
      <c r="F86" s="2">
        <v>303.7</v>
      </c>
      <c r="G86" s="2"/>
      <c r="H86" s="2">
        <v>350</v>
      </c>
      <c r="I86" s="2">
        <v>350</v>
      </c>
      <c r="J86" s="2">
        <v>350</v>
      </c>
      <c r="K86" s="2">
        <v>350</v>
      </c>
      <c r="L86" s="2">
        <v>350</v>
      </c>
      <c r="M86" s="2">
        <v>350</v>
      </c>
      <c r="N86" s="2">
        <v>350</v>
      </c>
      <c r="O86" s="2">
        <v>0</v>
      </c>
      <c r="P86" s="9"/>
      <c r="Q86" s="2">
        <f>SUM(OSRRefD21_14_9x)+IFERROR(SUM(OSRRefE21_14_9x),0)</f>
        <v>6264.68</v>
      </c>
    </row>
    <row r="87" spans="1:17" s="34" customFormat="1" collapsed="1" x14ac:dyDescent="0.25">
      <c r="A87" s="35"/>
      <c r="B87" s="15" t="str">
        <f>CONCATENATE("     ","Telephone/Data Lines                              ")</f>
        <v xml:space="preserve">     Telephone/Data Lines                              </v>
      </c>
      <c r="C87" s="15"/>
      <c r="D87" s="1">
        <f>SUM(OSRRefD21_15x_0)</f>
        <v>632.5</v>
      </c>
      <c r="E87" s="1">
        <f>SUM(OSRRefD21_15x_1)</f>
        <v>632.5</v>
      </c>
      <c r="F87" s="1">
        <f>SUM(OSRRefD21_15x_2)</f>
        <v>975</v>
      </c>
      <c r="G87" s="1">
        <f>SUM(OSRRefD21_15x_3)</f>
        <v>547.32000000000005</v>
      </c>
      <c r="H87" s="1">
        <f>SUM(OSRRefE21_15x_0)</f>
        <v>725</v>
      </c>
      <c r="I87" s="1">
        <f>SUM(OSRRefE21_15x_1)</f>
        <v>725</v>
      </c>
      <c r="J87" s="1">
        <f>SUM(OSRRefE21_15x_2)</f>
        <v>725</v>
      </c>
      <c r="K87" s="1">
        <f>SUM(OSRRefE21_15x_3)</f>
        <v>725</v>
      </c>
      <c r="L87" s="1">
        <f>SUM(OSRRefE21_15x_4)</f>
        <v>725</v>
      </c>
      <c r="M87" s="1">
        <f>SUM(OSRRefE21_15x_5)</f>
        <v>725</v>
      </c>
      <c r="N87" s="1">
        <f>SUM(OSRRefE21_15x_6)</f>
        <v>725</v>
      </c>
      <c r="O87" s="1">
        <f>SUM(OSRRefE21_15x_7)</f>
        <v>725</v>
      </c>
      <c r="Q87" s="2">
        <f>SUM(OSRRefD20_15x)+IFERROR(SUM(OSRRefE20_15x),0)</f>
        <v>8587.32</v>
      </c>
    </row>
    <row r="88" spans="1:17" s="34" customFormat="1" hidden="1" outlineLevel="1" x14ac:dyDescent="0.25">
      <c r="A88" s="35"/>
      <c r="B88" s="13" t="str">
        <f>CONCATENATE("          ","6303", " - ","DATA PHONE LINES")</f>
        <v xml:space="preserve">          6303 - DATA PHONE LINES</v>
      </c>
      <c r="C88" s="15"/>
      <c r="D88" s="2"/>
      <c r="E88" s="2"/>
      <c r="F88" s="2"/>
      <c r="G88" s="2"/>
      <c r="H88" s="2">
        <v>500</v>
      </c>
      <c r="I88" s="2">
        <v>500</v>
      </c>
      <c r="J88" s="2">
        <v>500</v>
      </c>
      <c r="K88" s="2">
        <v>500</v>
      </c>
      <c r="L88" s="2">
        <v>500</v>
      </c>
      <c r="M88" s="2">
        <v>500</v>
      </c>
      <c r="N88" s="2">
        <v>500</v>
      </c>
      <c r="O88" s="2">
        <v>500</v>
      </c>
      <c r="P88" s="9"/>
      <c r="Q88" s="2">
        <f>SUM(OSRRefD21_15_0x)+IFERROR(SUM(OSRRefE21_15_0x),0)</f>
        <v>4000</v>
      </c>
    </row>
    <row r="89" spans="1:17" s="34" customFormat="1" hidden="1" outlineLevel="1" x14ac:dyDescent="0.25">
      <c r="A89" s="35"/>
      <c r="B89" s="13" t="str">
        <f>CONCATENATE("          ","6309", " - ","TELEPHONE")</f>
        <v xml:space="preserve">          6309 - TELEPHONE</v>
      </c>
      <c r="C89" s="15"/>
      <c r="D89" s="2">
        <v>632.5</v>
      </c>
      <c r="E89" s="2">
        <v>632.5</v>
      </c>
      <c r="F89" s="2">
        <v>975</v>
      </c>
      <c r="G89" s="2">
        <v>547.32000000000005</v>
      </c>
      <c r="H89" s="2">
        <v>225</v>
      </c>
      <c r="I89" s="2">
        <v>225</v>
      </c>
      <c r="J89" s="2">
        <v>225</v>
      </c>
      <c r="K89" s="2">
        <v>225</v>
      </c>
      <c r="L89" s="2">
        <v>225</v>
      </c>
      <c r="M89" s="2">
        <v>225</v>
      </c>
      <c r="N89" s="2">
        <v>225</v>
      </c>
      <c r="O89" s="2">
        <v>225</v>
      </c>
      <c r="P89" s="9"/>
      <c r="Q89" s="2">
        <f>SUM(OSRRefD21_15_1x)+IFERROR(SUM(OSRRefE21_15_1x),0)</f>
        <v>4587.32</v>
      </c>
    </row>
    <row r="90" spans="1:17" s="34" customFormat="1" collapsed="1" x14ac:dyDescent="0.25">
      <c r="A90" s="35"/>
      <c r="B90" s="15" t="str">
        <f>CONCATENATE("     ","Training                                          ")</f>
        <v xml:space="preserve">     Training                                          </v>
      </c>
      <c r="C90" s="15"/>
      <c r="D90" s="1">
        <f>SUM(OSRRefD21_16x_0)</f>
        <v>0</v>
      </c>
      <c r="E90" s="1">
        <f>SUM(OSRRefD21_16x_1)</f>
        <v>350</v>
      </c>
      <c r="F90" s="1">
        <f>SUM(OSRRefD21_16x_2)</f>
        <v>0</v>
      </c>
      <c r="G90" s="1">
        <f>SUM(OSRRefD21_16x_3)</f>
        <v>385</v>
      </c>
      <c r="H90" s="1">
        <f>SUM(OSRRefE21_16x_0)</f>
        <v>550</v>
      </c>
      <c r="I90" s="1">
        <f>SUM(OSRRefE21_16x_1)</f>
        <v>550</v>
      </c>
      <c r="J90" s="1">
        <f>SUM(OSRRefE21_16x_2)</f>
        <v>550</v>
      </c>
      <c r="K90" s="1">
        <f>SUM(OSRRefE21_16x_3)</f>
        <v>550</v>
      </c>
      <c r="L90" s="1">
        <f>SUM(OSRRefE21_16x_4)</f>
        <v>550</v>
      </c>
      <c r="M90" s="1">
        <f>SUM(OSRRefE21_16x_5)</f>
        <v>550</v>
      </c>
      <c r="N90" s="1">
        <f>SUM(OSRRefE21_16x_6)</f>
        <v>550</v>
      </c>
      <c r="O90" s="1">
        <f>SUM(OSRRefE21_16x_7)</f>
        <v>550</v>
      </c>
      <c r="Q90" s="2">
        <f>SUM(OSRRefD20_16x)+IFERROR(SUM(OSRRefE20_16x),0)</f>
        <v>5135</v>
      </c>
    </row>
    <row r="91" spans="1:17" s="34" customFormat="1" hidden="1" outlineLevel="1" x14ac:dyDescent="0.25">
      <c r="A91" s="35"/>
      <c r="B91" s="13" t="str">
        <f>CONCATENATE("          ","6376", " - ","TRAINING")</f>
        <v xml:space="preserve">          6376 - TRAINING</v>
      </c>
      <c r="C91" s="15"/>
      <c r="D91" s="2"/>
      <c r="E91" s="2">
        <v>350</v>
      </c>
      <c r="F91" s="2"/>
      <c r="G91" s="2">
        <v>385</v>
      </c>
      <c r="H91" s="2">
        <v>550</v>
      </c>
      <c r="I91" s="2">
        <v>550</v>
      </c>
      <c r="J91" s="2">
        <v>550</v>
      </c>
      <c r="K91" s="2">
        <v>550</v>
      </c>
      <c r="L91" s="2">
        <v>550</v>
      </c>
      <c r="M91" s="2">
        <v>550</v>
      </c>
      <c r="N91" s="2">
        <v>550</v>
      </c>
      <c r="O91" s="2">
        <v>550</v>
      </c>
      <c r="P91" s="9"/>
      <c r="Q91" s="2">
        <f>SUM(OSRRefD21_16_0x)+IFERROR(SUM(OSRRefE21_16_0x),0)</f>
        <v>5135</v>
      </c>
    </row>
    <row r="92" spans="1:17" s="34" customFormat="1" collapsed="1" x14ac:dyDescent="0.25">
      <c r="A92" s="35"/>
      <c r="B92" s="15" t="str">
        <f>CONCATENATE("     ","Travel                                            ")</f>
        <v xml:space="preserve">     Travel                                            </v>
      </c>
      <c r="C92" s="15"/>
      <c r="D92" s="1">
        <f>SUM(OSRRefD21_17x_0)</f>
        <v>0</v>
      </c>
      <c r="E92" s="1">
        <f>SUM(OSRRefD21_17x_1)</f>
        <v>0</v>
      </c>
      <c r="F92" s="1">
        <f>SUM(OSRRefD21_17x_2)</f>
        <v>0</v>
      </c>
      <c r="G92" s="1">
        <f>SUM(OSRRefD21_17x_3)</f>
        <v>0</v>
      </c>
      <c r="H92" s="1">
        <f>SUM(OSRRefE21_17x_0)</f>
        <v>300</v>
      </c>
      <c r="I92" s="1">
        <f>SUM(OSRRefE21_17x_1)</f>
        <v>300</v>
      </c>
      <c r="J92" s="1">
        <f>SUM(OSRRefE21_17x_2)</f>
        <v>300</v>
      </c>
      <c r="K92" s="1">
        <f>SUM(OSRRefE21_17x_3)</f>
        <v>300</v>
      </c>
      <c r="L92" s="1">
        <f>SUM(OSRRefE21_17x_4)</f>
        <v>300</v>
      </c>
      <c r="M92" s="1">
        <f>SUM(OSRRefE21_17x_5)</f>
        <v>300</v>
      </c>
      <c r="N92" s="1">
        <f>SUM(OSRRefE21_17x_6)</f>
        <v>300</v>
      </c>
      <c r="O92" s="1">
        <f>SUM(OSRRefE21_17x_7)</f>
        <v>300</v>
      </c>
      <c r="Q92" s="2">
        <f>SUM(OSRRefD20_17x)+IFERROR(SUM(OSRRefE20_17x),0)</f>
        <v>2400</v>
      </c>
    </row>
    <row r="93" spans="1:17" s="34" customFormat="1" hidden="1" outlineLevel="1" x14ac:dyDescent="0.25">
      <c r="A93" s="35"/>
      <c r="B93" s="13" t="str">
        <f>CONCATENATE("          ","6292", " - ","TRAVEL/CONFERENCE")</f>
        <v xml:space="preserve">          6292 - TRAVEL/CONFERENCE</v>
      </c>
      <c r="C93" s="15"/>
      <c r="D93" s="2"/>
      <c r="E93" s="2"/>
      <c r="F93" s="2"/>
      <c r="G93" s="2"/>
      <c r="H93" s="2">
        <v>300</v>
      </c>
      <c r="I93" s="2">
        <v>300</v>
      </c>
      <c r="J93" s="2">
        <v>300</v>
      </c>
      <c r="K93" s="2">
        <v>300</v>
      </c>
      <c r="L93" s="2">
        <v>300</v>
      </c>
      <c r="M93" s="2">
        <v>300</v>
      </c>
      <c r="N93" s="2">
        <v>300</v>
      </c>
      <c r="O93" s="2">
        <v>300</v>
      </c>
      <c r="P93" s="9"/>
      <c r="Q93" s="2">
        <f>SUM(OSRRefD21_17_0x)+IFERROR(SUM(OSRRefE21_17_0x),0)</f>
        <v>2400</v>
      </c>
    </row>
    <row r="94" spans="1:17" s="28" customFormat="1" x14ac:dyDescent="0.25">
      <c r="A94" s="20"/>
      <c r="B94" s="20"/>
      <c r="C94" s="20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Q94" s="1"/>
    </row>
    <row r="95" spans="1:17" s="9" customFormat="1" x14ac:dyDescent="0.25">
      <c r="A95" s="22"/>
      <c r="B95" s="16" t="s">
        <v>0</v>
      </c>
      <c r="C95" s="23"/>
      <c r="D95" s="3">
        <f t="shared" ref="D95:G95" si="4">0</f>
        <v>0</v>
      </c>
      <c r="E95" s="3">
        <f t="shared" si="4"/>
        <v>0</v>
      </c>
      <c r="F95" s="3">
        <f t="shared" si="4"/>
        <v>0</v>
      </c>
      <c r="G95" s="3">
        <f t="shared" si="4"/>
        <v>0</v>
      </c>
      <c r="H95" s="3"/>
      <c r="I95" s="3"/>
      <c r="J95" s="3"/>
      <c r="K95" s="3"/>
      <c r="L95" s="3"/>
      <c r="M95" s="3"/>
      <c r="N95" s="3"/>
      <c r="O95" s="3"/>
      <c r="Q95" s="2">
        <f>SUM(OSRRefD23_0x)+IFERROR(SUM(OSRRefE23_0x),0)</f>
        <v>0</v>
      </c>
    </row>
    <row r="96" spans="1:17" x14ac:dyDescent="0.25">
      <c r="A96" s="5"/>
      <c r="B96" s="8"/>
      <c r="C96" s="8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4" customFormat="1" x14ac:dyDescent="0.25">
      <c r="A97" s="8"/>
      <c r="B97" s="17" t="s">
        <v>3</v>
      </c>
      <c r="C97" s="17"/>
      <c r="D97" s="6">
        <f t="shared" ref="D97:O97" si="5">IFERROR(+D21-D24+D95, 0)</f>
        <v>-178331.69999999995</v>
      </c>
      <c r="E97" s="6">
        <f t="shared" si="5"/>
        <v>-194336.87</v>
      </c>
      <c r="F97" s="6">
        <f t="shared" si="5"/>
        <v>-63156.22</v>
      </c>
      <c r="G97" s="6">
        <f t="shared" si="5"/>
        <v>-209343.61999999997</v>
      </c>
      <c r="H97" s="6">
        <f t="shared" si="5"/>
        <v>-193107.34896420315</v>
      </c>
      <c r="I97" s="6">
        <f t="shared" si="5"/>
        <v>-10468.887740000006</v>
      </c>
      <c r="J97" s="6">
        <f t="shared" si="5"/>
        <v>-249668.5752677538</v>
      </c>
      <c r="K97" s="6">
        <f t="shared" si="5"/>
        <v>-202404.4302142032</v>
      </c>
      <c r="L97" s="6">
        <f t="shared" si="5"/>
        <v>-168483.4302142032</v>
      </c>
      <c r="M97" s="6">
        <f t="shared" si="5"/>
        <v>-210568.25276775379</v>
      </c>
      <c r="N97" s="6">
        <f t="shared" si="5"/>
        <v>-190052.86021420319</v>
      </c>
      <c r="O97" s="6">
        <f t="shared" si="5"/>
        <v>-207151.29021420318</v>
      </c>
      <c r="Q97" s="6">
        <f>IFERROR(+Q21-Q24+Q95, 0)</f>
        <v>-2077073.4855965248</v>
      </c>
    </row>
    <row r="98" spans="1:17" s="8" customFormat="1" x14ac:dyDescent="0.25">
      <c r="B98" s="16"/>
      <c r="C98" s="16"/>
      <c r="D98" s="4">
        <f t="shared" ref="D98:O98" si="6">IFERROR(D97/D10, 0)</f>
        <v>-9.2266369066097109</v>
      </c>
      <c r="E98" s="4">
        <f t="shared" si="6"/>
        <v>-3.9001476677407596</v>
      </c>
      <c r="F98" s="4">
        <f t="shared" si="6"/>
        <v>-0.284033305662864</v>
      </c>
      <c r="G98" s="4">
        <f t="shared" si="6"/>
        <v>-1.3758954437445687</v>
      </c>
      <c r="H98" s="4">
        <f t="shared" si="6"/>
        <v>-1.4837861536302059</v>
      </c>
      <c r="I98" s="4">
        <f t="shared" si="6"/>
        <v>-9.5762824525937429E-2</v>
      </c>
      <c r="J98" s="4">
        <f t="shared" si="6"/>
        <v>-3.5106736120442905</v>
      </c>
      <c r="K98" s="4">
        <f t="shared" si="6"/>
        <v>-1.3167684594940128</v>
      </c>
      <c r="L98" s="4">
        <f t="shared" si="6"/>
        <v>-1.1366888419084973</v>
      </c>
      <c r="M98" s="4">
        <f t="shared" si="6"/>
        <v>-1.4206179389686742</v>
      </c>
      <c r="N98" s="4">
        <f t="shared" si="6"/>
        <v>-2.307979260853025</v>
      </c>
      <c r="O98" s="4">
        <f t="shared" si="6"/>
        <v>0</v>
      </c>
      <c r="P98" s="18"/>
      <c r="Q98" s="4">
        <f>IFERROR(Q97/Q10, 0)</f>
        <v>-1.6142015220025872</v>
      </c>
    </row>
    <row r="99" spans="1:17" x14ac:dyDescent="0.25">
      <c r="A99" s="5"/>
      <c r="B99" s="8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s="14" customFormat="1" x14ac:dyDescent="0.25">
      <c r="A100" s="25"/>
      <c r="B100" s="8" t="s">
        <v>8</v>
      </c>
      <c r="C100" s="8"/>
      <c r="D100" s="3">
        <v>9295.7000000000007</v>
      </c>
      <c r="E100" s="3">
        <v>2380.36</v>
      </c>
      <c r="F100" s="3">
        <v>42327.8</v>
      </c>
      <c r="G100" s="3">
        <v>42102.83</v>
      </c>
      <c r="H100" s="3">
        <v>85509</v>
      </c>
      <c r="I100" s="3">
        <v>73019</v>
      </c>
      <c r="J100" s="3">
        <v>15441</v>
      </c>
      <c r="K100" s="3">
        <v>92614</v>
      </c>
      <c r="L100" s="3">
        <v>101494</v>
      </c>
      <c r="M100" s="3">
        <v>104346</v>
      </c>
      <c r="N100" s="3">
        <v>65921</v>
      </c>
      <c r="O100" s="3">
        <v>-61552.999999999993</v>
      </c>
      <c r="Q100" s="2">
        <f>SUM(OSRRefD28_0x)+IFERROR(SUM(OSRRefE28_0x),0)</f>
        <v>572897.68999999994</v>
      </c>
    </row>
    <row r="101" spans="1:17" x14ac:dyDescent="0.25">
      <c r="A101" s="5"/>
      <c r="B101" s="8"/>
      <c r="C101" s="8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4" customFormat="1" ht="15.75" thickBot="1" x14ac:dyDescent="0.3">
      <c r="A102" s="8"/>
      <c r="B102" s="17" t="s">
        <v>4</v>
      </c>
      <c r="C102" s="17"/>
      <c r="D102" s="7">
        <f t="shared" ref="D102:O102" si="7">IFERROR(+D97-D100, 0)</f>
        <v>-187627.39999999997</v>
      </c>
      <c r="E102" s="7">
        <f t="shared" si="7"/>
        <v>-196717.22999999998</v>
      </c>
      <c r="F102" s="7">
        <f t="shared" si="7"/>
        <v>-105484.02</v>
      </c>
      <c r="G102" s="7">
        <f t="shared" si="7"/>
        <v>-251446.44999999995</v>
      </c>
      <c r="H102" s="7">
        <f t="shared" si="7"/>
        <v>-278616.34896420315</v>
      </c>
      <c r="I102" s="7">
        <f t="shared" si="7"/>
        <v>-83487.887740000006</v>
      </c>
      <c r="J102" s="7">
        <f t="shared" si="7"/>
        <v>-265109.5752677538</v>
      </c>
      <c r="K102" s="7">
        <f t="shared" si="7"/>
        <v>-295018.4302142032</v>
      </c>
      <c r="L102" s="7">
        <f t="shared" si="7"/>
        <v>-269977.4302142032</v>
      </c>
      <c r="M102" s="7">
        <f t="shared" si="7"/>
        <v>-314914.25276775379</v>
      </c>
      <c r="N102" s="7">
        <f t="shared" si="7"/>
        <v>-255973.86021420319</v>
      </c>
      <c r="O102" s="7">
        <f t="shared" si="7"/>
        <v>-145598.29021420318</v>
      </c>
      <c r="Q102" s="7">
        <f>IFERROR(+Q97-Q100, 0)</f>
        <v>-2649971.175596525</v>
      </c>
    </row>
    <row r="103" spans="1:17" ht="15.75" thickTop="1" x14ac:dyDescent="0.25">
      <c r="A103" s="5"/>
      <c r="B103" s="5"/>
      <c r="C103" s="5"/>
      <c r="D103" s="4">
        <f t="shared" ref="D103:O103" si="8">IFERROR(D102/D10, 0)</f>
        <v>-9.7075836406607632</v>
      </c>
      <c r="E103" s="4">
        <f t="shared" si="8"/>
        <v>-3.9479191251198116</v>
      </c>
      <c r="F103" s="4">
        <f t="shared" si="8"/>
        <v>-0.47439468187310224</v>
      </c>
      <c r="G103" s="4">
        <f t="shared" si="8"/>
        <v>-1.6526131768465</v>
      </c>
      <c r="H103" s="4">
        <f t="shared" si="8"/>
        <v>-2.1408148523892825</v>
      </c>
      <c r="I103" s="4">
        <f t="shared" si="8"/>
        <v>-0.76369487783682921</v>
      </c>
      <c r="J103" s="4">
        <f t="shared" si="8"/>
        <v>-3.727794694204674</v>
      </c>
      <c r="K103" s="4">
        <f t="shared" si="8"/>
        <v>-1.9192809340407331</v>
      </c>
      <c r="L103" s="4">
        <f t="shared" si="8"/>
        <v>-1.8214273777632566</v>
      </c>
      <c r="M103" s="4">
        <f t="shared" si="8"/>
        <v>-2.1245977531675502</v>
      </c>
      <c r="N103" s="4">
        <f t="shared" si="8"/>
        <v>-3.1085160203798994</v>
      </c>
      <c r="O103" s="4">
        <f t="shared" si="8"/>
        <v>0</v>
      </c>
      <c r="P103" s="18"/>
      <c r="Q103" s="4">
        <f>IFERROR(Q102/Q10, 0)</f>
        <v>-2.0594300271867341</v>
      </c>
    </row>
    <row r="104" spans="1:17" x14ac:dyDescent="0.25">
      <c r="A104" s="5"/>
      <c r="B104" s="5"/>
      <c r="C104" s="5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x14ac:dyDescent="0.25">
      <c r="A105" s="5"/>
      <c r="B105" s="5"/>
      <c r="C105" s="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s="14" customFormat="1" ht="15.75" thickBot="1" x14ac:dyDescent="0.3">
      <c r="A106" s="8"/>
      <c r="B106" s="17" t="s">
        <v>5</v>
      </c>
      <c r="C106" s="17"/>
      <c r="D106" s="7">
        <f t="shared" ref="D106:O106" si="9">IFERROR(SUM(D102:D105), 0)</f>
        <v>-187637.10758364064</v>
      </c>
      <c r="E106" s="7">
        <f t="shared" si="9"/>
        <v>-196721.1779191251</v>
      </c>
      <c r="F106" s="7">
        <f t="shared" si="9"/>
        <v>-105484.49439468188</v>
      </c>
      <c r="G106" s="7">
        <f t="shared" si="9"/>
        <v>-251448.1026131768</v>
      </c>
      <c r="H106" s="7">
        <f t="shared" si="9"/>
        <v>-278618.48977905553</v>
      </c>
      <c r="I106" s="7">
        <f t="shared" si="9"/>
        <v>-83488.651434877844</v>
      </c>
      <c r="J106" s="7">
        <f t="shared" si="9"/>
        <v>-265113.30306244799</v>
      </c>
      <c r="K106" s="7">
        <f t="shared" si="9"/>
        <v>-295020.34949513723</v>
      </c>
      <c r="L106" s="7">
        <f t="shared" si="9"/>
        <v>-269979.25164158095</v>
      </c>
      <c r="M106" s="7">
        <f t="shared" si="9"/>
        <v>-314916.37736550695</v>
      </c>
      <c r="N106" s="7">
        <f t="shared" si="9"/>
        <v>-255976.96873022357</v>
      </c>
      <c r="O106" s="7">
        <f t="shared" si="9"/>
        <v>-145598.29021420318</v>
      </c>
      <c r="Q106" s="7">
        <f>IFERROR(SUM(Q102:Q105), 0)</f>
        <v>-2649973.2350265523</v>
      </c>
    </row>
    <row r="107" spans="1:17" ht="15.75" thickTop="1" x14ac:dyDescent="0.25">
      <c r="A107" s="5"/>
      <c r="C107" s="5"/>
      <c r="D107" s="4">
        <f t="shared" ref="D107:O107" si="10">IFERROR(D106/D10, 0)</f>
        <v>-9.7080858976879387</v>
      </c>
      <c r="E107" s="4">
        <f t="shared" si="10"/>
        <v>-3.94799835592953</v>
      </c>
      <c r="F107" s="4">
        <f t="shared" si="10"/>
        <v>-0.47439681537459555</v>
      </c>
      <c r="G107" s="4">
        <f t="shared" si="10"/>
        <v>-1.6526240385242541</v>
      </c>
      <c r="H107" s="4">
        <f t="shared" si="10"/>
        <v>-2.1408313018483653</v>
      </c>
      <c r="I107" s="4">
        <f t="shared" si="10"/>
        <v>-0.76370186363898829</v>
      </c>
      <c r="J107" s="4">
        <f t="shared" si="10"/>
        <v>-3.7278471119767143</v>
      </c>
      <c r="K107" s="4">
        <f t="shared" si="10"/>
        <v>-1.9192934201735521</v>
      </c>
      <c r="L107" s="4">
        <f t="shared" si="10"/>
        <v>-1.8214396661893293</v>
      </c>
      <c r="M107" s="4">
        <f t="shared" si="10"/>
        <v>-2.1246120869602354</v>
      </c>
      <c r="N107" s="4">
        <f t="shared" si="10"/>
        <v>-3.1085537698276005</v>
      </c>
      <c r="O107" s="4">
        <f t="shared" si="10"/>
        <v>0</v>
      </c>
      <c r="P107" s="18"/>
      <c r="Q107" s="4">
        <f>IFERROR(Q106/Q10, 0)</f>
        <v>-2.0594316276766098</v>
      </c>
    </row>
    <row r="108" spans="1:17" x14ac:dyDescent="0.25">
      <c r="A108" s="5"/>
      <c r="B108" s="26">
        <v>44151.564677858798</v>
      </c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Q108" s="12"/>
    </row>
    <row r="109" spans="1:17" x14ac:dyDescent="0.25">
      <c r="A109" s="5"/>
      <c r="B109" s="30" t="s">
        <v>311</v>
      </c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Q109" s="12"/>
    </row>
    <row r="110" spans="1:17" x14ac:dyDescent="0.25">
      <c r="A110" s="5"/>
      <c r="B110" s="31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Q110" s="12"/>
    </row>
    <row r="111" spans="1:17" x14ac:dyDescent="0.25"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Q11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7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","430", " - ", "Res Hall Management")</f>
        <v>Department 430 - Res Hall Management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0">
        <f>SUM(OSRRefD20x_0)</f>
        <v>21521.99</v>
      </c>
      <c r="E17" s="10">
        <f>SUM(OSRRefD20x_1)</f>
        <v>10800.34</v>
      </c>
      <c r="F17" s="10">
        <f>SUM(OSRRefD20x_2)</f>
        <v>14907.630000000001</v>
      </c>
      <c r="G17" s="10">
        <f>SUM(OSRRefD20x_3)</f>
        <v>18225.39</v>
      </c>
      <c r="H17" s="10">
        <f>SUM(OSRRefE20x_0)</f>
        <v>13801.532740000001</v>
      </c>
      <c r="I17" s="10">
        <f>SUM(OSRRefE20x_1)</f>
        <v>13801.532740000001</v>
      </c>
      <c r="J17" s="10">
        <f>SUM(OSRRefE20x_2)</f>
        <v>16506.915925000001</v>
      </c>
      <c r="K17" s="10">
        <f>SUM(OSRRefE20x_3)</f>
        <v>54046.532740000002</v>
      </c>
      <c r="L17" s="10">
        <f>SUM(OSRRefE20x_4)</f>
        <v>13801.532740000001</v>
      </c>
      <c r="M17" s="10">
        <f>SUM(OSRRefE20x_5)</f>
        <v>16506.915925000001</v>
      </c>
      <c r="N17" s="10">
        <f>SUM(OSRRefE20x_6)</f>
        <v>13801.532740000001</v>
      </c>
      <c r="O17" s="10">
        <f>SUM(OSRRefE20x_7)</f>
        <v>13801.532740000001</v>
      </c>
      <c r="Q17" s="10">
        <f>SUM(OSRRefG20x)</f>
        <v>221523.37829000002</v>
      </c>
    </row>
    <row r="18" spans="1:17" s="34" customFormat="1" collapsed="1" x14ac:dyDescent="0.25">
      <c r="A18" s="35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5333.25</v>
      </c>
      <c r="E18" s="1">
        <f>SUM(OSRRefD21_0x_1)</f>
        <v>5374.62</v>
      </c>
      <c r="F18" s="1">
        <f>SUM(OSRRefD21_0x_2)</f>
        <v>5796.4400000000005</v>
      </c>
      <c r="G18" s="1">
        <f>SUM(OSRRefD21_0x_3)</f>
        <v>6976.08</v>
      </c>
      <c r="H18" s="1">
        <f>SUM(OSRRefE21_0x_0)</f>
        <v>4291.4327400000002</v>
      </c>
      <c r="I18" s="1">
        <f>SUM(OSRRefE21_0x_1)</f>
        <v>4291.4327400000002</v>
      </c>
      <c r="J18" s="1">
        <f>SUM(OSRRefE21_0x_2)</f>
        <v>4869.2909250000002</v>
      </c>
      <c r="K18" s="1">
        <f>SUM(OSRRefE21_0x_3)</f>
        <v>4291.4327400000002</v>
      </c>
      <c r="L18" s="1">
        <f>SUM(OSRRefE21_0x_4)</f>
        <v>4291.4327400000002</v>
      </c>
      <c r="M18" s="1">
        <f>SUM(OSRRefE21_0x_5)</f>
        <v>4869.2909250000002</v>
      </c>
      <c r="N18" s="1">
        <f>SUM(OSRRefE21_0x_6)</f>
        <v>4291.4327400000002</v>
      </c>
      <c r="O18" s="1">
        <f>SUM(OSRRefE21_0x_7)</f>
        <v>4291.4327400000002</v>
      </c>
      <c r="Q18" s="2">
        <f>SUM(OSRRefD20_0x)+IFERROR(SUM(OSRRefE20_0x),0)</f>
        <v>58967.568290000003</v>
      </c>
    </row>
    <row r="19" spans="1:17" s="34" customFormat="1" hidden="1" outlineLevel="1" x14ac:dyDescent="0.25">
      <c r="A19" s="35"/>
      <c r="B19" s="13" t="str">
        <f>CONCATENATE("          ","6111", " - ","F.I.C.A.")</f>
        <v xml:space="preserve">          6111 - F.I.C.A.</v>
      </c>
      <c r="C19" s="15"/>
      <c r="D19" s="2">
        <v>685.42</v>
      </c>
      <c r="E19" s="2">
        <v>685.42</v>
      </c>
      <c r="F19" s="2">
        <v>685.42</v>
      </c>
      <c r="G19" s="2">
        <v>1228.6099999999999</v>
      </c>
      <c r="H19" s="2">
        <v>685.55574000000001</v>
      </c>
      <c r="I19" s="2">
        <v>685.55574000000001</v>
      </c>
      <c r="J19" s="2">
        <v>856.94467499999996</v>
      </c>
      <c r="K19" s="2">
        <v>685.55574000000001</v>
      </c>
      <c r="L19" s="2">
        <v>685.55574000000001</v>
      </c>
      <c r="M19" s="2">
        <v>856.94467499999996</v>
      </c>
      <c r="N19" s="2">
        <v>685.55574000000001</v>
      </c>
      <c r="O19" s="2">
        <v>685.55574000000001</v>
      </c>
      <c r="P19" s="9"/>
      <c r="Q19" s="2">
        <f>SUM(OSRRefD21_0_0x)+IFERROR(SUM(OSRRefE21_0_0x),0)</f>
        <v>9112.093789999999</v>
      </c>
    </row>
    <row r="20" spans="1:17" s="34" customFormat="1" hidden="1" outlineLevel="1" x14ac:dyDescent="0.25">
      <c r="A20" s="35"/>
      <c r="B20" s="13" t="str">
        <f>CONCATENATE("          ","6112", " - ","COMPENSATION INSURANCE")</f>
        <v xml:space="preserve">          6112 - COMPENSATION INSURANCE</v>
      </c>
      <c r="C20" s="15"/>
      <c r="D20" s="2">
        <v>384.36</v>
      </c>
      <c r="E20" s="2">
        <v>384.36</v>
      </c>
      <c r="F20" s="2">
        <v>384.36</v>
      </c>
      <c r="G20" s="2">
        <v>384.36</v>
      </c>
      <c r="H20" s="2">
        <v>384.29820000000001</v>
      </c>
      <c r="I20" s="2">
        <v>384.29820000000001</v>
      </c>
      <c r="J20" s="2">
        <v>480.37275</v>
      </c>
      <c r="K20" s="2">
        <v>384.29820000000001</v>
      </c>
      <c r="L20" s="2">
        <v>384.29820000000001</v>
      </c>
      <c r="M20" s="2">
        <v>480.37275</v>
      </c>
      <c r="N20" s="2">
        <v>384.29820000000001</v>
      </c>
      <c r="O20" s="2">
        <v>384.29820000000001</v>
      </c>
      <c r="P20" s="9"/>
      <c r="Q20" s="2">
        <f>SUM(OSRRefD21_0_1x)+IFERROR(SUM(OSRRefE21_0_1x),0)</f>
        <v>4803.9747000000007</v>
      </c>
    </row>
    <row r="21" spans="1:17" s="34" customFormat="1" hidden="1" outlineLevel="1" x14ac:dyDescent="0.25">
      <c r="A21" s="35"/>
      <c r="B21" s="13" t="str">
        <f>CONCATENATE("          ","6113", " - ","GROUP INSURANCE")</f>
        <v xml:space="preserve">          6113 - GROUP INSURANCE</v>
      </c>
      <c r="C21" s="15"/>
      <c r="D21" s="2">
        <v>2737.9</v>
      </c>
      <c r="E21" s="2">
        <v>2737.9</v>
      </c>
      <c r="F21" s="2">
        <v>2737.9</v>
      </c>
      <c r="G21" s="2">
        <v>2737.9</v>
      </c>
      <c r="H21" s="2">
        <v>1980</v>
      </c>
      <c r="I21" s="2">
        <v>1980</v>
      </c>
      <c r="J21" s="2">
        <v>1980</v>
      </c>
      <c r="K21" s="2">
        <v>1980</v>
      </c>
      <c r="L21" s="2">
        <v>1980</v>
      </c>
      <c r="M21" s="2">
        <v>1980</v>
      </c>
      <c r="N21" s="2">
        <v>1980</v>
      </c>
      <c r="O21" s="2">
        <v>1980</v>
      </c>
      <c r="P21" s="9"/>
      <c r="Q21" s="2">
        <f>SUM(OSRRefD21_0_2x)+IFERROR(SUM(OSRRefE21_0_2x),0)</f>
        <v>26791.599999999999</v>
      </c>
    </row>
    <row r="22" spans="1:17" s="34" customFormat="1" hidden="1" outlineLevel="1" x14ac:dyDescent="0.25">
      <c r="A22" s="35"/>
      <c r="B22" s="13" t="str">
        <f>CONCATENATE("          ","6114", " - ","STATE UNEMPLOYMENT INSURANCE")</f>
        <v xml:space="preserve">          6114 - STATE UNEMPLOYMENT INSURANCE</v>
      </c>
      <c r="C22" s="15"/>
      <c r="D22" s="2">
        <v>23.29</v>
      </c>
      <c r="E22" s="2">
        <v>23.29</v>
      </c>
      <c r="F22" s="2">
        <v>23.29</v>
      </c>
      <c r="G22" s="2">
        <v>23.29</v>
      </c>
      <c r="H22" s="2">
        <v>23.290800000000001</v>
      </c>
      <c r="I22" s="2">
        <v>23.290800000000001</v>
      </c>
      <c r="J22" s="2">
        <v>29.113499999999998</v>
      </c>
      <c r="K22" s="2">
        <v>23.290800000000001</v>
      </c>
      <c r="L22" s="2">
        <v>23.290800000000001</v>
      </c>
      <c r="M22" s="2">
        <v>29.113499999999998</v>
      </c>
      <c r="N22" s="2">
        <v>23.290800000000001</v>
      </c>
      <c r="O22" s="2">
        <v>23.290800000000001</v>
      </c>
      <c r="P22" s="9"/>
      <c r="Q22" s="2">
        <f>SUM(OSRRefD21_0_3x)+IFERROR(SUM(OSRRefE21_0_3x),0)</f>
        <v>291.1318</v>
      </c>
    </row>
    <row r="23" spans="1:17" s="34" customFormat="1" hidden="1" outlineLevel="1" x14ac:dyDescent="0.25">
      <c r="A23" s="35"/>
      <c r="B23" s="13" t="str">
        <f>CONCATENATE("          ","6115", " - ","P.E.R.S.")</f>
        <v xml:space="preserve">          6115 - P.E.R.S.</v>
      </c>
      <c r="C23" s="15"/>
      <c r="D23" s="2">
        <v>1038.8599999999999</v>
      </c>
      <c r="E23" s="2">
        <v>692.57</v>
      </c>
      <c r="F23" s="2">
        <v>692.57</v>
      </c>
      <c r="G23" s="2">
        <v>692.57</v>
      </c>
      <c r="H23" s="2">
        <v>770.38800000000003</v>
      </c>
      <c r="I23" s="2">
        <v>770.38800000000003</v>
      </c>
      <c r="J23" s="2">
        <v>962.98500000000001</v>
      </c>
      <c r="K23" s="2">
        <v>770.38800000000003</v>
      </c>
      <c r="L23" s="2">
        <v>770.38800000000003</v>
      </c>
      <c r="M23" s="2">
        <v>962.98500000000001</v>
      </c>
      <c r="N23" s="2">
        <v>770.38800000000003</v>
      </c>
      <c r="O23" s="2">
        <v>770.38800000000003</v>
      </c>
      <c r="P23" s="9"/>
      <c r="Q23" s="2">
        <f>SUM(OSRRefD21_0_4x)+IFERROR(SUM(OSRRefE21_0_4x),0)</f>
        <v>9664.8680000000004</v>
      </c>
    </row>
    <row r="24" spans="1:17" s="34" customFormat="1" hidden="1" outlineLevel="1" x14ac:dyDescent="0.25">
      <c r="A24" s="35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25">
      <c r="A25" s="35"/>
      <c r="B25" s="13" t="str">
        <f>CONCATENATE("          ","6118", " - ","VACATION")</f>
        <v xml:space="preserve">          6118 - VACATION</v>
      </c>
      <c r="C25" s="15"/>
      <c r="D25" s="2">
        <v>34.159999999999997</v>
      </c>
      <c r="E25" s="2">
        <v>413.82</v>
      </c>
      <c r="F25" s="2">
        <v>827.64</v>
      </c>
      <c r="G25" s="2">
        <v>1241.46</v>
      </c>
      <c r="H25" s="2">
        <v>268.74</v>
      </c>
      <c r="I25" s="2">
        <v>268.74</v>
      </c>
      <c r="J25" s="2">
        <v>335.92500000000001</v>
      </c>
      <c r="K25" s="2">
        <v>268.74</v>
      </c>
      <c r="L25" s="2">
        <v>268.74</v>
      </c>
      <c r="M25" s="2">
        <v>335.92500000000001</v>
      </c>
      <c r="N25" s="2">
        <v>268.74</v>
      </c>
      <c r="O25" s="2">
        <v>268.74</v>
      </c>
      <c r="P25" s="9"/>
      <c r="Q25" s="2">
        <f>SUM(OSRRefD21_0_6x)+IFERROR(SUM(OSRRefE21_0_6x),0)</f>
        <v>4801.37</v>
      </c>
    </row>
    <row r="26" spans="1:17" s="34" customFormat="1" hidden="1" outlineLevel="1" x14ac:dyDescent="0.25">
      <c r="A26" s="35"/>
      <c r="B26" s="13" t="str">
        <f>CONCATENATE("          ","6119", " - ","SICK LEAVE")</f>
        <v xml:space="preserve">          6119 - SICK LEAVE</v>
      </c>
      <c r="C26" s="15"/>
      <c r="D26" s="2">
        <v>413.26</v>
      </c>
      <c r="E26" s="2">
        <v>413.26</v>
      </c>
      <c r="F26" s="2">
        <v>413.26</v>
      </c>
      <c r="G26" s="2">
        <v>619.89</v>
      </c>
      <c r="H26" s="2">
        <v>179.16</v>
      </c>
      <c r="I26" s="2">
        <v>179.16</v>
      </c>
      <c r="J26" s="2">
        <v>223.95</v>
      </c>
      <c r="K26" s="2">
        <v>179.16</v>
      </c>
      <c r="L26" s="2">
        <v>179.16</v>
      </c>
      <c r="M26" s="2">
        <v>223.95</v>
      </c>
      <c r="N26" s="2">
        <v>179.16</v>
      </c>
      <c r="O26" s="2">
        <v>179.16</v>
      </c>
      <c r="P26" s="9"/>
      <c r="Q26" s="2">
        <f>SUM(OSRRefD21_0_7x)+IFERROR(SUM(OSRRefE21_0_7x),0)</f>
        <v>3382.53</v>
      </c>
    </row>
    <row r="27" spans="1:17" s="34" customFormat="1" hidden="1" outlineLevel="1" x14ac:dyDescent="0.25">
      <c r="A27" s="35"/>
      <c r="B27" s="13" t="str">
        <f>CONCATENATE("          ","6156", " - ","EMPLOYEE MEALS")</f>
        <v xml:space="preserve">          6156 - EMPLOYEE MEALS</v>
      </c>
      <c r="C27" s="15"/>
      <c r="D27" s="2">
        <v>16</v>
      </c>
      <c r="E27" s="2">
        <v>24</v>
      </c>
      <c r="F27" s="2">
        <v>32</v>
      </c>
      <c r="G27" s="2">
        <v>48</v>
      </c>
      <c r="H27" s="2"/>
      <c r="I27" s="2"/>
      <c r="J27" s="2"/>
      <c r="K27" s="2"/>
      <c r="L27" s="2"/>
      <c r="M27" s="2"/>
      <c r="N27" s="2"/>
      <c r="O27" s="2"/>
      <c r="P27" s="9"/>
      <c r="Q27" s="2">
        <f>SUM(OSRRefD21_0_8x)+IFERROR(SUM(OSRRefE21_0_8x),0)</f>
        <v>120</v>
      </c>
    </row>
    <row r="28" spans="1:17" s="34" customFormat="1" collapsed="1" x14ac:dyDescent="0.25">
      <c r="A28" s="35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11199.54</v>
      </c>
      <c r="E28" s="1">
        <f>SUM(OSRRefD21_1x_1)</f>
        <v>5375.72</v>
      </c>
      <c r="F28" s="1">
        <f>SUM(OSRRefD21_1x_2)</f>
        <v>8959.5400000000009</v>
      </c>
      <c r="G28" s="1">
        <f>SUM(OSRRefD21_1x_3)</f>
        <v>11199.31</v>
      </c>
      <c r="H28" s="1">
        <f>SUM(OSRRefE21_1x_0)</f>
        <v>8510.1</v>
      </c>
      <c r="I28" s="1">
        <f>SUM(OSRRefE21_1x_1)</f>
        <v>8510.1</v>
      </c>
      <c r="J28" s="1">
        <f>SUM(OSRRefE21_1x_2)</f>
        <v>10637.625</v>
      </c>
      <c r="K28" s="1">
        <f>SUM(OSRRefE21_1x_3)</f>
        <v>8510.1</v>
      </c>
      <c r="L28" s="1">
        <f>SUM(OSRRefE21_1x_4)</f>
        <v>8510.1</v>
      </c>
      <c r="M28" s="1">
        <f>SUM(OSRRefE21_1x_5)</f>
        <v>10637.625</v>
      </c>
      <c r="N28" s="1">
        <f>SUM(OSRRefE21_1x_6)</f>
        <v>8510.1</v>
      </c>
      <c r="O28" s="1">
        <f>SUM(OSRRefE21_1x_7)</f>
        <v>8510.1</v>
      </c>
      <c r="Q28" s="2">
        <f>SUM(OSRRefD20_1x)+IFERROR(SUM(OSRRefE20_1x),0)</f>
        <v>109069.96</v>
      </c>
    </row>
    <row r="29" spans="1:17" s="34" customFormat="1" hidden="1" outlineLevel="1" x14ac:dyDescent="0.25">
      <c r="A29" s="35"/>
      <c r="B29" s="13" t="str">
        <f>CONCATENATE("          ","6001", " - ","ADMINISTRATIVE SALARIES")</f>
        <v xml:space="preserve">          6001 - ADMINISTRATIVE SALARIES</v>
      </c>
      <c r="C29" s="15"/>
      <c r="D29" s="2">
        <v>11199.54</v>
      </c>
      <c r="E29" s="2">
        <v>5375.72</v>
      </c>
      <c r="F29" s="2">
        <v>8959.5400000000009</v>
      </c>
      <c r="G29" s="2">
        <v>11199.31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36734.11</v>
      </c>
    </row>
    <row r="30" spans="1:17" s="34" customFormat="1" hidden="1" outlineLevel="1" x14ac:dyDescent="0.25">
      <c r="A30" s="35"/>
      <c r="B30" s="13" t="str">
        <f>CONCATENATE("          ","6002", " - ","STAFF SALARIES")</f>
        <v xml:space="preserve">          6002 - STAFF SALARIES</v>
      </c>
      <c r="C30" s="15"/>
      <c r="D30" s="2"/>
      <c r="E30" s="2"/>
      <c r="F30" s="2"/>
      <c r="G30" s="2"/>
      <c r="H30" s="2">
        <v>8510.1</v>
      </c>
      <c r="I30" s="2">
        <v>8510.1</v>
      </c>
      <c r="J30" s="2">
        <v>10637.625</v>
      </c>
      <c r="K30" s="2">
        <v>8510.1</v>
      </c>
      <c r="L30" s="2">
        <v>8510.1</v>
      </c>
      <c r="M30" s="2">
        <v>10637.625</v>
      </c>
      <c r="N30" s="2">
        <v>8510.1</v>
      </c>
      <c r="O30" s="2">
        <v>8510.1</v>
      </c>
      <c r="P30" s="9"/>
      <c r="Q30" s="2">
        <f>SUM(OSRRefD21_1_1x)+IFERROR(SUM(OSRRefE21_1_1x),0)</f>
        <v>72335.850000000006</v>
      </c>
    </row>
    <row r="31" spans="1:17" s="34" customFormat="1" hidden="1" outlineLevel="1" x14ac:dyDescent="0.25">
      <c r="A31" s="35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25">
      <c r="A32" s="35"/>
      <c r="B32" s="13" t="str">
        <f>CONCATENATE("          ","6004", " - ","STAFF HOURLY")</f>
        <v xml:space="preserve">          6004 - STAFF HOURLY</v>
      </c>
      <c r="C32" s="15"/>
      <c r="D32" s="2"/>
      <c r="E32" s="2"/>
      <c r="F32" s="2"/>
      <c r="G32" s="2"/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4" customFormat="1" hidden="1" outlineLevel="1" x14ac:dyDescent="0.25">
      <c r="A33" s="35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25">
      <c r="A34" s="35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25">
      <c r="A35" s="35"/>
      <c r="B35" s="13" t="str">
        <f>CONCATENATE("          ","6007", " - ","STUDENT HOURLY")</f>
        <v xml:space="preserve">          6007 - STUDENT HOURLY</v>
      </c>
      <c r="C35" s="15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25">
      <c r="A36" s="35"/>
      <c r="B36" s="13" t="str">
        <f>CONCATENATE("          ","6008", " - ","STUDENT HOURLY-FICA EXEMPT")</f>
        <v xml:space="preserve">          6008 - STUDENT HOURLY-FICA EXEMPT</v>
      </c>
      <c r="C36" s="15"/>
      <c r="D36" s="2"/>
      <c r="E36" s="2"/>
      <c r="F36" s="2"/>
      <c r="G36" s="2"/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25">
      <c r="A37" s="35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25">
      <c r="A38" s="35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25">
      <c r="A39" s="35"/>
      <c r="B39" s="15" t="str">
        <f>CONCATENATE("     ","General                                           ")</f>
        <v xml:space="preserve">     General                                           </v>
      </c>
      <c r="C39" s="15"/>
      <c r="D39" s="1">
        <f>SUM(OSRRefD21_2x_0)</f>
        <v>0</v>
      </c>
      <c r="E39" s="1">
        <f>SUM(OSRRefD21_2x_1)</f>
        <v>0</v>
      </c>
      <c r="F39" s="1">
        <f>SUM(OSRRefD21_2x_2)</f>
        <v>1.65</v>
      </c>
      <c r="G39" s="1">
        <f>SUM(OSRRefD21_2x_3)</f>
        <v>0</v>
      </c>
      <c r="H39" s="1">
        <f>SUM(OSRRefE21_2x_0)</f>
        <v>0</v>
      </c>
      <c r="I39" s="1">
        <f>SUM(OSRRefE21_2x_1)</f>
        <v>0</v>
      </c>
      <c r="J39" s="1">
        <f>SUM(OSRRefE21_2x_2)</f>
        <v>0</v>
      </c>
      <c r="K39" s="1">
        <f>SUM(OSRRefE21_2x_3)</f>
        <v>0</v>
      </c>
      <c r="L39" s="1">
        <f>SUM(OSRRefE21_2x_4)</f>
        <v>0</v>
      </c>
      <c r="M39" s="1">
        <f>SUM(OSRRefE21_2x_5)</f>
        <v>0</v>
      </c>
      <c r="N39" s="1">
        <f>SUM(OSRRefE21_2x_6)</f>
        <v>0</v>
      </c>
      <c r="O39" s="1">
        <f>SUM(OSRRefE21_2x_7)</f>
        <v>0</v>
      </c>
      <c r="Q39" s="2">
        <f>SUM(OSRRefD20_2x)+IFERROR(SUM(OSRRefE20_2x),0)</f>
        <v>1.65</v>
      </c>
    </row>
    <row r="40" spans="1:17" s="34" customFormat="1" hidden="1" outlineLevel="1" x14ac:dyDescent="0.25">
      <c r="A40" s="35"/>
      <c r="B40" s="13" t="str">
        <f>CONCATENATE("          ","6279", " - ","GENERAL EXPENSE")</f>
        <v xml:space="preserve">          6279 - GENERAL EXPENSE</v>
      </c>
      <c r="C40" s="15"/>
      <c r="D40" s="2"/>
      <c r="E40" s="2"/>
      <c r="F40" s="2">
        <v>1.65</v>
      </c>
      <c r="G40" s="2"/>
      <c r="H40" s="2"/>
      <c r="I40" s="2"/>
      <c r="J40" s="2"/>
      <c r="K40" s="2"/>
      <c r="L40" s="2"/>
      <c r="M40" s="2"/>
      <c r="N40" s="2"/>
      <c r="O40" s="2"/>
      <c r="P40" s="9"/>
      <c r="Q40" s="2">
        <f>SUM(OSRRefD21_2_0x)+IFERROR(SUM(OSRRefE21_2_0x),0)</f>
        <v>1.65</v>
      </c>
    </row>
    <row r="41" spans="1:17" s="34" customFormat="1" collapsed="1" x14ac:dyDescent="0.25">
      <c r="A41" s="35"/>
      <c r="B41" s="15" t="str">
        <f>CONCATENATE("     ","Repair and Maintenance                            ")</f>
        <v xml:space="preserve">     Repair and Maintenance                            </v>
      </c>
      <c r="C41" s="15"/>
      <c r="D41" s="1">
        <f>SUM(OSRRefD21_3x_0)</f>
        <v>0</v>
      </c>
      <c r="E41" s="1">
        <f>SUM(OSRRefD21_3x_1)</f>
        <v>0</v>
      </c>
      <c r="F41" s="1">
        <f>SUM(OSRRefD21_3x_2)</f>
        <v>0</v>
      </c>
      <c r="G41" s="1">
        <f>SUM(OSRRefD21_3x_3)</f>
        <v>0</v>
      </c>
      <c r="H41" s="1">
        <f>SUM(OSRRefE21_3x_0)</f>
        <v>0</v>
      </c>
      <c r="I41" s="1">
        <f>SUM(OSRRefE21_3x_1)</f>
        <v>0</v>
      </c>
      <c r="J41" s="1">
        <f>SUM(OSRRefE21_3x_2)</f>
        <v>0</v>
      </c>
      <c r="K41" s="1">
        <f>SUM(OSRRefE21_3x_3)</f>
        <v>40245</v>
      </c>
      <c r="L41" s="1">
        <f>SUM(OSRRefE21_3x_4)</f>
        <v>0</v>
      </c>
      <c r="M41" s="1">
        <f>SUM(OSRRefE21_3x_5)</f>
        <v>0</v>
      </c>
      <c r="N41" s="1">
        <f>SUM(OSRRefE21_3x_6)</f>
        <v>0</v>
      </c>
      <c r="O41" s="1">
        <f>SUM(OSRRefE21_3x_7)</f>
        <v>0</v>
      </c>
      <c r="Q41" s="2">
        <f>SUM(OSRRefD20_3x)+IFERROR(SUM(OSRRefE20_3x),0)</f>
        <v>40245</v>
      </c>
    </row>
    <row r="42" spans="1:17" s="34" customFormat="1" hidden="1" outlineLevel="1" x14ac:dyDescent="0.25">
      <c r="A42" s="35"/>
      <c r="B42" s="13" t="str">
        <f>CONCATENATE("          ","6371", " - ","COMPUTER SOFTWARE MAINTENANCE")</f>
        <v xml:space="preserve">          6371 - COMPUTER SOFTWARE MAINTENANCE</v>
      </c>
      <c r="C42" s="15"/>
      <c r="D42" s="2"/>
      <c r="E42" s="2"/>
      <c r="F42" s="2"/>
      <c r="G42" s="2"/>
      <c r="H42" s="2"/>
      <c r="I42" s="2"/>
      <c r="J42" s="2"/>
      <c r="K42" s="2">
        <v>40245</v>
      </c>
      <c r="L42" s="2"/>
      <c r="M42" s="2"/>
      <c r="N42" s="2"/>
      <c r="O42" s="2"/>
      <c r="P42" s="9"/>
      <c r="Q42" s="2">
        <f>SUM(OSRRefD21_3_0x)+IFERROR(SUM(OSRRefE21_3_0x),0)</f>
        <v>40245</v>
      </c>
    </row>
    <row r="43" spans="1:17" s="34" customFormat="1" collapsed="1" x14ac:dyDescent="0.25">
      <c r="A43" s="35"/>
      <c r="B43" s="15" t="str">
        <f>CONCATENATE("     ","Supplies                                          ")</f>
        <v xml:space="preserve">     Supplies                                          </v>
      </c>
      <c r="C43" s="15"/>
      <c r="D43" s="1">
        <f>SUM(OSRRefD21_4x_0)</f>
        <v>4939.2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SUM(OSRRefE21_4x_0)</f>
        <v>400</v>
      </c>
      <c r="I43" s="1">
        <f>SUM(OSRRefE21_4x_1)</f>
        <v>400</v>
      </c>
      <c r="J43" s="1">
        <f>SUM(OSRRefE21_4x_2)</f>
        <v>400</v>
      </c>
      <c r="K43" s="1">
        <f>SUM(OSRRefE21_4x_3)</f>
        <v>400</v>
      </c>
      <c r="L43" s="1">
        <f>SUM(OSRRefE21_4x_4)</f>
        <v>400</v>
      </c>
      <c r="M43" s="1">
        <f>SUM(OSRRefE21_4x_5)</f>
        <v>400</v>
      </c>
      <c r="N43" s="1">
        <f>SUM(OSRRefE21_4x_6)</f>
        <v>400</v>
      </c>
      <c r="O43" s="1">
        <f>SUM(OSRRefE21_4x_7)</f>
        <v>400</v>
      </c>
      <c r="Q43" s="2">
        <f>SUM(OSRRefD20_4x)+IFERROR(SUM(OSRRefE20_4x),0)</f>
        <v>8139.2</v>
      </c>
    </row>
    <row r="44" spans="1:17" s="34" customFormat="1" hidden="1" outlineLevel="1" x14ac:dyDescent="0.25">
      <c r="A44" s="35"/>
      <c r="B44" s="13" t="str">
        <f>CONCATENATE("          ","6234", " - ","EXPENDABLE SUPPLIES &amp; EQUIPMEN")</f>
        <v xml:space="preserve">          6234 - EXPENDABLE SUPPLIES &amp; EQUIPMEN</v>
      </c>
      <c r="C44" s="15"/>
      <c r="D44" s="2"/>
      <c r="E44" s="2"/>
      <c r="F44" s="2"/>
      <c r="G44" s="2"/>
      <c r="H44" s="2">
        <v>100</v>
      </c>
      <c r="I44" s="2">
        <v>100</v>
      </c>
      <c r="J44" s="2">
        <v>100</v>
      </c>
      <c r="K44" s="2">
        <v>100</v>
      </c>
      <c r="L44" s="2">
        <v>100</v>
      </c>
      <c r="M44" s="2">
        <v>100</v>
      </c>
      <c r="N44" s="2">
        <v>100</v>
      </c>
      <c r="O44" s="2">
        <v>100</v>
      </c>
      <c r="P44" s="9"/>
      <c r="Q44" s="2">
        <f>SUM(OSRRefD21_4_0x)+IFERROR(SUM(OSRRefE21_4_0x),0)</f>
        <v>800</v>
      </c>
    </row>
    <row r="45" spans="1:17" s="34" customFormat="1" hidden="1" outlineLevel="1" x14ac:dyDescent="0.25">
      <c r="A45" s="35"/>
      <c r="B45" s="13" t="str">
        <f>CONCATENATE("          ","6235", " - ","COVID-19 EXPENSES")</f>
        <v xml:space="preserve">          6235 - COVID-19 EXPENSES</v>
      </c>
      <c r="C45" s="15"/>
      <c r="D45" s="2">
        <v>4939.2</v>
      </c>
      <c r="E45" s="2"/>
      <c r="F45" s="2"/>
      <c r="G45" s="2"/>
      <c r="H45" s="2">
        <v>200</v>
      </c>
      <c r="I45" s="2">
        <v>200</v>
      </c>
      <c r="J45" s="2">
        <v>200</v>
      </c>
      <c r="K45" s="2">
        <v>200</v>
      </c>
      <c r="L45" s="2">
        <v>200</v>
      </c>
      <c r="M45" s="2">
        <v>200</v>
      </c>
      <c r="N45" s="2">
        <v>200</v>
      </c>
      <c r="O45" s="2">
        <v>200</v>
      </c>
      <c r="P45" s="9"/>
      <c r="Q45" s="2">
        <f>SUM(OSRRefD21_4_1x)+IFERROR(SUM(OSRRefE21_4_1x),0)</f>
        <v>6539.2</v>
      </c>
    </row>
    <row r="46" spans="1:17" s="34" customFormat="1" hidden="1" outlineLevel="1" x14ac:dyDescent="0.25">
      <c r="A46" s="35"/>
      <c r="B46" s="13" t="str">
        <f>CONCATENATE("          ","6241", " - ","OFFICE EXPENSE")</f>
        <v xml:space="preserve">          6241 - OFFICE EXPENSE</v>
      </c>
      <c r="C46" s="15"/>
      <c r="D46" s="2"/>
      <c r="E46" s="2"/>
      <c r="F46" s="2"/>
      <c r="G46" s="2"/>
      <c r="H46" s="2">
        <v>100</v>
      </c>
      <c r="I46" s="2">
        <v>100</v>
      </c>
      <c r="J46" s="2">
        <v>100</v>
      </c>
      <c r="K46" s="2">
        <v>100</v>
      </c>
      <c r="L46" s="2">
        <v>100</v>
      </c>
      <c r="M46" s="2">
        <v>100</v>
      </c>
      <c r="N46" s="2">
        <v>100</v>
      </c>
      <c r="O46" s="2">
        <v>100</v>
      </c>
      <c r="P46" s="9"/>
      <c r="Q46" s="2">
        <f>SUM(OSRRefD21_4_2x)+IFERROR(SUM(OSRRefE21_4_2x),0)</f>
        <v>800</v>
      </c>
    </row>
    <row r="47" spans="1:17" s="34" customFormat="1" collapsed="1" x14ac:dyDescent="0.25">
      <c r="A47" s="35"/>
      <c r="B47" s="15" t="str">
        <f>CONCATENATE("     ","Telephone/Data Lines                              ")</f>
        <v xml:space="preserve">     Telephone/Data Lines                              </v>
      </c>
      <c r="C47" s="15"/>
      <c r="D47" s="1">
        <f>SUM(OSRRefD21_5x_0)</f>
        <v>50</v>
      </c>
      <c r="E47" s="1">
        <f>SUM(OSRRefD21_5x_1)</f>
        <v>50</v>
      </c>
      <c r="F47" s="1">
        <f>SUM(OSRRefD21_5x_2)</f>
        <v>150</v>
      </c>
      <c r="G47" s="1">
        <f>SUM(OSRRefD21_5x_3)</f>
        <v>50</v>
      </c>
      <c r="H47" s="1">
        <f>SUM(OSRRefE21_5x_0)</f>
        <v>100</v>
      </c>
      <c r="I47" s="1">
        <f>SUM(OSRRefE21_5x_1)</f>
        <v>100</v>
      </c>
      <c r="J47" s="1">
        <f>SUM(OSRRefE21_5x_2)</f>
        <v>100</v>
      </c>
      <c r="K47" s="1">
        <f>SUM(OSRRefE21_5x_3)</f>
        <v>100</v>
      </c>
      <c r="L47" s="1">
        <f>SUM(OSRRefE21_5x_4)</f>
        <v>100</v>
      </c>
      <c r="M47" s="1">
        <f>SUM(OSRRefE21_5x_5)</f>
        <v>100</v>
      </c>
      <c r="N47" s="1">
        <f>SUM(OSRRefE21_5x_6)</f>
        <v>100</v>
      </c>
      <c r="O47" s="1">
        <f>SUM(OSRRefE21_5x_7)</f>
        <v>100</v>
      </c>
      <c r="Q47" s="2">
        <f>SUM(OSRRefD20_5x)+IFERROR(SUM(OSRRefE20_5x),0)</f>
        <v>1100</v>
      </c>
    </row>
    <row r="48" spans="1:17" s="34" customFormat="1" hidden="1" outlineLevel="1" x14ac:dyDescent="0.25">
      <c r="A48" s="35"/>
      <c r="B48" s="13" t="str">
        <f>CONCATENATE("          ","6303", " - ","DATA PHONE LINES")</f>
        <v xml:space="preserve">          6303 - DATA PHONE LINES</v>
      </c>
      <c r="C48" s="15"/>
      <c r="D48" s="2"/>
      <c r="E48" s="2"/>
      <c r="F48" s="2"/>
      <c r="G48" s="2"/>
      <c r="H48" s="2">
        <v>50</v>
      </c>
      <c r="I48" s="2">
        <v>50</v>
      </c>
      <c r="J48" s="2">
        <v>50</v>
      </c>
      <c r="K48" s="2">
        <v>50</v>
      </c>
      <c r="L48" s="2">
        <v>50</v>
      </c>
      <c r="M48" s="2">
        <v>50</v>
      </c>
      <c r="N48" s="2">
        <v>50</v>
      </c>
      <c r="O48" s="2">
        <v>50</v>
      </c>
      <c r="P48" s="9"/>
      <c r="Q48" s="2">
        <f>SUM(OSRRefD21_5_0x)+IFERROR(SUM(OSRRefE21_5_0x),0)</f>
        <v>400</v>
      </c>
    </row>
    <row r="49" spans="1:17" s="34" customFormat="1" hidden="1" outlineLevel="1" x14ac:dyDescent="0.25">
      <c r="A49" s="35"/>
      <c r="B49" s="13" t="str">
        <f>CONCATENATE("          ","6309", " - ","TELEPHONE")</f>
        <v xml:space="preserve">          6309 - TELEPHONE</v>
      </c>
      <c r="C49" s="15"/>
      <c r="D49" s="2">
        <v>50</v>
      </c>
      <c r="E49" s="2">
        <v>50</v>
      </c>
      <c r="F49" s="2">
        <v>150</v>
      </c>
      <c r="G49" s="2">
        <v>50</v>
      </c>
      <c r="H49" s="2">
        <v>50</v>
      </c>
      <c r="I49" s="2">
        <v>50</v>
      </c>
      <c r="J49" s="2">
        <v>50</v>
      </c>
      <c r="K49" s="2">
        <v>50</v>
      </c>
      <c r="L49" s="2">
        <v>50</v>
      </c>
      <c r="M49" s="2">
        <v>50</v>
      </c>
      <c r="N49" s="2">
        <v>50</v>
      </c>
      <c r="O49" s="2">
        <v>50</v>
      </c>
      <c r="P49" s="9"/>
      <c r="Q49" s="2">
        <f>SUM(OSRRefD21_5_1x)+IFERROR(SUM(OSRRefE21_5_1x),0)</f>
        <v>700</v>
      </c>
    </row>
    <row r="50" spans="1:17" s="34" customFormat="1" collapsed="1" x14ac:dyDescent="0.25">
      <c r="A50" s="35"/>
      <c r="B50" s="15" t="str">
        <f>CONCATENATE("     ","Training                                          ")</f>
        <v xml:space="preserve">     Training                                          </v>
      </c>
      <c r="C50" s="15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SUM(OSRRefE21_6x_0)</f>
        <v>200</v>
      </c>
      <c r="I50" s="1">
        <f>SUM(OSRRefE21_6x_1)</f>
        <v>200</v>
      </c>
      <c r="J50" s="1">
        <f>SUM(OSRRefE21_6x_2)</f>
        <v>200</v>
      </c>
      <c r="K50" s="1">
        <f>SUM(OSRRefE21_6x_3)</f>
        <v>200</v>
      </c>
      <c r="L50" s="1">
        <f>SUM(OSRRefE21_6x_4)</f>
        <v>200</v>
      </c>
      <c r="M50" s="1">
        <f>SUM(OSRRefE21_6x_5)</f>
        <v>200</v>
      </c>
      <c r="N50" s="1">
        <f>SUM(OSRRefE21_6x_6)</f>
        <v>200</v>
      </c>
      <c r="O50" s="1">
        <f>SUM(OSRRefE21_6x_7)</f>
        <v>200</v>
      </c>
      <c r="Q50" s="2">
        <f>SUM(OSRRefD20_6x)+IFERROR(SUM(OSRRefE20_6x),0)</f>
        <v>1600</v>
      </c>
    </row>
    <row r="51" spans="1:17" s="34" customFormat="1" hidden="1" outlineLevel="1" x14ac:dyDescent="0.25">
      <c r="A51" s="35"/>
      <c r="B51" s="13" t="str">
        <f>CONCATENATE("          ","6376", " - ","TRAINING")</f>
        <v xml:space="preserve">          6376 - TRAINING</v>
      </c>
      <c r="C51" s="15"/>
      <c r="D51" s="2"/>
      <c r="E51" s="2"/>
      <c r="F51" s="2"/>
      <c r="G51" s="2"/>
      <c r="H51" s="2">
        <v>200</v>
      </c>
      <c r="I51" s="2">
        <v>200</v>
      </c>
      <c r="J51" s="2">
        <v>200</v>
      </c>
      <c r="K51" s="2">
        <v>200</v>
      </c>
      <c r="L51" s="2">
        <v>200</v>
      </c>
      <c r="M51" s="2">
        <v>200</v>
      </c>
      <c r="N51" s="2">
        <v>200</v>
      </c>
      <c r="O51" s="2">
        <v>200</v>
      </c>
      <c r="P51" s="9"/>
      <c r="Q51" s="2">
        <f>SUM(OSRRefD21_6_0x)+IFERROR(SUM(OSRRefE21_6_0x),0)</f>
        <v>1600</v>
      </c>
    </row>
    <row r="52" spans="1:17" s="34" customFormat="1" collapsed="1" x14ac:dyDescent="0.25">
      <c r="A52" s="35"/>
      <c r="B52" s="15" t="str">
        <f>CONCATENATE("     ","Travel                                            ")</f>
        <v xml:space="preserve">     Travel                                            </v>
      </c>
      <c r="C52" s="15"/>
      <c r="D52" s="1">
        <f>SUM(OSRRefD21_7x_0)</f>
        <v>0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SUM(OSRRefE21_7x_0)</f>
        <v>300</v>
      </c>
      <c r="I52" s="1">
        <f>SUM(OSRRefE21_7x_1)</f>
        <v>300</v>
      </c>
      <c r="J52" s="1">
        <f>SUM(OSRRefE21_7x_2)</f>
        <v>300</v>
      </c>
      <c r="K52" s="1">
        <f>SUM(OSRRefE21_7x_3)</f>
        <v>300</v>
      </c>
      <c r="L52" s="1">
        <f>SUM(OSRRefE21_7x_4)</f>
        <v>300</v>
      </c>
      <c r="M52" s="1">
        <f>SUM(OSRRefE21_7x_5)</f>
        <v>300</v>
      </c>
      <c r="N52" s="1">
        <f>SUM(OSRRefE21_7x_6)</f>
        <v>300</v>
      </c>
      <c r="O52" s="1">
        <f>SUM(OSRRefE21_7x_7)</f>
        <v>300</v>
      </c>
      <c r="Q52" s="2">
        <f>SUM(OSRRefD20_7x)+IFERROR(SUM(OSRRefE20_7x),0)</f>
        <v>2400</v>
      </c>
    </row>
    <row r="53" spans="1:17" s="34" customFormat="1" hidden="1" outlineLevel="1" x14ac:dyDescent="0.25">
      <c r="A53" s="35"/>
      <c r="B53" s="13" t="str">
        <f>CONCATENATE("          ","6292", " - ","TRAVEL/CONFERENCE")</f>
        <v xml:space="preserve">          6292 - TRAVEL/CONFERENCE</v>
      </c>
      <c r="C53" s="15"/>
      <c r="D53" s="2"/>
      <c r="E53" s="2"/>
      <c r="F53" s="2"/>
      <c r="G53" s="2"/>
      <c r="H53" s="2">
        <v>300</v>
      </c>
      <c r="I53" s="2">
        <v>300</v>
      </c>
      <c r="J53" s="2">
        <v>300</v>
      </c>
      <c r="K53" s="2">
        <v>300</v>
      </c>
      <c r="L53" s="2">
        <v>300</v>
      </c>
      <c r="M53" s="2">
        <v>300</v>
      </c>
      <c r="N53" s="2">
        <v>300</v>
      </c>
      <c r="O53" s="2">
        <v>300</v>
      </c>
      <c r="P53" s="9"/>
      <c r="Q53" s="2">
        <f>SUM(OSRRefD21_7_0x)+IFERROR(SUM(OSRRefE21_7_0x),0)</f>
        <v>2400</v>
      </c>
    </row>
    <row r="54" spans="1:17" s="28" customFormat="1" x14ac:dyDescent="0.25">
      <c r="A54" s="20"/>
      <c r="B54" s="20"/>
      <c r="C54" s="20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9" customFormat="1" x14ac:dyDescent="0.25">
      <c r="A55" s="22"/>
      <c r="B55" s="16" t="s">
        <v>0</v>
      </c>
      <c r="C55" s="23"/>
      <c r="D55" s="3">
        <f t="shared" ref="D55:G55" si="4">0</f>
        <v>0</v>
      </c>
      <c r="E55" s="3">
        <f t="shared" si="4"/>
        <v>0</v>
      </c>
      <c r="F55" s="3">
        <f t="shared" si="4"/>
        <v>0</v>
      </c>
      <c r="G55" s="3">
        <f t="shared" si="4"/>
        <v>0</v>
      </c>
      <c r="H55" s="3"/>
      <c r="I55" s="3"/>
      <c r="J55" s="3"/>
      <c r="K55" s="3"/>
      <c r="L55" s="3"/>
      <c r="M55" s="3"/>
      <c r="N55" s="3"/>
      <c r="O55" s="3"/>
      <c r="Q55" s="2">
        <f>SUM(OSRRefD23_0x)+IFERROR(SUM(OSRRefE23_0x),0)</f>
        <v>0</v>
      </c>
    </row>
    <row r="56" spans="1:17" x14ac:dyDescent="0.25">
      <c r="A56" s="5"/>
      <c r="B56" s="8"/>
      <c r="C56" s="8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4" customFormat="1" x14ac:dyDescent="0.25">
      <c r="A57" s="8"/>
      <c r="B57" s="17" t="s">
        <v>3</v>
      </c>
      <c r="C57" s="17"/>
      <c r="D57" s="6">
        <f t="shared" ref="D57:O57" si="5">IFERROR(+D14-D17+D55, 0)</f>
        <v>-21521.99</v>
      </c>
      <c r="E57" s="6">
        <f t="shared" si="5"/>
        <v>-10800.34</v>
      </c>
      <c r="F57" s="6">
        <f t="shared" si="5"/>
        <v>-14907.630000000001</v>
      </c>
      <c r="G57" s="6">
        <f t="shared" si="5"/>
        <v>-18225.39</v>
      </c>
      <c r="H57" s="6">
        <f t="shared" si="5"/>
        <v>-13801.532740000001</v>
      </c>
      <c r="I57" s="6">
        <f t="shared" si="5"/>
        <v>-13801.532740000001</v>
      </c>
      <c r="J57" s="6">
        <f t="shared" si="5"/>
        <v>-16506.915925000001</v>
      </c>
      <c r="K57" s="6">
        <f t="shared" si="5"/>
        <v>-54046.532740000002</v>
      </c>
      <c r="L57" s="6">
        <f t="shared" si="5"/>
        <v>-13801.532740000001</v>
      </c>
      <c r="M57" s="6">
        <f t="shared" si="5"/>
        <v>-16506.915925000001</v>
      </c>
      <c r="N57" s="6">
        <f t="shared" si="5"/>
        <v>-13801.532740000001</v>
      </c>
      <c r="O57" s="6">
        <f t="shared" si="5"/>
        <v>-13801.532740000001</v>
      </c>
      <c r="Q57" s="6">
        <f>IFERROR(+Q14-Q17+Q55, 0)</f>
        <v>-221523.37829000002</v>
      </c>
    </row>
    <row r="58" spans="1:17" s="8" customFormat="1" x14ac:dyDescent="0.25">
      <c r="B58" s="16"/>
      <c r="C58" s="16"/>
      <c r="D58" s="4">
        <f t="shared" ref="D58:O58" si="6">IFERROR(D57/D10, 0)</f>
        <v>0</v>
      </c>
      <c r="E58" s="4">
        <f t="shared" si="6"/>
        <v>0</v>
      </c>
      <c r="F58" s="4">
        <f t="shared" si="6"/>
        <v>0</v>
      </c>
      <c r="G58" s="4">
        <f t="shared" si="6"/>
        <v>0</v>
      </c>
      <c r="H58" s="4">
        <f t="shared" si="6"/>
        <v>0</v>
      </c>
      <c r="I58" s="4">
        <f t="shared" si="6"/>
        <v>0</v>
      </c>
      <c r="J58" s="4">
        <f t="shared" si="6"/>
        <v>0</v>
      </c>
      <c r="K58" s="4">
        <f t="shared" si="6"/>
        <v>0</v>
      </c>
      <c r="L58" s="4">
        <f t="shared" si="6"/>
        <v>0</v>
      </c>
      <c r="M58" s="4">
        <f t="shared" si="6"/>
        <v>0</v>
      </c>
      <c r="N58" s="4">
        <f t="shared" si="6"/>
        <v>0</v>
      </c>
      <c r="O58" s="4">
        <f t="shared" si="6"/>
        <v>0</v>
      </c>
      <c r="P58" s="18"/>
      <c r="Q58" s="4">
        <f>IFERROR(Q57/Q10, 0)</f>
        <v>0</v>
      </c>
    </row>
    <row r="59" spans="1:17" x14ac:dyDescent="0.25">
      <c r="A59" s="5"/>
      <c r="B59" s="8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4" customFormat="1" x14ac:dyDescent="0.25">
      <c r="A60" s="25"/>
      <c r="B60" s="8" t="s">
        <v>8</v>
      </c>
      <c r="C60" s="8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2">
        <f>SUM(OSRRefD28_0x)+IFERROR(SUM(OSRRefE28_0x),0)</f>
        <v>0</v>
      </c>
    </row>
    <row r="61" spans="1:17" x14ac:dyDescent="0.25">
      <c r="A61" s="5"/>
      <c r="B61" s="8"/>
      <c r="C61" s="8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4" customFormat="1" ht="15.75" thickBot="1" x14ac:dyDescent="0.3">
      <c r="A62" s="8"/>
      <c r="B62" s="17" t="s">
        <v>4</v>
      </c>
      <c r="C62" s="17"/>
      <c r="D62" s="7">
        <f t="shared" ref="D62:O62" si="7">IFERROR(+D57-D60, 0)</f>
        <v>-21521.99</v>
      </c>
      <c r="E62" s="7">
        <f t="shared" si="7"/>
        <v>-10800.34</v>
      </c>
      <c r="F62" s="7">
        <f t="shared" si="7"/>
        <v>-14907.630000000001</v>
      </c>
      <c r="G62" s="7">
        <f t="shared" si="7"/>
        <v>-18225.39</v>
      </c>
      <c r="H62" s="7">
        <f t="shared" si="7"/>
        <v>-13801.532740000001</v>
      </c>
      <c r="I62" s="7">
        <f t="shared" si="7"/>
        <v>-13801.532740000001</v>
      </c>
      <c r="J62" s="7">
        <f t="shared" si="7"/>
        <v>-16506.915925000001</v>
      </c>
      <c r="K62" s="7">
        <f t="shared" si="7"/>
        <v>-54046.532740000002</v>
      </c>
      <c r="L62" s="7">
        <f t="shared" si="7"/>
        <v>-13801.532740000001</v>
      </c>
      <c r="M62" s="7">
        <f t="shared" si="7"/>
        <v>-16506.915925000001</v>
      </c>
      <c r="N62" s="7">
        <f t="shared" si="7"/>
        <v>-13801.532740000001</v>
      </c>
      <c r="O62" s="7">
        <f t="shared" si="7"/>
        <v>-13801.532740000001</v>
      </c>
      <c r="Q62" s="7">
        <f>IFERROR(+Q57-Q60, 0)</f>
        <v>-221523.37829000002</v>
      </c>
    </row>
    <row r="63" spans="1:17" ht="15.75" thickTop="1" x14ac:dyDescent="0.25">
      <c r="A63" s="5"/>
      <c r="B63" s="5"/>
      <c r="C63" s="5"/>
      <c r="D63" s="4">
        <f t="shared" ref="D63:O63" si="8">IFERROR(D62/D10, 0)</f>
        <v>0</v>
      </c>
      <c r="E63" s="4">
        <f t="shared" si="8"/>
        <v>0</v>
      </c>
      <c r="F63" s="4">
        <f t="shared" si="8"/>
        <v>0</v>
      </c>
      <c r="G63" s="4">
        <f t="shared" si="8"/>
        <v>0</v>
      </c>
      <c r="H63" s="4">
        <f t="shared" si="8"/>
        <v>0</v>
      </c>
      <c r="I63" s="4">
        <f t="shared" si="8"/>
        <v>0</v>
      </c>
      <c r="J63" s="4">
        <f t="shared" si="8"/>
        <v>0</v>
      </c>
      <c r="K63" s="4">
        <f t="shared" si="8"/>
        <v>0</v>
      </c>
      <c r="L63" s="4">
        <f t="shared" si="8"/>
        <v>0</v>
      </c>
      <c r="M63" s="4">
        <f t="shared" si="8"/>
        <v>0</v>
      </c>
      <c r="N63" s="4">
        <f t="shared" si="8"/>
        <v>0</v>
      </c>
      <c r="O63" s="4">
        <f t="shared" si="8"/>
        <v>0</v>
      </c>
      <c r="P63" s="18"/>
      <c r="Q63" s="4">
        <f>IFERROR(Q62/Q10, 0)</f>
        <v>0</v>
      </c>
    </row>
    <row r="64" spans="1:17" x14ac:dyDescent="0.25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x14ac:dyDescent="0.25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4" customFormat="1" ht="15.75" thickBot="1" x14ac:dyDescent="0.3">
      <c r="A66" s="8"/>
      <c r="B66" s="17" t="s">
        <v>5</v>
      </c>
      <c r="C66" s="17"/>
      <c r="D66" s="7">
        <f t="shared" ref="D66:O66" si="9">IFERROR(SUM(D62:D65), 0)</f>
        <v>-21521.99</v>
      </c>
      <c r="E66" s="7">
        <f t="shared" si="9"/>
        <v>-10800.34</v>
      </c>
      <c r="F66" s="7">
        <f t="shared" si="9"/>
        <v>-14907.630000000001</v>
      </c>
      <c r="G66" s="7">
        <f t="shared" si="9"/>
        <v>-18225.39</v>
      </c>
      <c r="H66" s="7">
        <f t="shared" si="9"/>
        <v>-13801.532740000001</v>
      </c>
      <c r="I66" s="7">
        <f t="shared" si="9"/>
        <v>-13801.532740000001</v>
      </c>
      <c r="J66" s="7">
        <f t="shared" si="9"/>
        <v>-16506.915925000001</v>
      </c>
      <c r="K66" s="7">
        <f t="shared" si="9"/>
        <v>-54046.532740000002</v>
      </c>
      <c r="L66" s="7">
        <f t="shared" si="9"/>
        <v>-13801.532740000001</v>
      </c>
      <c r="M66" s="7">
        <f t="shared" si="9"/>
        <v>-16506.915925000001</v>
      </c>
      <c r="N66" s="7">
        <f t="shared" si="9"/>
        <v>-13801.532740000001</v>
      </c>
      <c r="O66" s="7">
        <f t="shared" si="9"/>
        <v>-13801.532740000001</v>
      </c>
      <c r="Q66" s="7">
        <f>IFERROR(SUM(Q62:Q65), 0)</f>
        <v>-221523.37829000002</v>
      </c>
    </row>
    <row r="67" spans="1:17" ht="15.75" thickTop="1" x14ac:dyDescent="0.25">
      <c r="A67" s="5"/>
      <c r="C67" s="5"/>
      <c r="D67" s="4">
        <f t="shared" ref="D67:O67" si="10">IFERROR(D66/D10, 0)</f>
        <v>0</v>
      </c>
      <c r="E67" s="4">
        <f t="shared" si="10"/>
        <v>0</v>
      </c>
      <c r="F67" s="4">
        <f t="shared" si="10"/>
        <v>0</v>
      </c>
      <c r="G67" s="4">
        <f t="shared" si="10"/>
        <v>0</v>
      </c>
      <c r="H67" s="4">
        <f t="shared" si="10"/>
        <v>0</v>
      </c>
      <c r="I67" s="4">
        <f t="shared" si="10"/>
        <v>0</v>
      </c>
      <c r="J67" s="4">
        <f t="shared" si="10"/>
        <v>0</v>
      </c>
      <c r="K67" s="4">
        <f t="shared" si="10"/>
        <v>0</v>
      </c>
      <c r="L67" s="4">
        <f t="shared" si="10"/>
        <v>0</v>
      </c>
      <c r="M67" s="4">
        <f t="shared" si="10"/>
        <v>0</v>
      </c>
      <c r="N67" s="4">
        <f t="shared" si="10"/>
        <v>0</v>
      </c>
      <c r="O67" s="4">
        <f t="shared" si="10"/>
        <v>0</v>
      </c>
      <c r="P67" s="18"/>
      <c r="Q67" s="4">
        <f>IFERROR(Q66/Q10, 0)</f>
        <v>0</v>
      </c>
    </row>
    <row r="68" spans="1:17" x14ac:dyDescent="0.25">
      <c r="A68" s="5"/>
      <c r="B68" s="26">
        <v>44151.565069675926</v>
      </c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Q68" s="12"/>
    </row>
    <row r="69" spans="1:17" x14ac:dyDescent="0.25">
      <c r="A69" s="5"/>
      <c r="B69" s="30" t="s">
        <v>311</v>
      </c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Q69" s="12"/>
    </row>
    <row r="70" spans="1:17" x14ac:dyDescent="0.25">
      <c r="A70" s="5"/>
      <c r="B70" s="31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Q70" s="12"/>
    </row>
    <row r="71" spans="1:17" x14ac:dyDescent="0.25"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Q7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","433", " - ", "Hillside Dining Hall")</f>
        <v>Department 433 - Hillside Dining Hall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19327.919999999998</v>
      </c>
      <c r="E10" s="3">
        <f>SUM(OSRRefD11x_1)</f>
        <v>3157</v>
      </c>
      <c r="F10" s="3">
        <f>SUM(OSRRefD11x_2)</f>
        <v>25410.25</v>
      </c>
      <c r="G10" s="3">
        <f>SUM(OSRRefD11x_3)</f>
        <v>-24093.05</v>
      </c>
      <c r="H10" s="3">
        <f>SUM(OSRRefE11x_0)</f>
        <v>0</v>
      </c>
      <c r="I10" s="3">
        <f>SUM(OSRRefE11x_1)</f>
        <v>0</v>
      </c>
      <c r="J10" s="3">
        <f>SUM(OSRRefE11x_2)</f>
        <v>0</v>
      </c>
      <c r="K10" s="3">
        <f>SUM(OSRRefE11x_3)</f>
        <v>0</v>
      </c>
      <c r="L10" s="3">
        <f>SUM(OSRRefE11x_4)</f>
        <v>0</v>
      </c>
      <c r="M10" s="3">
        <f>SUM(OSRRefE11x_5)</f>
        <v>0</v>
      </c>
      <c r="N10" s="3">
        <f>SUM(OSRRefE11x_6)</f>
        <v>0</v>
      </c>
      <c r="O10" s="3">
        <f>SUM(OSRRefE11x_7)</f>
        <v>0</v>
      </c>
      <c r="P10" s="24"/>
      <c r="Q10" s="3">
        <f>SUM(OSRRefG11x)</f>
        <v>23802.120000000003</v>
      </c>
      <c r="R10" s="24"/>
    </row>
    <row r="11" spans="1:18" s="9" customFormat="1" hidden="1" outlineLevel="1" x14ac:dyDescent="0.25">
      <c r="A11" s="22"/>
      <c r="B11" s="13" t="str">
        <f>CONCATENATE("          ","4053", " - ","TAXABLE SALES-FOOD")</f>
        <v xml:space="preserve">          4053 - TAXABLE SALES-FOOD</v>
      </c>
      <c r="C11" s="23"/>
      <c r="D11" s="2">
        <f>--199.89</f>
        <v>199.89</v>
      </c>
      <c r="E11" s="2">
        <f>--17.76</f>
        <v>17.760000000000002</v>
      </c>
      <c r="F11" s="2">
        <f t="shared" ref="F11:G12" si="0">0</f>
        <v>0</v>
      </c>
      <c r="G11" s="2">
        <f t="shared" si="0"/>
        <v>0</v>
      </c>
      <c r="H11" s="2"/>
      <c r="I11" s="2"/>
      <c r="J11" s="2"/>
      <c r="K11" s="2"/>
      <c r="L11" s="2"/>
      <c r="M11" s="2"/>
      <c r="N11" s="2"/>
      <c r="O11" s="2"/>
      <c r="Q11" s="2">
        <f>SUM(OSRRefD11_0x)+IFERROR(SUM(OSRRefE11_0x),0)</f>
        <v>217.64999999999998</v>
      </c>
    </row>
    <row r="12" spans="1:18" s="9" customFormat="1" hidden="1" outlineLevel="1" x14ac:dyDescent="0.2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 t="shared" ref="D12:E12" si="1">0</f>
        <v>0</v>
      </c>
      <c r="E12" s="2">
        <f t="shared" si="1"/>
        <v>0</v>
      </c>
      <c r="F12" s="2">
        <f t="shared" si="0"/>
        <v>0</v>
      </c>
      <c r="G12" s="2">
        <f t="shared" si="0"/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Q12" s="2">
        <f>SUM(OSRRefD11_1x)+IFERROR(SUM(OSRRefE11_1x),0)</f>
        <v>0</v>
      </c>
    </row>
    <row r="13" spans="1:18" s="9" customFormat="1" hidden="1" outlineLevel="1" x14ac:dyDescent="0.25">
      <c r="A13" s="22"/>
      <c r="B13" s="13" t="str">
        <f>CONCATENATE("          ","4151", " - ","NON-TAXABLE SALES-FOOD")</f>
        <v xml:space="preserve">          4151 - NON-TAXABLE SALES-FOOD</v>
      </c>
      <c r="C13" s="23"/>
      <c r="D13" s="2">
        <f>--1300</f>
        <v>1300</v>
      </c>
      <c r="E13" s="2">
        <f>--1800</f>
        <v>1800</v>
      </c>
      <c r="F13" s="2">
        <f>--25090.25</f>
        <v>25090.25</v>
      </c>
      <c r="G13" s="2">
        <f>-12094.25</f>
        <v>-12094.25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16096</v>
      </c>
    </row>
    <row r="14" spans="1:18" s="9" customFormat="1" hidden="1" outlineLevel="1" x14ac:dyDescent="0.25">
      <c r="A14" s="22"/>
      <c r="B14" s="13" t="str">
        <f>CONCATENATE("          ","4153", " - ","NON-TAXABLE SALES-FOOD")</f>
        <v xml:space="preserve">          4153 - NON-TAXABLE SALES-FOOD</v>
      </c>
      <c r="C14" s="23"/>
      <c r="D14" s="2">
        <f>--17828.03</f>
        <v>17828.03</v>
      </c>
      <c r="E14" s="2">
        <f>--1339.24</f>
        <v>1339.24</v>
      </c>
      <c r="F14" s="2">
        <f>--320</f>
        <v>320</v>
      </c>
      <c r="G14" s="2">
        <f>-11998.8</f>
        <v>-11998.8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7488.4700000000012</v>
      </c>
    </row>
    <row r="15" spans="1:18" x14ac:dyDescent="0.2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290</v>
      </c>
      <c r="C16" s="23"/>
      <c r="D16" s="3">
        <f>SUM(OSRRefD14x_0)</f>
        <v>11689.62</v>
      </c>
      <c r="E16" s="3">
        <f>SUM(OSRRefD14x_1)</f>
        <v>13427.3</v>
      </c>
      <c r="F16" s="3">
        <f>SUM(OSRRefD14x_2)</f>
        <v>0</v>
      </c>
      <c r="G16" s="3">
        <f>SUM(OSRRefD14x_3)</f>
        <v>206</v>
      </c>
      <c r="H16" s="3">
        <f>SUM(OSRRefE14x_0)</f>
        <v>0</v>
      </c>
      <c r="I16" s="3">
        <f>SUM(OSRRefE14x_1)</f>
        <v>0</v>
      </c>
      <c r="J16" s="3">
        <f>SUM(OSRRefE14x_2)</f>
        <v>0</v>
      </c>
      <c r="K16" s="3">
        <f>SUM(OSRRefE14x_3)</f>
        <v>0</v>
      </c>
      <c r="L16" s="3">
        <f>SUM(OSRRefE14x_4)</f>
        <v>0</v>
      </c>
      <c r="M16" s="3">
        <f>SUM(OSRRefE14x_5)</f>
        <v>0</v>
      </c>
      <c r="N16" s="3">
        <f>SUM(OSRRefE14x_6)</f>
        <v>0</v>
      </c>
      <c r="O16" s="3">
        <f>SUM(OSRRefE14x_7)</f>
        <v>0</v>
      </c>
      <c r="Q16" s="3">
        <f>SUM(OSRRefG14x)</f>
        <v>25322.920000000002</v>
      </c>
    </row>
    <row r="17" spans="1:17" s="9" customFormat="1" hidden="1" outlineLevel="1" x14ac:dyDescent="0.25">
      <c r="A17" s="22"/>
      <c r="B17" s="13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Q17" s="2">
        <f>SUM(OSRRefD14_0x)+IFERROR(SUM(OSRRefE14_0x),0)</f>
        <v>0</v>
      </c>
    </row>
    <row r="18" spans="1:17" s="9" customFormat="1" hidden="1" outlineLevel="1" x14ac:dyDescent="0.25">
      <c r="A18" s="22"/>
      <c r="B18" s="13" t="str">
        <f>CONCATENATE("          ","5053", " - ","PURCHASES @ COST-FOOD")</f>
        <v xml:space="preserve">          5053 - PURCHASES @ COST-FOOD</v>
      </c>
      <c r="C18" s="23"/>
      <c r="D18" s="2">
        <v>8280.6200000000008</v>
      </c>
      <c r="E18" s="2">
        <v>5924.3</v>
      </c>
      <c r="F18" s="2"/>
      <c r="G18" s="2">
        <v>206</v>
      </c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14410.920000000002</v>
      </c>
    </row>
    <row r="19" spans="1:17" s="9" customFormat="1" hidden="1" outlineLevel="1" x14ac:dyDescent="0.25">
      <c r="A19" s="22"/>
      <c r="B19" s="13" t="str">
        <f>CONCATENATE("          ","5059", " - ","PURCHASES @ COST-FOOD")</f>
        <v xml:space="preserve">          5059 - PURCHASES @ COST-FOOD</v>
      </c>
      <c r="C19" s="23"/>
      <c r="D19" s="2">
        <v>3409</v>
      </c>
      <c r="E19" s="2">
        <v>7503</v>
      </c>
      <c r="F19" s="2"/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10912</v>
      </c>
    </row>
    <row r="20" spans="1:17" x14ac:dyDescent="0.2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25">
      <c r="A21" s="8"/>
      <c r="B21" s="17" t="s">
        <v>6</v>
      </c>
      <c r="C21" s="17"/>
      <c r="D21" s="6">
        <f t="shared" ref="D21:O21" si="2">IFERROR(+D10-D16, 0)</f>
        <v>7638.2999999999975</v>
      </c>
      <c r="E21" s="6">
        <f t="shared" si="2"/>
        <v>-10270.299999999999</v>
      </c>
      <c r="F21" s="6">
        <f t="shared" si="2"/>
        <v>25410.25</v>
      </c>
      <c r="G21" s="6">
        <f t="shared" si="2"/>
        <v>-24299.05</v>
      </c>
      <c r="H21" s="6">
        <f t="shared" si="2"/>
        <v>0</v>
      </c>
      <c r="I21" s="6">
        <f t="shared" si="2"/>
        <v>0</v>
      </c>
      <c r="J21" s="6">
        <f t="shared" si="2"/>
        <v>0</v>
      </c>
      <c r="K21" s="6">
        <f t="shared" si="2"/>
        <v>0</v>
      </c>
      <c r="L21" s="6">
        <f t="shared" si="2"/>
        <v>0</v>
      </c>
      <c r="M21" s="6">
        <f t="shared" si="2"/>
        <v>0</v>
      </c>
      <c r="N21" s="6">
        <f t="shared" si="2"/>
        <v>0</v>
      </c>
      <c r="O21" s="6">
        <f t="shared" si="2"/>
        <v>0</v>
      </c>
      <c r="Q21" s="6">
        <f>IFERROR(+Q10-Q16, 0)</f>
        <v>-1520.7999999999993</v>
      </c>
    </row>
    <row r="22" spans="1:17" s="8" customFormat="1" x14ac:dyDescent="0.25">
      <c r="B22" s="16"/>
      <c r="C22" s="16"/>
      <c r="D22" s="4">
        <f t="shared" ref="D22:O22" si="3">IFERROR(D21/D10, 0)</f>
        <v>0.39519513739709178</v>
      </c>
      <c r="E22" s="4">
        <f t="shared" si="3"/>
        <v>-3.2531834019638897</v>
      </c>
      <c r="F22" s="4">
        <f t="shared" si="3"/>
        <v>1</v>
      </c>
      <c r="G22" s="4">
        <f t="shared" si="3"/>
        <v>1.0085501835591593</v>
      </c>
      <c r="H22" s="4">
        <f t="shared" si="3"/>
        <v>0</v>
      </c>
      <c r="I22" s="4">
        <f t="shared" si="3"/>
        <v>0</v>
      </c>
      <c r="J22" s="4">
        <f t="shared" si="3"/>
        <v>0</v>
      </c>
      <c r="K22" s="4">
        <f t="shared" si="3"/>
        <v>0</v>
      </c>
      <c r="L22" s="4">
        <f t="shared" si="3"/>
        <v>0</v>
      </c>
      <c r="M22" s="4">
        <f t="shared" si="3"/>
        <v>0</v>
      </c>
      <c r="N22" s="4">
        <f t="shared" si="3"/>
        <v>0</v>
      </c>
      <c r="O22" s="4">
        <f t="shared" si="3"/>
        <v>0</v>
      </c>
      <c r="P22" s="18"/>
      <c r="Q22" s="4">
        <f>IFERROR(Q21/Q10, 0)</f>
        <v>-6.3893468312906543E-2</v>
      </c>
    </row>
    <row r="23" spans="1:17" x14ac:dyDescent="0.2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25">
      <c r="A24" s="8"/>
      <c r="B24" s="16" t="s">
        <v>291</v>
      </c>
      <c r="C24" s="8"/>
      <c r="D24" s="10">
        <f>SUM(OSRRefD20x_0)</f>
        <v>59459.530000000006</v>
      </c>
      <c r="E24" s="10">
        <f>SUM(OSRRefD20x_1)</f>
        <v>54062.239999999998</v>
      </c>
      <c r="F24" s="10">
        <f>SUM(OSRRefD20x_2)</f>
        <v>51893.159999999996</v>
      </c>
      <c r="G24" s="10">
        <f>SUM(OSRRefD20x_3)</f>
        <v>55891.360000000001</v>
      </c>
      <c r="H24" s="10">
        <f>SUM(OSRRefE20x_0)</f>
        <v>70722.633573846193</v>
      </c>
      <c r="I24" s="10">
        <f>SUM(OSRRefE20x_1)</f>
        <v>17082</v>
      </c>
      <c r="J24" s="10">
        <f>SUM(OSRRefE20x_2)</f>
        <v>86164.791967307698</v>
      </c>
      <c r="K24" s="10">
        <f>SUM(OSRRefE20x_3)</f>
        <v>70994.633573846193</v>
      </c>
      <c r="L24" s="10">
        <f>SUM(OSRRefE20x_4)</f>
        <v>69194.633573846193</v>
      </c>
      <c r="M24" s="10">
        <f>SUM(OSRRefE20x_5)</f>
        <v>81164.791967307698</v>
      </c>
      <c r="N24" s="10">
        <f>SUM(OSRRefE20x_6)</f>
        <v>67994.633573846193</v>
      </c>
      <c r="O24" s="10">
        <f>SUM(OSRRefE20x_7)</f>
        <v>61194.633573846193</v>
      </c>
      <c r="Q24" s="10">
        <f>SUM(OSRRefG20x)</f>
        <v>745819.04180384637</v>
      </c>
    </row>
    <row r="25" spans="1:17" s="34" customFormat="1" collapsed="1" x14ac:dyDescent="0.25">
      <c r="A25" s="35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18619.02</v>
      </c>
      <c r="E25" s="1">
        <f>SUM(OSRRefD21_0x_1)</f>
        <v>20617.259999999998</v>
      </c>
      <c r="F25" s="1">
        <f>SUM(OSRRefD21_0x_2)</f>
        <v>21183.35</v>
      </c>
      <c r="G25" s="1">
        <f>SUM(OSRRefD21_0x_3)</f>
        <v>23269.629999999997</v>
      </c>
      <c r="H25" s="1">
        <f>SUM(OSRRefE21_0x_0)</f>
        <v>24907.4735738462</v>
      </c>
      <c r="I25" s="1">
        <f>SUM(OSRRefE21_0x_1)</f>
        <v>1750</v>
      </c>
      <c r="J25" s="1">
        <f>SUM(OSRRefE21_0x_2)</f>
        <v>29706.841967307701</v>
      </c>
      <c r="K25" s="1">
        <f>SUM(OSRRefE21_0x_3)</f>
        <v>24907.4735738462</v>
      </c>
      <c r="L25" s="1">
        <f>SUM(OSRRefE21_0x_4)</f>
        <v>24907.4735738462</v>
      </c>
      <c r="M25" s="1">
        <f>SUM(OSRRefE21_0x_5)</f>
        <v>29706.841967307701</v>
      </c>
      <c r="N25" s="1">
        <f>SUM(OSRRefE21_0x_6)</f>
        <v>24907.4735738462</v>
      </c>
      <c r="O25" s="1">
        <f>SUM(OSRRefE21_0x_7)</f>
        <v>24907.4735738462</v>
      </c>
      <c r="Q25" s="2">
        <f>SUM(OSRRefD20_0x)+IFERROR(SUM(OSRRefE20_0x),0)</f>
        <v>269390.31180384639</v>
      </c>
    </row>
    <row r="26" spans="1:17" s="34" customFormat="1" hidden="1" outlineLevel="1" x14ac:dyDescent="0.25">
      <c r="A26" s="35"/>
      <c r="B26" s="13" t="str">
        <f>CONCATENATE("          ","6111", " - ","F.I.C.A.")</f>
        <v xml:space="preserve">          6111 - F.I.C.A.</v>
      </c>
      <c r="C26" s="15"/>
      <c r="D26" s="2">
        <v>1894.45</v>
      </c>
      <c r="E26" s="2">
        <v>1932.91</v>
      </c>
      <c r="F26" s="2">
        <v>2075.86</v>
      </c>
      <c r="G26" s="2">
        <v>3012.34</v>
      </c>
      <c r="H26" s="2">
        <v>2335.2364200000002</v>
      </c>
      <c r="I26" s="2">
        <v>0</v>
      </c>
      <c r="J26" s="2">
        <v>2919.045525</v>
      </c>
      <c r="K26" s="2">
        <v>2335.2364200000002</v>
      </c>
      <c r="L26" s="2">
        <v>2335.2364200000002</v>
      </c>
      <c r="M26" s="2">
        <v>2919.045525</v>
      </c>
      <c r="N26" s="2">
        <v>2335.2364200000002</v>
      </c>
      <c r="O26" s="2">
        <v>2335.2364200000002</v>
      </c>
      <c r="P26" s="9"/>
      <c r="Q26" s="2">
        <f>SUM(OSRRefD21_0_0x)+IFERROR(SUM(OSRRefE21_0_0x),0)</f>
        <v>26429.833150000002</v>
      </c>
    </row>
    <row r="27" spans="1:17" s="34" customFormat="1" hidden="1" outlineLevel="1" x14ac:dyDescent="0.25">
      <c r="A27" s="35"/>
      <c r="B27" s="13" t="str">
        <f>CONCATENATE("          ","6112", " - ","COMPENSATION INSURANCE")</f>
        <v xml:space="preserve">          6112 - COMPENSATION INSURANCE</v>
      </c>
      <c r="C27" s="15"/>
      <c r="D27" s="2">
        <v>1062.3</v>
      </c>
      <c r="E27" s="2">
        <v>1080.0999999999999</v>
      </c>
      <c r="F27" s="2">
        <v>1161.18</v>
      </c>
      <c r="G27" s="2">
        <v>1070.6099999999999</v>
      </c>
      <c r="H27" s="2">
        <v>1309.0506</v>
      </c>
      <c r="I27" s="2">
        <v>0</v>
      </c>
      <c r="J27" s="2">
        <v>1636.3132499999999</v>
      </c>
      <c r="K27" s="2">
        <v>1309.0506</v>
      </c>
      <c r="L27" s="2">
        <v>1309.0506</v>
      </c>
      <c r="M27" s="2">
        <v>1636.3132499999999</v>
      </c>
      <c r="N27" s="2">
        <v>1309.0506</v>
      </c>
      <c r="O27" s="2">
        <v>1309.0506</v>
      </c>
      <c r="P27" s="9"/>
      <c r="Q27" s="2">
        <f>SUM(OSRRefD21_0_1x)+IFERROR(SUM(OSRRefE21_0_1x),0)</f>
        <v>14192.069500000001</v>
      </c>
    </row>
    <row r="28" spans="1:17" s="34" customFormat="1" hidden="1" outlineLevel="1" x14ac:dyDescent="0.25">
      <c r="A28" s="35"/>
      <c r="B28" s="13" t="str">
        <f>CONCATENATE("          ","6113", " - ","GROUP INSURANCE")</f>
        <v xml:space="preserve">          6113 - GROUP INSURANCE</v>
      </c>
      <c r="C28" s="15"/>
      <c r="D28" s="2">
        <v>9826.58</v>
      </c>
      <c r="E28" s="2">
        <v>12526.51</v>
      </c>
      <c r="F28" s="2">
        <v>12526.51</v>
      </c>
      <c r="G28" s="2">
        <v>12526.51</v>
      </c>
      <c r="H28" s="2">
        <v>16753.8461538462</v>
      </c>
      <c r="I28" s="2">
        <v>0</v>
      </c>
      <c r="J28" s="2">
        <v>19952.307692307699</v>
      </c>
      <c r="K28" s="2">
        <v>16753.8461538462</v>
      </c>
      <c r="L28" s="2">
        <v>16753.8461538462</v>
      </c>
      <c r="M28" s="2">
        <v>19952.307692307699</v>
      </c>
      <c r="N28" s="2">
        <v>16753.8461538462</v>
      </c>
      <c r="O28" s="2">
        <v>16753.8461538462</v>
      </c>
      <c r="P28" s="9"/>
      <c r="Q28" s="2">
        <f>SUM(OSRRefD21_0_2x)+IFERROR(SUM(OSRRefE21_0_2x),0)</f>
        <v>171079.9561538464</v>
      </c>
    </row>
    <row r="29" spans="1:17" s="34" customFormat="1" hidden="1" outlineLevel="1" x14ac:dyDescent="0.25">
      <c r="A29" s="35"/>
      <c r="B29" s="13" t="str">
        <f>CONCATENATE("          ","6114", " - ","STATE UNEMPLOYMENT INSURANCE")</f>
        <v xml:space="preserve">          6114 - STATE UNEMPLOYMENT INSURANCE</v>
      </c>
      <c r="C29" s="15"/>
      <c r="D29" s="2">
        <v>64.38</v>
      </c>
      <c r="E29" s="2">
        <v>65.459999999999994</v>
      </c>
      <c r="F29" s="2">
        <v>70.37</v>
      </c>
      <c r="G29" s="2">
        <v>64.89</v>
      </c>
      <c r="H29" s="2">
        <v>79.336399999999998</v>
      </c>
      <c r="I29" s="2">
        <v>0</v>
      </c>
      <c r="J29" s="2">
        <v>99.170500000000004</v>
      </c>
      <c r="K29" s="2">
        <v>79.336399999999998</v>
      </c>
      <c r="L29" s="2">
        <v>79.336399999999998</v>
      </c>
      <c r="M29" s="2">
        <v>99.170500000000004</v>
      </c>
      <c r="N29" s="2">
        <v>79.336399999999998</v>
      </c>
      <c r="O29" s="2">
        <v>79.336399999999998</v>
      </c>
      <c r="P29" s="9"/>
      <c r="Q29" s="2">
        <f>SUM(OSRRefD21_0_3x)+IFERROR(SUM(OSRRefE21_0_3x),0)</f>
        <v>860.12300000000005</v>
      </c>
    </row>
    <row r="30" spans="1:17" s="34" customFormat="1" hidden="1" outlineLevel="1" x14ac:dyDescent="0.25">
      <c r="A30" s="35"/>
      <c r="B30" s="13" t="str">
        <f>CONCATENATE("          ","6115", " - ","P.E.R.S.")</f>
        <v xml:space="preserve">          6115 - P.E.R.S.</v>
      </c>
      <c r="C30" s="15"/>
      <c r="D30" s="2">
        <v>1425.05</v>
      </c>
      <c r="E30" s="2">
        <v>950.04</v>
      </c>
      <c r="F30" s="2">
        <v>950.04</v>
      </c>
      <c r="G30" s="2">
        <v>950.04</v>
      </c>
      <c r="H30" s="2">
        <v>849.16399999999999</v>
      </c>
      <c r="I30" s="2">
        <v>0</v>
      </c>
      <c r="J30" s="2">
        <v>1061.4549999999999</v>
      </c>
      <c r="K30" s="2">
        <v>849.16399999999999</v>
      </c>
      <c r="L30" s="2">
        <v>849.16399999999999</v>
      </c>
      <c r="M30" s="2">
        <v>1061.4549999999999</v>
      </c>
      <c r="N30" s="2">
        <v>849.16399999999999</v>
      </c>
      <c r="O30" s="2">
        <v>849.16399999999999</v>
      </c>
      <c r="P30" s="9"/>
      <c r="Q30" s="2">
        <f>SUM(OSRRefD21_0_4x)+IFERROR(SUM(OSRRefE21_0_4x),0)</f>
        <v>10643.9</v>
      </c>
    </row>
    <row r="31" spans="1:17" s="34" customFormat="1" hidden="1" outlineLevel="1" x14ac:dyDescent="0.25">
      <c r="A31" s="35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25">
      <c r="A32" s="35"/>
      <c r="B32" s="13" t="str">
        <f>CONCATENATE("          ","6117", " - ","RETIREMENT STAFF HOURLY")</f>
        <v xml:space="preserve">          6117 - RETIREMENT STAFF HOURLY</v>
      </c>
      <c r="C32" s="15"/>
      <c r="D32" s="2">
        <v>524.91999999999996</v>
      </c>
      <c r="E32" s="2">
        <v>336.5</v>
      </c>
      <c r="F32" s="2">
        <v>386.15</v>
      </c>
      <c r="G32" s="2">
        <v>385.64</v>
      </c>
      <c r="H32" s="2"/>
      <c r="I32" s="2"/>
      <c r="J32" s="2"/>
      <c r="K32" s="2"/>
      <c r="L32" s="2"/>
      <c r="M32" s="2"/>
      <c r="N32" s="2"/>
      <c r="O32" s="2"/>
      <c r="P32" s="9"/>
      <c r="Q32" s="2">
        <f>SUM(OSRRefD21_0_6x)+IFERROR(SUM(OSRRefE21_0_6x),0)</f>
        <v>1633.21</v>
      </c>
    </row>
    <row r="33" spans="1:17" s="34" customFormat="1" hidden="1" outlineLevel="1" x14ac:dyDescent="0.25">
      <c r="A33" s="35"/>
      <c r="B33" s="13" t="str">
        <f>CONCATENATE("          ","6118", " - ","VACATION")</f>
        <v xml:space="preserve">          6118 - VACATION</v>
      </c>
      <c r="C33" s="15"/>
      <c r="D33" s="2">
        <v>1852.16</v>
      </c>
      <c r="E33" s="2">
        <v>1852.16</v>
      </c>
      <c r="F33" s="2">
        <v>1900.86</v>
      </c>
      <c r="G33" s="2">
        <v>2578.59</v>
      </c>
      <c r="H33" s="2">
        <v>1121.82</v>
      </c>
      <c r="I33" s="2">
        <v>0</v>
      </c>
      <c r="J33" s="2">
        <v>1402.2750000000001</v>
      </c>
      <c r="K33" s="2">
        <v>1121.82</v>
      </c>
      <c r="L33" s="2">
        <v>1121.82</v>
      </c>
      <c r="M33" s="2">
        <v>1402.2750000000001</v>
      </c>
      <c r="N33" s="2">
        <v>1121.82</v>
      </c>
      <c r="O33" s="2">
        <v>1121.82</v>
      </c>
      <c r="P33" s="9"/>
      <c r="Q33" s="2">
        <f>SUM(OSRRefD21_0_7x)+IFERROR(SUM(OSRRefE21_0_7x),0)</f>
        <v>16597.419999999998</v>
      </c>
    </row>
    <row r="34" spans="1:17" s="34" customFormat="1" hidden="1" outlineLevel="1" x14ac:dyDescent="0.25">
      <c r="A34" s="35"/>
      <c r="B34" s="13" t="str">
        <f>CONCATENATE("          ","6119", " - ","SICK LEAVE")</f>
        <v xml:space="preserve">          6119 - SICK LEAVE</v>
      </c>
      <c r="C34" s="15"/>
      <c r="D34" s="2">
        <v>1214.78</v>
      </c>
      <c r="E34" s="2">
        <v>1214.78</v>
      </c>
      <c r="F34" s="2">
        <v>1214.78</v>
      </c>
      <c r="G34" s="2">
        <v>1686.01</v>
      </c>
      <c r="H34" s="2">
        <v>709.02</v>
      </c>
      <c r="I34" s="2">
        <v>0</v>
      </c>
      <c r="J34" s="2">
        <v>886.27499999999998</v>
      </c>
      <c r="K34" s="2">
        <v>709.02</v>
      </c>
      <c r="L34" s="2">
        <v>709.02</v>
      </c>
      <c r="M34" s="2">
        <v>886.27499999999998</v>
      </c>
      <c r="N34" s="2">
        <v>709.02</v>
      </c>
      <c r="O34" s="2">
        <v>709.02</v>
      </c>
      <c r="P34" s="9"/>
      <c r="Q34" s="2">
        <f>SUM(OSRRefD21_0_8x)+IFERROR(SUM(OSRRefE21_0_8x),0)</f>
        <v>10648</v>
      </c>
    </row>
    <row r="35" spans="1:17" s="34" customFormat="1" hidden="1" outlineLevel="1" x14ac:dyDescent="0.25">
      <c r="A35" s="35"/>
      <c r="B35" s="13" t="str">
        <f>CONCATENATE("          ","6156", " - ","EMPLOYEE MEALS")</f>
        <v xml:space="preserve">          6156 - EMPLOYEE MEALS</v>
      </c>
      <c r="C35" s="15"/>
      <c r="D35" s="2">
        <v>754.4</v>
      </c>
      <c r="E35" s="2">
        <v>658.8</v>
      </c>
      <c r="F35" s="2">
        <v>897.6</v>
      </c>
      <c r="G35" s="2">
        <v>995</v>
      </c>
      <c r="H35" s="2">
        <v>1750</v>
      </c>
      <c r="I35" s="2">
        <v>1750</v>
      </c>
      <c r="J35" s="2">
        <v>1750</v>
      </c>
      <c r="K35" s="2">
        <v>1750</v>
      </c>
      <c r="L35" s="2">
        <v>1750</v>
      </c>
      <c r="M35" s="2">
        <v>1750</v>
      </c>
      <c r="N35" s="2">
        <v>1750</v>
      </c>
      <c r="O35" s="2">
        <v>1750</v>
      </c>
      <c r="P35" s="9"/>
      <c r="Q35" s="2">
        <f>SUM(OSRRefD21_0_9x)+IFERROR(SUM(OSRRefE21_0_9x),0)</f>
        <v>17305.8</v>
      </c>
    </row>
    <row r="36" spans="1:17" s="34" customFormat="1" collapsed="1" x14ac:dyDescent="0.25">
      <c r="A36" s="35"/>
      <c r="B36" s="15" t="str">
        <f>CONCATENATE("     ","*Payroll                                          ")</f>
        <v xml:space="preserve">     *Payroll                                          </v>
      </c>
      <c r="C36" s="15"/>
      <c r="D36" s="1">
        <f>SUM(OSRRefD21_1x_0)</f>
        <v>23914.11</v>
      </c>
      <c r="E36" s="1">
        <f>SUM(OSRRefD21_1x_1)</f>
        <v>20940.560000000001</v>
      </c>
      <c r="F36" s="1">
        <f>SUM(OSRRefD21_1x_2)</f>
        <v>24018.489999999998</v>
      </c>
      <c r="G36" s="1">
        <f>SUM(OSRRefD21_1x_3)</f>
        <v>25913.300000000003</v>
      </c>
      <c r="H36" s="1">
        <f>SUM(OSRRefE21_1x_0)</f>
        <v>28683.159999999996</v>
      </c>
      <c r="I36" s="1">
        <f>SUM(OSRRefE21_1x_1)</f>
        <v>0</v>
      </c>
      <c r="J36" s="1">
        <f>SUM(OSRRefE21_1x_2)</f>
        <v>35853.949999999997</v>
      </c>
      <c r="K36" s="1">
        <f>SUM(OSRRefE21_1x_3)</f>
        <v>28683.159999999996</v>
      </c>
      <c r="L36" s="1">
        <f>SUM(OSRRefE21_1x_4)</f>
        <v>28683.159999999996</v>
      </c>
      <c r="M36" s="1">
        <f>SUM(OSRRefE21_1x_5)</f>
        <v>35853.949999999997</v>
      </c>
      <c r="N36" s="1">
        <f>SUM(OSRRefE21_1x_6)</f>
        <v>28683.159999999996</v>
      </c>
      <c r="O36" s="1">
        <f>SUM(OSRRefE21_1x_7)</f>
        <v>28683.159999999996</v>
      </c>
      <c r="Q36" s="2">
        <f>SUM(OSRRefD20_1x)+IFERROR(SUM(OSRRefE20_1x),0)</f>
        <v>309910.16000000003</v>
      </c>
    </row>
    <row r="37" spans="1:17" s="34" customFormat="1" hidden="1" outlineLevel="1" x14ac:dyDescent="0.25">
      <c r="A37" s="35"/>
      <c r="B37" s="13" t="str">
        <f>CONCATENATE("          ","6001", " - ","ADMINISTRATIVE SALARIES")</f>
        <v xml:space="preserve">          6001 - ADMINISTRATIVE SALARIES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4" customFormat="1" hidden="1" outlineLevel="1" x14ac:dyDescent="0.25">
      <c r="A38" s="35"/>
      <c r="B38" s="13" t="str">
        <f>CONCATENATE("          ","6002", " - ","STAFF SALARIES")</f>
        <v xml:space="preserve">          6002 - STAFF SALARIES</v>
      </c>
      <c r="C38" s="15"/>
      <c r="D38" s="2">
        <v>11078.22</v>
      </c>
      <c r="E38" s="2">
        <v>7766.02</v>
      </c>
      <c r="F38" s="2">
        <v>9874.02</v>
      </c>
      <c r="G38" s="2">
        <v>11354.63</v>
      </c>
      <c r="H38" s="2">
        <v>9281.56</v>
      </c>
      <c r="I38" s="2">
        <v>0</v>
      </c>
      <c r="J38" s="2">
        <v>11601.95</v>
      </c>
      <c r="K38" s="2">
        <v>9281.56</v>
      </c>
      <c r="L38" s="2">
        <v>9281.56</v>
      </c>
      <c r="M38" s="2">
        <v>11601.95</v>
      </c>
      <c r="N38" s="2">
        <v>9281.56</v>
      </c>
      <c r="O38" s="2">
        <v>9281.56</v>
      </c>
      <c r="P38" s="9"/>
      <c r="Q38" s="2">
        <f>SUM(OSRRefD21_1_1x)+IFERROR(SUM(OSRRefE21_1_1x),0)</f>
        <v>109684.59</v>
      </c>
    </row>
    <row r="39" spans="1:17" s="34" customFormat="1" hidden="1" outlineLevel="1" x14ac:dyDescent="0.25">
      <c r="A39" s="35"/>
      <c r="B39" s="13" t="str">
        <f>CONCATENATE("          ","6003", " - ","STAFF HOURLY-9 MONTH")</f>
        <v xml:space="preserve">          6003 - STAFF HOURLY-9 MONTH</v>
      </c>
      <c r="C39" s="15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25">
      <c r="A40" s="35"/>
      <c r="B40" s="13" t="str">
        <f>CONCATENATE("          ","6004", " - ","STAFF HOURLY")</f>
        <v xml:space="preserve">          6004 - STAFF HOURLY</v>
      </c>
      <c r="C40" s="15"/>
      <c r="D40" s="2">
        <v>10701.89</v>
      </c>
      <c r="E40" s="2">
        <v>12044.54</v>
      </c>
      <c r="F40" s="2">
        <v>14206.47</v>
      </c>
      <c r="G40" s="2">
        <v>17760.670000000002</v>
      </c>
      <c r="H40" s="2">
        <v>19401.599999999999</v>
      </c>
      <c r="I40" s="2">
        <v>0</v>
      </c>
      <c r="J40" s="2">
        <v>24252</v>
      </c>
      <c r="K40" s="2">
        <v>19401.599999999999</v>
      </c>
      <c r="L40" s="2">
        <v>19401.599999999999</v>
      </c>
      <c r="M40" s="2">
        <v>24252</v>
      </c>
      <c r="N40" s="2">
        <v>19401.599999999999</v>
      </c>
      <c r="O40" s="2">
        <v>19401.599999999999</v>
      </c>
      <c r="P40" s="9"/>
      <c r="Q40" s="2">
        <f>SUM(OSRRefD21_1_3x)+IFERROR(SUM(OSRRefE21_1_3x),0)</f>
        <v>200225.57</v>
      </c>
    </row>
    <row r="41" spans="1:17" s="34" customFormat="1" hidden="1" outlineLevel="1" x14ac:dyDescent="0.25">
      <c r="A41" s="35"/>
      <c r="B41" s="13" t="str">
        <f>CONCATENATE("          ","6005", " - ","TEMPORARY WAGES-HOURLY")</f>
        <v xml:space="preserve">          6005 - TEMPORARY WAGES-HOURLY</v>
      </c>
      <c r="C41" s="15"/>
      <c r="D41" s="2"/>
      <c r="E41" s="2"/>
      <c r="F41" s="2"/>
      <c r="G41" s="2"/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SUM(OSRRefD21_1_4x)+IFERROR(SUM(OSRRefE21_1_4x),0)</f>
        <v>0</v>
      </c>
    </row>
    <row r="42" spans="1:17" s="34" customFormat="1" hidden="1" outlineLevel="1" x14ac:dyDescent="0.25">
      <c r="A42" s="35"/>
      <c r="B42" s="13" t="str">
        <f>CONCATENATE("          ","6006", " - ","TEMPORARY PART TIME")</f>
        <v xml:space="preserve">          6006 - TEMPORARY PART TIME</v>
      </c>
      <c r="C42" s="15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25">
      <c r="A43" s="35"/>
      <c r="B43" s="13" t="str">
        <f>CONCATENATE("          ","6007", " - ","STUDENT HOURLY")</f>
        <v xml:space="preserve">          6007 - STUDENT HOURLY</v>
      </c>
      <c r="C43" s="15"/>
      <c r="D43" s="2">
        <v>2134</v>
      </c>
      <c r="E43" s="2">
        <v>1130</v>
      </c>
      <c r="F43" s="2">
        <v>-62</v>
      </c>
      <c r="G43" s="2">
        <v>-3202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0</v>
      </c>
    </row>
    <row r="44" spans="1:17" s="34" customFormat="1" hidden="1" outlineLevel="1" x14ac:dyDescent="0.25">
      <c r="A44" s="35"/>
      <c r="B44" s="13" t="str">
        <f>CONCATENATE("          ","6008", " - ","STUDENT HOURLY-FICA EXEMPT")</f>
        <v xml:space="preserve">          6008 - STUDENT HOURLY-FICA EXEMPT</v>
      </c>
      <c r="C44" s="15"/>
      <c r="D44" s="2"/>
      <c r="E44" s="2"/>
      <c r="F44" s="2"/>
      <c r="G44" s="2"/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SUM(OSRRefD21_1_7x)+IFERROR(SUM(OSRRefE21_1_7x),0)</f>
        <v>0</v>
      </c>
    </row>
    <row r="45" spans="1:17" s="34" customFormat="1" hidden="1" outlineLevel="1" x14ac:dyDescent="0.25">
      <c r="A45" s="35"/>
      <c r="B45" s="13" t="str">
        <f>CONCATENATE("          ","6009", " - ","TEMPORARY-SEASONAL")</f>
        <v xml:space="preserve">          6009 - TEMPORARY-SEASONAL</v>
      </c>
      <c r="C45" s="15"/>
      <c r="D45" s="2"/>
      <c r="E45" s="2"/>
      <c r="F45" s="2"/>
      <c r="G45" s="2"/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25">
      <c r="A46" s="35"/>
      <c r="B46" s="13" t="str">
        <f>CONCATENATE("          ","6010", " - ","GRATUITY")</f>
        <v xml:space="preserve">          6010 - GRATUITY</v>
      </c>
      <c r="C46" s="15"/>
      <c r="D46" s="2"/>
      <c r="E46" s="2"/>
      <c r="F46" s="2"/>
      <c r="G46" s="2"/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25">
      <c r="A47" s="35"/>
      <c r="B47" s="15" t="str">
        <f>CONCATENATE("     ","Advertising/Promo                                 ")</f>
        <v xml:space="preserve">     Advertising/Promo                                 </v>
      </c>
      <c r="C47" s="15"/>
      <c r="D47" s="1">
        <f>SUM(OSRRefD21_2x_0)</f>
        <v>204.75</v>
      </c>
      <c r="E47" s="1">
        <f>SUM(OSRRefD21_2x_1)</f>
        <v>0</v>
      </c>
      <c r="F47" s="1">
        <f>SUM(OSRRefD21_2x_2)</f>
        <v>0</v>
      </c>
      <c r="G47" s="1">
        <f>SUM(OSRRefD21_2x_3)</f>
        <v>0</v>
      </c>
      <c r="H47" s="1">
        <f>SUM(OSRRefE21_2x_0)</f>
        <v>0</v>
      </c>
      <c r="I47" s="1">
        <f>SUM(OSRRefE21_2x_1)</f>
        <v>0</v>
      </c>
      <c r="J47" s="1">
        <f>SUM(OSRRefE21_2x_2)</f>
        <v>0</v>
      </c>
      <c r="K47" s="1">
        <f>SUM(OSRRefE21_2x_3)</f>
        <v>0</v>
      </c>
      <c r="L47" s="1">
        <f>SUM(OSRRefE21_2x_4)</f>
        <v>0</v>
      </c>
      <c r="M47" s="1">
        <f>SUM(OSRRefE21_2x_5)</f>
        <v>0</v>
      </c>
      <c r="N47" s="1">
        <f>SUM(OSRRefE21_2x_6)</f>
        <v>0</v>
      </c>
      <c r="O47" s="1">
        <f>SUM(OSRRefE21_2x_7)</f>
        <v>0</v>
      </c>
      <c r="Q47" s="2">
        <f>SUM(OSRRefD20_2x)+IFERROR(SUM(OSRRefE20_2x),0)</f>
        <v>204.75</v>
      </c>
    </row>
    <row r="48" spans="1:17" s="34" customFormat="1" hidden="1" outlineLevel="1" x14ac:dyDescent="0.25">
      <c r="A48" s="35"/>
      <c r="B48" s="13" t="str">
        <f>CONCATENATE("          ","6362", " - ","ADVERTISING EXPENSE")</f>
        <v xml:space="preserve">          6362 - ADVERTISING EXPENSE</v>
      </c>
      <c r="C48" s="15"/>
      <c r="D48" s="2">
        <v>204.75</v>
      </c>
      <c r="E48" s="2"/>
      <c r="F48" s="2"/>
      <c r="G48" s="2"/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SUM(OSRRefD21_2_0x)+IFERROR(SUM(OSRRefE21_2_0x),0)</f>
        <v>204.75</v>
      </c>
    </row>
    <row r="49" spans="1:17" s="34" customFormat="1" collapsed="1" x14ac:dyDescent="0.25">
      <c r="A49" s="35"/>
      <c r="B49" s="15" t="str">
        <f>CONCATENATE("     ","Bad Debts/Over/Short                              ")</f>
        <v xml:space="preserve">     Bad Debts/Over/Short                              </v>
      </c>
      <c r="C49" s="15"/>
      <c r="D49" s="1">
        <f>SUM(OSRRefD21_3x_0)</f>
        <v>0</v>
      </c>
      <c r="E49" s="1">
        <f>SUM(OSRRefD21_3x_1)</f>
        <v>0</v>
      </c>
      <c r="F49" s="1">
        <f>SUM(OSRRefD21_3x_2)</f>
        <v>0</v>
      </c>
      <c r="G49" s="1">
        <f>SUM(OSRRefD21_3x_3)</f>
        <v>0</v>
      </c>
      <c r="H49" s="1">
        <f>SUM(OSRRefE21_3x_0)</f>
        <v>0</v>
      </c>
      <c r="I49" s="1">
        <f>SUM(OSRRefE21_3x_1)</f>
        <v>0</v>
      </c>
      <c r="J49" s="1">
        <f>SUM(OSRRefE21_3x_2)</f>
        <v>0</v>
      </c>
      <c r="K49" s="1">
        <f>SUM(OSRRefE21_3x_3)</f>
        <v>0</v>
      </c>
      <c r="L49" s="1">
        <f>SUM(OSRRefE21_3x_4)</f>
        <v>0</v>
      </c>
      <c r="M49" s="1">
        <f>SUM(OSRRefE21_3x_5)</f>
        <v>0</v>
      </c>
      <c r="N49" s="1">
        <f>SUM(OSRRefE21_3x_6)</f>
        <v>0</v>
      </c>
      <c r="O49" s="1">
        <f>SUM(OSRRefE21_3x_7)</f>
        <v>0</v>
      </c>
      <c r="Q49" s="2">
        <f>SUM(OSRRefD20_3x)+IFERROR(SUM(OSRRefE20_3x),0)</f>
        <v>0</v>
      </c>
    </row>
    <row r="50" spans="1:17" s="34" customFormat="1" hidden="1" outlineLevel="1" x14ac:dyDescent="0.25">
      <c r="A50" s="35"/>
      <c r="B50" s="13" t="str">
        <f>CONCATENATE("          ","6272", " - ","CASH (OVER/SHORT)")</f>
        <v xml:space="preserve">          6272 - CASH (OVER/SHORT)</v>
      </c>
      <c r="C50" s="15"/>
      <c r="D50" s="2"/>
      <c r="E50" s="2"/>
      <c r="F50" s="2"/>
      <c r="G50" s="2"/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SUM(OSRRefD21_3_0x)+IFERROR(SUM(OSRRefE21_3_0x),0)</f>
        <v>0</v>
      </c>
    </row>
    <row r="51" spans="1:17" s="34" customFormat="1" collapsed="1" x14ac:dyDescent="0.25">
      <c r="A51" s="35"/>
      <c r="B51" s="15" t="str">
        <f>CONCATENATE("     ","Bank/card Fees                                    ")</f>
        <v xml:space="preserve">     Bank/card Fees                                    </v>
      </c>
      <c r="C51" s="15"/>
      <c r="D51" s="1">
        <f>SUM(OSRRefD21_4x_0)</f>
        <v>0</v>
      </c>
      <c r="E51" s="1">
        <f>SUM(OSRRefD21_4x_1)</f>
        <v>0</v>
      </c>
      <c r="F51" s="1">
        <f>SUM(OSRRefD21_4x_2)</f>
        <v>0</v>
      </c>
      <c r="G51" s="1">
        <f>SUM(OSRRefD21_4x_3)</f>
        <v>0</v>
      </c>
      <c r="H51" s="1">
        <f>SUM(OSRRefE21_4x_0)</f>
        <v>0</v>
      </c>
      <c r="I51" s="1">
        <f>SUM(OSRRefE21_4x_1)</f>
        <v>0</v>
      </c>
      <c r="J51" s="1">
        <f>SUM(OSRRefE21_4x_2)</f>
        <v>0</v>
      </c>
      <c r="K51" s="1">
        <f>SUM(OSRRefE21_4x_3)</f>
        <v>0</v>
      </c>
      <c r="L51" s="1">
        <f>SUM(OSRRefE21_4x_4)</f>
        <v>0</v>
      </c>
      <c r="M51" s="1">
        <f>SUM(OSRRefE21_4x_5)</f>
        <v>0</v>
      </c>
      <c r="N51" s="1">
        <f>SUM(OSRRefE21_4x_6)</f>
        <v>0</v>
      </c>
      <c r="O51" s="1">
        <f>SUM(OSRRefE21_4x_7)</f>
        <v>0</v>
      </c>
      <c r="Q51" s="2">
        <f>SUM(OSRRefD20_4x)+IFERROR(SUM(OSRRefE20_4x),0)</f>
        <v>0</v>
      </c>
    </row>
    <row r="52" spans="1:17" s="34" customFormat="1" hidden="1" outlineLevel="1" x14ac:dyDescent="0.25">
      <c r="A52" s="35"/>
      <c r="B52" s="13" t="str">
        <f>CONCATENATE("          ","6381", " - ","BANK/CREDIT CARD FEES")</f>
        <v xml:space="preserve">          6381 - BANK/CREDIT CARD FEES</v>
      </c>
      <c r="C52" s="15"/>
      <c r="D52" s="2"/>
      <c r="E52" s="2"/>
      <c r="F52" s="2"/>
      <c r="G52" s="2"/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SUM(OSRRefD21_4_0x)+IFERROR(SUM(OSRRefE21_4_0x),0)</f>
        <v>0</v>
      </c>
    </row>
    <row r="53" spans="1:17" s="34" customFormat="1" collapsed="1" x14ac:dyDescent="0.25">
      <c r="A53" s="35"/>
      <c r="B53" s="15" t="str">
        <f>CONCATENATE("     ","Depreciation                                      ")</f>
        <v xml:space="preserve">     Depreciation                                      </v>
      </c>
      <c r="C53" s="15"/>
      <c r="D53" s="1">
        <f>SUM(OSRRefD21_5x_0)</f>
        <v>0</v>
      </c>
      <c r="E53" s="1">
        <f>SUM(OSRRefD21_5x_1)</f>
        <v>281.26</v>
      </c>
      <c r="F53" s="1">
        <f>SUM(OSRRefD21_5x_2)</f>
        <v>272.74</v>
      </c>
      <c r="G53" s="1">
        <f>SUM(OSRRefD21_5x_3)</f>
        <v>272.74</v>
      </c>
      <c r="H53" s="1">
        <f>SUM(OSRRefE21_5x_0)</f>
        <v>0</v>
      </c>
      <c r="I53" s="1">
        <f>SUM(OSRRefE21_5x_1)</f>
        <v>0</v>
      </c>
      <c r="J53" s="1">
        <f>SUM(OSRRefE21_5x_2)</f>
        <v>0</v>
      </c>
      <c r="K53" s="1">
        <f>SUM(OSRRefE21_5x_3)</f>
        <v>0</v>
      </c>
      <c r="L53" s="1">
        <f>SUM(OSRRefE21_5x_4)</f>
        <v>0</v>
      </c>
      <c r="M53" s="1">
        <f>SUM(OSRRefE21_5x_5)</f>
        <v>0</v>
      </c>
      <c r="N53" s="1">
        <f>SUM(OSRRefE21_5x_6)</f>
        <v>0</v>
      </c>
      <c r="O53" s="1">
        <f>SUM(OSRRefE21_5x_7)</f>
        <v>0</v>
      </c>
      <c r="Q53" s="2">
        <f>SUM(OSRRefD20_5x)+IFERROR(SUM(OSRRefE20_5x),0)</f>
        <v>826.74</v>
      </c>
    </row>
    <row r="54" spans="1:17" s="34" customFormat="1" hidden="1" outlineLevel="1" x14ac:dyDescent="0.25">
      <c r="A54" s="35"/>
      <c r="B54" s="13" t="str">
        <f>CONCATENATE("          ","6322", " - ","EQUIPMENT DEPRECIATION EXPENSE")</f>
        <v xml:space="preserve">          6322 - EQUIPMENT DEPRECIATION EXPENSE</v>
      </c>
      <c r="C54" s="15"/>
      <c r="D54" s="2"/>
      <c r="E54" s="2">
        <v>281.26</v>
      </c>
      <c r="F54" s="2">
        <v>272.74</v>
      </c>
      <c r="G54" s="2">
        <v>272.74</v>
      </c>
      <c r="H54" s="2"/>
      <c r="I54" s="2"/>
      <c r="J54" s="2"/>
      <c r="K54" s="2"/>
      <c r="L54" s="2"/>
      <c r="M54" s="2"/>
      <c r="N54" s="2"/>
      <c r="O54" s="2"/>
      <c r="P54" s="9"/>
      <c r="Q54" s="2">
        <f>SUM(OSRRefD21_5_0x)+IFERROR(SUM(OSRRefE21_5_0x),0)</f>
        <v>826.74</v>
      </c>
    </row>
    <row r="55" spans="1:17" s="34" customFormat="1" collapsed="1" x14ac:dyDescent="0.25">
      <c r="A55" s="35"/>
      <c r="B55" s="15" t="str">
        <f>CONCATENATE("     ","Donations                                         ")</f>
        <v xml:space="preserve">     Donations                                         </v>
      </c>
      <c r="C55" s="15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SUM(OSRRefE21_6x_0)</f>
        <v>8000</v>
      </c>
      <c r="I55" s="1">
        <f>SUM(OSRRefE21_6x_1)</f>
        <v>8000</v>
      </c>
      <c r="J55" s="1">
        <f>SUM(OSRRefE21_6x_2)</f>
        <v>5000</v>
      </c>
      <c r="K55" s="1">
        <f>SUM(OSRRefE21_6x_3)</f>
        <v>8000</v>
      </c>
      <c r="L55" s="1">
        <f>SUM(OSRRefE21_6x_4)</f>
        <v>8000</v>
      </c>
      <c r="M55" s="1">
        <f>SUM(OSRRefE21_6x_5)</f>
        <v>8000</v>
      </c>
      <c r="N55" s="1">
        <f>SUM(OSRRefE21_6x_6)</f>
        <v>5000</v>
      </c>
      <c r="O55" s="1">
        <f>SUM(OSRRefE21_6x_7)</f>
        <v>0</v>
      </c>
      <c r="Q55" s="2">
        <f>SUM(OSRRefD20_6x)+IFERROR(SUM(OSRRefE20_6x),0)</f>
        <v>50000</v>
      </c>
    </row>
    <row r="56" spans="1:17" s="34" customFormat="1" hidden="1" outlineLevel="1" x14ac:dyDescent="0.25">
      <c r="A56" s="35"/>
      <c r="B56" s="13" t="str">
        <f>CONCATENATE("          ","6399", " - ","DONATION-ON CAMPUS")</f>
        <v xml:space="preserve">          6399 - DONATION-ON CAMPUS</v>
      </c>
      <c r="C56" s="15"/>
      <c r="D56" s="2"/>
      <c r="E56" s="2"/>
      <c r="F56" s="2"/>
      <c r="G56" s="2"/>
      <c r="H56" s="2">
        <v>8000</v>
      </c>
      <c r="I56" s="2">
        <v>8000</v>
      </c>
      <c r="J56" s="2">
        <v>5000</v>
      </c>
      <c r="K56" s="2">
        <v>8000</v>
      </c>
      <c r="L56" s="2">
        <v>8000</v>
      </c>
      <c r="M56" s="2">
        <v>8000</v>
      </c>
      <c r="N56" s="2">
        <v>5000</v>
      </c>
      <c r="O56" s="2"/>
      <c r="P56" s="9"/>
      <c r="Q56" s="2">
        <f>SUM(OSRRefD21_6_0x)+IFERROR(SUM(OSRRefE21_6_0x),0)</f>
        <v>50000</v>
      </c>
    </row>
    <row r="57" spans="1:17" s="34" customFormat="1" collapsed="1" x14ac:dyDescent="0.25">
      <c r="A57" s="35"/>
      <c r="B57" s="15" t="str">
        <f>CONCATENATE("     ","Employees' Appreciation                           ")</f>
        <v xml:space="preserve">     Employees' Appreciation                           </v>
      </c>
      <c r="C57" s="15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SUM(OSRRefE21_7x_0)</f>
        <v>0</v>
      </c>
      <c r="I57" s="1">
        <f>SUM(OSRRefE21_7x_1)</f>
        <v>0</v>
      </c>
      <c r="J57" s="1">
        <f>SUM(OSRRefE21_7x_2)</f>
        <v>0</v>
      </c>
      <c r="K57" s="1">
        <f>SUM(OSRRefE21_7x_3)</f>
        <v>0</v>
      </c>
      <c r="L57" s="1">
        <f>SUM(OSRRefE21_7x_4)</f>
        <v>0</v>
      </c>
      <c r="M57" s="1">
        <f>SUM(OSRRefE21_7x_5)</f>
        <v>0</v>
      </c>
      <c r="N57" s="1">
        <f>SUM(OSRRefE21_7x_6)</f>
        <v>0</v>
      </c>
      <c r="O57" s="1">
        <f>SUM(OSRRefE21_7x_7)</f>
        <v>0</v>
      </c>
      <c r="Q57" s="2">
        <f>SUM(OSRRefD20_7x)+IFERROR(SUM(OSRRefE20_7x),0)</f>
        <v>0</v>
      </c>
    </row>
    <row r="58" spans="1:17" s="34" customFormat="1" hidden="1" outlineLevel="1" x14ac:dyDescent="0.25">
      <c r="A58" s="35"/>
      <c r="B58" s="13" t="str">
        <f>CONCATENATE("          ","6277", " - ","EMPLOYEE APPRECIATION")</f>
        <v xml:space="preserve">          6277 - EMPLOYEE APPRECIATION</v>
      </c>
      <c r="C58" s="15"/>
      <c r="D58" s="2"/>
      <c r="E58" s="2"/>
      <c r="F58" s="2"/>
      <c r="G58" s="2"/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SUM(OSRRefD21_7_0x)+IFERROR(SUM(OSRRefE21_7_0x),0)</f>
        <v>0</v>
      </c>
    </row>
    <row r="59" spans="1:17" s="34" customFormat="1" collapsed="1" x14ac:dyDescent="0.25">
      <c r="A59" s="35"/>
      <c r="B59" s="15" t="str">
        <f>CONCATENATE("     ","Equipment Rental                                  ")</f>
        <v xml:space="preserve">     Equipment Rental                                  </v>
      </c>
      <c r="C59" s="15"/>
      <c r="D59" s="1">
        <f>SUM(OSRRefD21_8x_0)</f>
        <v>173.95</v>
      </c>
      <c r="E59" s="1">
        <f>SUM(OSRRefD21_8x_1)</f>
        <v>312.27</v>
      </c>
      <c r="F59" s="1">
        <f>SUM(OSRRefD21_8x_2)</f>
        <v>116.72</v>
      </c>
      <c r="G59" s="1">
        <f>SUM(OSRRefD21_8x_3)</f>
        <v>368.19</v>
      </c>
      <c r="H59" s="1">
        <f>SUM(OSRRefE21_8x_0)</f>
        <v>400</v>
      </c>
      <c r="I59" s="1">
        <f>SUM(OSRRefE21_8x_1)</f>
        <v>400</v>
      </c>
      <c r="J59" s="1">
        <f>SUM(OSRRefE21_8x_2)</f>
        <v>400</v>
      </c>
      <c r="K59" s="1">
        <f>SUM(OSRRefE21_8x_3)</f>
        <v>400</v>
      </c>
      <c r="L59" s="1">
        <f>SUM(OSRRefE21_8x_4)</f>
        <v>400</v>
      </c>
      <c r="M59" s="1">
        <f>SUM(OSRRefE21_8x_5)</f>
        <v>400</v>
      </c>
      <c r="N59" s="1">
        <f>SUM(OSRRefE21_8x_6)</f>
        <v>400</v>
      </c>
      <c r="O59" s="1">
        <f>SUM(OSRRefE21_8x_7)</f>
        <v>400</v>
      </c>
      <c r="Q59" s="2">
        <f>SUM(OSRRefD20_8x)+IFERROR(SUM(OSRRefE20_8x),0)</f>
        <v>4171.13</v>
      </c>
    </row>
    <row r="60" spans="1:17" s="34" customFormat="1" hidden="1" outlineLevel="1" x14ac:dyDescent="0.25">
      <c r="A60" s="35"/>
      <c r="B60" s="13" t="str">
        <f>CONCATENATE("          ","6351", " - ","EQUIPMENT RENTAL")</f>
        <v xml:space="preserve">          6351 - EQUIPMENT RENTAL</v>
      </c>
      <c r="C60" s="15"/>
      <c r="D60" s="2">
        <v>173.95</v>
      </c>
      <c r="E60" s="2">
        <v>312.27</v>
      </c>
      <c r="F60" s="2">
        <v>116.72</v>
      </c>
      <c r="G60" s="2">
        <v>368.19</v>
      </c>
      <c r="H60" s="2">
        <v>400</v>
      </c>
      <c r="I60" s="2">
        <v>400</v>
      </c>
      <c r="J60" s="2">
        <v>400</v>
      </c>
      <c r="K60" s="2">
        <v>400</v>
      </c>
      <c r="L60" s="2">
        <v>400</v>
      </c>
      <c r="M60" s="2">
        <v>400</v>
      </c>
      <c r="N60" s="2">
        <v>400</v>
      </c>
      <c r="O60" s="2">
        <v>400</v>
      </c>
      <c r="P60" s="9"/>
      <c r="Q60" s="2">
        <f>SUM(OSRRefD21_8_0x)+IFERROR(SUM(OSRRefE21_8_0x),0)</f>
        <v>4171.13</v>
      </c>
    </row>
    <row r="61" spans="1:17" s="34" customFormat="1" collapsed="1" x14ac:dyDescent="0.25">
      <c r="A61" s="35"/>
      <c r="B61" s="15" t="str">
        <f>CONCATENATE("     ","General                                           ")</f>
        <v xml:space="preserve">     General                                           </v>
      </c>
      <c r="C61" s="15"/>
      <c r="D61" s="1">
        <f>SUM(OSRRefD21_9x_0)</f>
        <v>3419.55</v>
      </c>
      <c r="E61" s="1">
        <f>SUM(OSRRefD21_9x_1)</f>
        <v>80.650000000000006</v>
      </c>
      <c r="F61" s="1">
        <f>SUM(OSRRefD21_9x_2)</f>
        <v>0</v>
      </c>
      <c r="G61" s="1">
        <f>SUM(OSRRefD21_9x_3)</f>
        <v>0</v>
      </c>
      <c r="H61" s="1">
        <f>SUM(OSRRefE21_9x_0)</f>
        <v>150</v>
      </c>
      <c r="I61" s="1">
        <f>SUM(OSRRefE21_9x_1)</f>
        <v>150</v>
      </c>
      <c r="J61" s="1">
        <f>SUM(OSRRefE21_9x_2)</f>
        <v>150</v>
      </c>
      <c r="K61" s="1">
        <f>SUM(OSRRefE21_9x_3)</f>
        <v>150</v>
      </c>
      <c r="L61" s="1">
        <f>SUM(OSRRefE21_9x_4)</f>
        <v>150</v>
      </c>
      <c r="M61" s="1">
        <f>SUM(OSRRefE21_9x_5)</f>
        <v>150</v>
      </c>
      <c r="N61" s="1">
        <f>SUM(OSRRefE21_9x_6)</f>
        <v>150</v>
      </c>
      <c r="O61" s="1">
        <f>SUM(OSRRefE21_9x_7)</f>
        <v>150</v>
      </c>
      <c r="Q61" s="2">
        <f>SUM(OSRRefD20_9x)+IFERROR(SUM(OSRRefE20_9x),0)</f>
        <v>4700.2000000000007</v>
      </c>
    </row>
    <row r="62" spans="1:17" s="34" customFormat="1" hidden="1" outlineLevel="1" x14ac:dyDescent="0.25">
      <c r="A62" s="35"/>
      <c r="B62" s="13" t="str">
        <f>CONCATENATE("          ","6279", " - ","GENERAL EXPENSE")</f>
        <v xml:space="preserve">          6279 - GENERAL EXPENSE</v>
      </c>
      <c r="C62" s="15"/>
      <c r="D62" s="2">
        <v>3419.55</v>
      </c>
      <c r="E62" s="2">
        <v>80.650000000000006</v>
      </c>
      <c r="F62" s="2"/>
      <c r="G62" s="2"/>
      <c r="H62" s="2">
        <v>150</v>
      </c>
      <c r="I62" s="2">
        <v>150</v>
      </c>
      <c r="J62" s="2">
        <v>150</v>
      </c>
      <c r="K62" s="2">
        <v>150</v>
      </c>
      <c r="L62" s="2">
        <v>150</v>
      </c>
      <c r="M62" s="2">
        <v>150</v>
      </c>
      <c r="N62" s="2">
        <v>150</v>
      </c>
      <c r="O62" s="2">
        <v>150</v>
      </c>
      <c r="P62" s="9"/>
      <c r="Q62" s="2">
        <f>SUM(OSRRefD21_9_0x)+IFERROR(SUM(OSRRefE21_9_0x),0)</f>
        <v>4700.2000000000007</v>
      </c>
    </row>
    <row r="63" spans="1:17" s="34" customFormat="1" collapsed="1" x14ac:dyDescent="0.25">
      <c r="A63" s="35"/>
      <c r="B63" s="15" t="str">
        <f>CONCATENATE("     ","R/H Commissions                                   ")</f>
        <v xml:space="preserve">     R/H Commissions                                   </v>
      </c>
      <c r="C63" s="15"/>
      <c r="D63" s="1">
        <f>SUM(OSRRefD21_10x_0)</f>
        <v>1151.68</v>
      </c>
      <c r="E63" s="1">
        <f>SUM(OSRRefD21_10x_1)</f>
        <v>144</v>
      </c>
      <c r="F63" s="1">
        <f>SUM(OSRRefD21_10x_2)</f>
        <v>0</v>
      </c>
      <c r="G63" s="1">
        <f>SUM(OSRRefD21_10x_3)</f>
        <v>619.49</v>
      </c>
      <c r="H63" s="1">
        <f>SUM(OSRRefE21_10x_0)</f>
        <v>0</v>
      </c>
      <c r="I63" s="1">
        <f>SUM(OSRRefE21_10x_1)</f>
        <v>0</v>
      </c>
      <c r="J63" s="1">
        <f>SUM(OSRRefE21_10x_2)</f>
        <v>0</v>
      </c>
      <c r="K63" s="1">
        <f>SUM(OSRRefE21_10x_3)</f>
        <v>0</v>
      </c>
      <c r="L63" s="1">
        <f>SUM(OSRRefE21_10x_4)</f>
        <v>0</v>
      </c>
      <c r="M63" s="1">
        <f>SUM(OSRRefE21_10x_5)</f>
        <v>0</v>
      </c>
      <c r="N63" s="1">
        <f>SUM(OSRRefE21_10x_6)</f>
        <v>0</v>
      </c>
      <c r="O63" s="1">
        <f>SUM(OSRRefE21_10x_7)</f>
        <v>0</v>
      </c>
      <c r="Q63" s="2">
        <f>SUM(OSRRefD20_10x)+IFERROR(SUM(OSRRefE20_10x),0)</f>
        <v>1915.17</v>
      </c>
    </row>
    <row r="64" spans="1:17" s="34" customFormat="1" hidden="1" outlineLevel="1" x14ac:dyDescent="0.25">
      <c r="A64" s="35"/>
      <c r="B64" s="13" t="str">
        <f>CONCATENATE("          ","6387", " - ","COMMISSION DUE HOUSING")</f>
        <v xml:space="preserve">          6387 - COMMISSION DUE HOUSING</v>
      </c>
      <c r="C64" s="15"/>
      <c r="D64" s="2">
        <v>1151.68</v>
      </c>
      <c r="E64" s="2">
        <v>144</v>
      </c>
      <c r="F64" s="2"/>
      <c r="G64" s="2">
        <v>619.49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SUM(OSRRefD21_10_0x)+IFERROR(SUM(OSRRefE21_10_0x),0)</f>
        <v>1915.17</v>
      </c>
    </row>
    <row r="65" spans="1:17" s="34" customFormat="1" collapsed="1" x14ac:dyDescent="0.25">
      <c r="A65" s="35"/>
      <c r="B65" s="15" t="str">
        <f>CONCATENATE("     ","Repair and Maintenance                            ")</f>
        <v xml:space="preserve">     Repair and Maintenance                            </v>
      </c>
      <c r="C65" s="15"/>
      <c r="D65" s="1">
        <f>SUM(OSRRefD21_11x_0)</f>
        <v>0</v>
      </c>
      <c r="E65" s="1">
        <f>SUM(OSRRefD21_11x_1)</f>
        <v>1085.0999999999999</v>
      </c>
      <c r="F65" s="1">
        <f>SUM(OSRRefD21_11x_2)</f>
        <v>72.349999999999994</v>
      </c>
      <c r="G65" s="1">
        <f>SUM(OSRRefD21_11x_3)</f>
        <v>0</v>
      </c>
      <c r="H65" s="1">
        <f>SUM(OSRRefE21_11x_0)</f>
        <v>1800</v>
      </c>
      <c r="I65" s="1">
        <f>SUM(OSRRefE21_11x_1)</f>
        <v>0</v>
      </c>
      <c r="J65" s="1">
        <f>SUM(OSRRefE21_11x_2)</f>
        <v>8000</v>
      </c>
      <c r="K65" s="1">
        <f>SUM(OSRRefE21_11x_3)</f>
        <v>1800</v>
      </c>
      <c r="L65" s="1">
        <f>SUM(OSRRefE21_11x_4)</f>
        <v>0</v>
      </c>
      <c r="M65" s="1">
        <f>SUM(OSRRefE21_11x_5)</f>
        <v>0</v>
      </c>
      <c r="N65" s="1">
        <f>SUM(OSRRefE21_11x_6)</f>
        <v>1800</v>
      </c>
      <c r="O65" s="1">
        <f>SUM(OSRRefE21_11x_7)</f>
        <v>0</v>
      </c>
      <c r="Q65" s="2">
        <f>SUM(OSRRefD20_11x)+IFERROR(SUM(OSRRefE20_11x),0)</f>
        <v>14557.45</v>
      </c>
    </row>
    <row r="66" spans="1:17" s="34" customFormat="1" hidden="1" outlineLevel="1" x14ac:dyDescent="0.25">
      <c r="A66" s="35"/>
      <c r="B66" s="13" t="str">
        <f>CONCATENATE("          ","6371", " - ","COMPUTER SOFTWARE MAINTENANCE")</f>
        <v xml:space="preserve">          6371 - COMPUTER SOFTWARE MAINTENANCE</v>
      </c>
      <c r="C66" s="15"/>
      <c r="D66" s="2"/>
      <c r="E66" s="2"/>
      <c r="F66" s="2"/>
      <c r="G66" s="2"/>
      <c r="H66" s="2"/>
      <c r="I66" s="2"/>
      <c r="J66" s="2">
        <v>8000</v>
      </c>
      <c r="K66" s="2"/>
      <c r="L66" s="2"/>
      <c r="M66" s="2"/>
      <c r="N66" s="2"/>
      <c r="O66" s="2"/>
      <c r="P66" s="9"/>
      <c r="Q66" s="2">
        <f>SUM(OSRRefD21_11_0x)+IFERROR(SUM(OSRRefE21_11_0x),0)</f>
        <v>8000</v>
      </c>
    </row>
    <row r="67" spans="1:17" s="34" customFormat="1" hidden="1" outlineLevel="1" x14ac:dyDescent="0.25">
      <c r="A67" s="35"/>
      <c r="B67" s="13" t="str">
        <f>CONCATENATE("          ","6373", " - ","MAINTENANCE CONTRACTS")</f>
        <v xml:space="preserve">          6373 - MAINTENANCE CONTRACTS</v>
      </c>
      <c r="C67" s="15"/>
      <c r="D67" s="2"/>
      <c r="E67" s="2">
        <v>1085.0999999999999</v>
      </c>
      <c r="F67" s="2">
        <v>72.349999999999994</v>
      </c>
      <c r="G67" s="2"/>
      <c r="H67" s="2">
        <v>1800</v>
      </c>
      <c r="I67" s="2"/>
      <c r="J67" s="2"/>
      <c r="K67" s="2">
        <v>1800</v>
      </c>
      <c r="L67" s="2"/>
      <c r="M67" s="2"/>
      <c r="N67" s="2">
        <v>1800</v>
      </c>
      <c r="O67" s="2"/>
      <c r="P67" s="9"/>
      <c r="Q67" s="2">
        <f>SUM(OSRRefD21_11_1x)+IFERROR(SUM(OSRRefE21_11_1x),0)</f>
        <v>6557.45</v>
      </c>
    </row>
    <row r="68" spans="1:17" s="34" customFormat="1" hidden="1" outlineLevel="1" x14ac:dyDescent="0.25">
      <c r="A68" s="35"/>
      <c r="B68" s="13" t="str">
        <f>CONCATENATE("          ","6375", " - ","OUTSIDE REPAIRS &amp; MAINTENANCE")</f>
        <v xml:space="preserve">          6375 - OUTSIDE REPAIRS &amp; MAINTENANCE</v>
      </c>
      <c r="C68" s="15"/>
      <c r="D68" s="2"/>
      <c r="E68" s="2"/>
      <c r="F68" s="2"/>
      <c r="G68" s="2"/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SUM(OSRRefD21_11_2x)+IFERROR(SUM(OSRRefE21_11_2x),0)</f>
        <v>0</v>
      </c>
    </row>
    <row r="69" spans="1:17" s="34" customFormat="1" collapsed="1" x14ac:dyDescent="0.25">
      <c r="A69" s="35"/>
      <c r="B69" s="15" t="str">
        <f>CONCATENATE("     ","Services                                          ")</f>
        <v xml:space="preserve">     Services                                          </v>
      </c>
      <c r="C69" s="15"/>
      <c r="D69" s="1">
        <f>SUM(OSRRefD21_12x_0)</f>
        <v>9908.1500000000015</v>
      </c>
      <c r="E69" s="1">
        <f>SUM(OSRRefD21_12x_1)</f>
        <v>6033.7199999999993</v>
      </c>
      <c r="F69" s="1">
        <f>SUM(OSRRefD21_12x_2)</f>
        <v>4375.8600000000006</v>
      </c>
      <c r="G69" s="1">
        <f>SUM(OSRRefD21_12x_3)</f>
        <v>5309.01</v>
      </c>
      <c r="H69" s="1">
        <f>SUM(OSRRefE21_12x_0)</f>
        <v>6607</v>
      </c>
      <c r="I69" s="1">
        <f>SUM(OSRRefE21_12x_1)</f>
        <v>6607</v>
      </c>
      <c r="J69" s="1">
        <f>SUM(OSRRefE21_12x_2)</f>
        <v>6879</v>
      </c>
      <c r="K69" s="1">
        <f>SUM(OSRRefE21_12x_3)</f>
        <v>6879</v>
      </c>
      <c r="L69" s="1">
        <f>SUM(OSRRefE21_12x_4)</f>
        <v>6879</v>
      </c>
      <c r="M69" s="1">
        <f>SUM(OSRRefE21_12x_5)</f>
        <v>6879</v>
      </c>
      <c r="N69" s="1">
        <f>SUM(OSRRefE21_12x_6)</f>
        <v>6879</v>
      </c>
      <c r="O69" s="1">
        <f>SUM(OSRRefE21_12x_7)</f>
        <v>6879</v>
      </c>
      <c r="Q69" s="2">
        <f>SUM(OSRRefD20_12x)+IFERROR(SUM(OSRRefE20_12x),0)</f>
        <v>80114.740000000005</v>
      </c>
    </row>
    <row r="70" spans="1:17" s="34" customFormat="1" hidden="1" outlineLevel="1" x14ac:dyDescent="0.25">
      <c r="A70" s="35"/>
      <c r="B70" s="13" t="str">
        <f>CONCATENATE("          ","6282", " - ","JANITORIAL/EXTERMINATOR EXPENS")</f>
        <v xml:space="preserve">          6282 - JANITORIAL/EXTERMINATOR EXPENS</v>
      </c>
      <c r="C70" s="15"/>
      <c r="D70" s="2">
        <v>130.69999999999999</v>
      </c>
      <c r="E70" s="2">
        <v>417.32</v>
      </c>
      <c r="F70" s="2"/>
      <c r="G70" s="2">
        <v>286.62</v>
      </c>
      <c r="H70" s="2">
        <v>450</v>
      </c>
      <c r="I70" s="2">
        <v>450</v>
      </c>
      <c r="J70" s="2">
        <v>450</v>
      </c>
      <c r="K70" s="2">
        <v>450</v>
      </c>
      <c r="L70" s="2">
        <v>450</v>
      </c>
      <c r="M70" s="2">
        <v>450</v>
      </c>
      <c r="N70" s="2">
        <v>450</v>
      </c>
      <c r="O70" s="2">
        <v>450</v>
      </c>
      <c r="P70" s="9"/>
      <c r="Q70" s="2">
        <f>SUM(OSRRefD21_12_0x)+IFERROR(SUM(OSRRefE21_12_0x),0)</f>
        <v>4434.6400000000003</v>
      </c>
    </row>
    <row r="71" spans="1:17" s="34" customFormat="1" hidden="1" outlineLevel="1" x14ac:dyDescent="0.25">
      <c r="A71" s="35"/>
      <c r="B71" s="13" t="str">
        <f>CONCATENATE("          ","6284", " - ","TRASH REMOVAL EXPENSE")</f>
        <v xml:space="preserve">          6284 - TRASH REMOVAL EXPENSE</v>
      </c>
      <c r="C71" s="15"/>
      <c r="D71" s="2"/>
      <c r="E71" s="2"/>
      <c r="F71" s="2"/>
      <c r="G71" s="2"/>
      <c r="H71" s="2">
        <v>500</v>
      </c>
      <c r="I71" s="2">
        <v>500</v>
      </c>
      <c r="J71" s="2">
        <v>500</v>
      </c>
      <c r="K71" s="2">
        <v>500</v>
      </c>
      <c r="L71" s="2">
        <v>500</v>
      </c>
      <c r="M71" s="2">
        <v>500</v>
      </c>
      <c r="N71" s="2">
        <v>500</v>
      </c>
      <c r="O71" s="2">
        <v>500</v>
      </c>
      <c r="P71" s="9"/>
      <c r="Q71" s="2">
        <f>SUM(OSRRefD21_12_1x)+IFERROR(SUM(OSRRefE21_12_1x),0)</f>
        <v>4000</v>
      </c>
    </row>
    <row r="72" spans="1:17" s="34" customFormat="1" hidden="1" outlineLevel="1" x14ac:dyDescent="0.25">
      <c r="A72" s="35"/>
      <c r="B72" s="13" t="str">
        <f>CONCATENATE("          ","6285", " - ","JANITORIAL SERVICES")</f>
        <v xml:space="preserve">          6285 - JANITORIAL SERVICES</v>
      </c>
      <c r="C72" s="15"/>
      <c r="D72" s="2">
        <v>8314.1</v>
      </c>
      <c r="E72" s="2">
        <v>4157.05</v>
      </c>
      <c r="F72" s="2">
        <v>4157.05</v>
      </c>
      <c r="G72" s="2">
        <v>4157.05</v>
      </c>
      <c r="H72" s="2">
        <v>4157</v>
      </c>
      <c r="I72" s="2">
        <v>4157</v>
      </c>
      <c r="J72" s="2">
        <v>4429</v>
      </c>
      <c r="K72" s="2">
        <v>4429</v>
      </c>
      <c r="L72" s="2">
        <v>4429</v>
      </c>
      <c r="M72" s="2">
        <v>4429</v>
      </c>
      <c r="N72" s="2">
        <v>4429</v>
      </c>
      <c r="O72" s="2">
        <v>4429</v>
      </c>
      <c r="P72" s="9"/>
      <c r="Q72" s="2">
        <f>SUM(OSRRefD21_12_2x)+IFERROR(SUM(OSRRefE21_12_2x),0)</f>
        <v>55673.25</v>
      </c>
    </row>
    <row r="73" spans="1:17" s="34" customFormat="1" hidden="1" outlineLevel="1" x14ac:dyDescent="0.25">
      <c r="A73" s="35"/>
      <c r="B73" s="13" t="str">
        <f>CONCATENATE("          ","6286", " - ","LAUNDRY EXPENSE")</f>
        <v xml:space="preserve">          6286 - LAUNDRY EXPENSE</v>
      </c>
      <c r="C73" s="15"/>
      <c r="D73" s="2">
        <v>1463.35</v>
      </c>
      <c r="E73" s="2">
        <v>1459.35</v>
      </c>
      <c r="F73" s="2">
        <v>218.81</v>
      </c>
      <c r="G73" s="2">
        <v>865.34</v>
      </c>
      <c r="H73" s="2">
        <v>1500</v>
      </c>
      <c r="I73" s="2">
        <v>1500</v>
      </c>
      <c r="J73" s="2">
        <v>1500</v>
      </c>
      <c r="K73" s="2">
        <v>1500</v>
      </c>
      <c r="L73" s="2">
        <v>1500</v>
      </c>
      <c r="M73" s="2">
        <v>1500</v>
      </c>
      <c r="N73" s="2">
        <v>1500</v>
      </c>
      <c r="O73" s="2">
        <v>1500</v>
      </c>
      <c r="P73" s="9"/>
      <c r="Q73" s="2">
        <f>SUM(OSRRefD21_12_3x)+IFERROR(SUM(OSRRefE21_12_3x),0)</f>
        <v>16006.85</v>
      </c>
    </row>
    <row r="74" spans="1:17" s="34" customFormat="1" collapsed="1" x14ac:dyDescent="0.25">
      <c r="A74" s="35"/>
      <c r="B74" s="15" t="str">
        <f>CONCATENATE("     ","Supplies                                          ")</f>
        <v xml:space="preserve">     Supplies                                          </v>
      </c>
      <c r="C74" s="15"/>
      <c r="D74" s="1">
        <f>SUM(OSRRefD21_13x_0)</f>
        <v>1929.3200000000002</v>
      </c>
      <c r="E74" s="1">
        <f>SUM(OSRRefD21_13x_1)</f>
        <v>4428.42</v>
      </c>
      <c r="F74" s="1">
        <f>SUM(OSRRefD21_13x_2)</f>
        <v>1628.65</v>
      </c>
      <c r="G74" s="1">
        <f>SUM(OSRRefD21_13x_3)</f>
        <v>0</v>
      </c>
      <c r="H74" s="1">
        <f>SUM(OSRRefE21_13x_0)</f>
        <v>0</v>
      </c>
      <c r="I74" s="1">
        <f>SUM(OSRRefE21_13x_1)</f>
        <v>0</v>
      </c>
      <c r="J74" s="1">
        <f>SUM(OSRRefE21_13x_2)</f>
        <v>0</v>
      </c>
      <c r="K74" s="1">
        <f>SUM(OSRRefE21_13x_3)</f>
        <v>0</v>
      </c>
      <c r="L74" s="1">
        <f>SUM(OSRRefE21_13x_4)</f>
        <v>0</v>
      </c>
      <c r="M74" s="1">
        <f>SUM(OSRRefE21_13x_5)</f>
        <v>0</v>
      </c>
      <c r="N74" s="1">
        <f>SUM(OSRRefE21_13x_6)</f>
        <v>0</v>
      </c>
      <c r="O74" s="1">
        <f>SUM(OSRRefE21_13x_7)</f>
        <v>0</v>
      </c>
      <c r="Q74" s="2">
        <f>SUM(OSRRefD20_13x)+IFERROR(SUM(OSRRefE20_13x),0)</f>
        <v>7986.3899999999994</v>
      </c>
    </row>
    <row r="75" spans="1:17" s="34" customFormat="1" hidden="1" outlineLevel="1" x14ac:dyDescent="0.25">
      <c r="A75" s="35"/>
      <c r="B75" s="13" t="str">
        <f>CONCATENATE("          ","6235", " - ","COVID-19 EXPENSES")</f>
        <v xml:space="preserve">          6235 - COVID-19 EXPENSES</v>
      </c>
      <c r="C75" s="15"/>
      <c r="D75" s="2">
        <v>26.92</v>
      </c>
      <c r="E75" s="2">
        <v>1082.46</v>
      </c>
      <c r="F75" s="2">
        <v>265.7</v>
      </c>
      <c r="G75" s="2"/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9"/>
      <c r="Q75" s="2">
        <f>SUM(OSRRefD21_13_0x)+IFERROR(SUM(OSRRefE21_13_0x),0)</f>
        <v>1375.0800000000002</v>
      </c>
    </row>
    <row r="76" spans="1:17" s="34" customFormat="1" hidden="1" outlineLevel="1" x14ac:dyDescent="0.25">
      <c r="A76" s="35"/>
      <c r="B76" s="13" t="str">
        <f>CONCATENATE("          ","6237", " - ","JANITORIAL SUPPLIES")</f>
        <v xml:space="preserve">          6237 - JANITORIAL SUPPLIES</v>
      </c>
      <c r="C76" s="15"/>
      <c r="D76" s="2">
        <v>1188.04</v>
      </c>
      <c r="E76" s="2"/>
      <c r="F76" s="2">
        <v>1362.95</v>
      </c>
      <c r="G76" s="2"/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SUM(OSRRefD21_13_1x)+IFERROR(SUM(OSRRefE21_13_1x),0)</f>
        <v>2550.9899999999998</v>
      </c>
    </row>
    <row r="77" spans="1:17" s="34" customFormat="1" hidden="1" outlineLevel="1" x14ac:dyDescent="0.25">
      <c r="A77" s="35"/>
      <c r="B77" s="13" t="str">
        <f>CONCATENATE("          ","6239", " - ","KITCHEN SUPPLIES")</f>
        <v xml:space="preserve">          6239 - KITCHEN SUPPLIES</v>
      </c>
      <c r="C77" s="15"/>
      <c r="D77" s="2">
        <v>50</v>
      </c>
      <c r="E77" s="2">
        <v>981.07</v>
      </c>
      <c r="F77" s="2"/>
      <c r="G77" s="2"/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9"/>
      <c r="Q77" s="2">
        <f>SUM(OSRRefD21_13_2x)+IFERROR(SUM(OSRRefE21_13_2x),0)</f>
        <v>1031.0700000000002</v>
      </c>
    </row>
    <row r="78" spans="1:17" s="34" customFormat="1" hidden="1" outlineLevel="1" x14ac:dyDescent="0.25">
      <c r="A78" s="35"/>
      <c r="B78" s="13" t="str">
        <f>CONCATENATE("          ","6241", " - ","OFFICE EXPENSE")</f>
        <v xml:space="preserve">          6241 - OFFICE EXPENSE</v>
      </c>
      <c r="C78" s="15"/>
      <c r="D78" s="2">
        <v>16.48</v>
      </c>
      <c r="E78" s="2">
        <v>3.22</v>
      </c>
      <c r="F78" s="2"/>
      <c r="G78" s="2"/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SUM(OSRRefD21_13_3x)+IFERROR(SUM(OSRRefE21_13_3x),0)</f>
        <v>19.7</v>
      </c>
    </row>
    <row r="79" spans="1:17" s="34" customFormat="1" hidden="1" outlineLevel="1" x14ac:dyDescent="0.25">
      <c r="A79" s="35"/>
      <c r="B79" s="13" t="str">
        <f>CONCATENATE("          ","6243", " - ","PAPER SUPPLIES")</f>
        <v xml:space="preserve">          6243 - PAPER SUPPLIES</v>
      </c>
      <c r="C79" s="15"/>
      <c r="D79" s="2">
        <v>647.88</v>
      </c>
      <c r="E79" s="2">
        <v>2361.67</v>
      </c>
      <c r="F79" s="2"/>
      <c r="G79" s="2"/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9"/>
      <c r="Q79" s="2">
        <f>SUM(OSRRefD21_13_4x)+IFERROR(SUM(OSRRefE21_13_4x),0)</f>
        <v>3009.55</v>
      </c>
    </row>
    <row r="80" spans="1:17" s="34" customFormat="1" hidden="1" outlineLevel="1" x14ac:dyDescent="0.25">
      <c r="A80" s="35"/>
      <c r="B80" s="13" t="str">
        <f>CONCATENATE("          ","6244", " - ","SAFETY SUPPLY EXPENSE")</f>
        <v xml:space="preserve">          6244 - SAFETY SUPPLY EXPENSE</v>
      </c>
      <c r="C80" s="15"/>
      <c r="D80" s="2"/>
      <c r="E80" s="2"/>
      <c r="F80" s="2"/>
      <c r="G80" s="2"/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SUM(OSRRefD21_13_5x)+IFERROR(SUM(OSRRefE21_13_5x),0)</f>
        <v>0</v>
      </c>
    </row>
    <row r="81" spans="1:17" s="34" customFormat="1" hidden="1" outlineLevel="1" x14ac:dyDescent="0.25">
      <c r="A81" s="35"/>
      <c r="B81" s="13" t="str">
        <f>CONCATENATE("          ","6245", " - ","PRINTING")</f>
        <v xml:space="preserve">          6245 - PRINTING</v>
      </c>
      <c r="C81" s="15"/>
      <c r="D81" s="2"/>
      <c r="E81" s="2"/>
      <c r="F81" s="2"/>
      <c r="G81" s="2"/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9"/>
      <c r="Q81" s="2">
        <f>SUM(OSRRefD21_13_6x)+IFERROR(SUM(OSRRefE21_13_6x),0)</f>
        <v>0</v>
      </c>
    </row>
    <row r="82" spans="1:17" s="34" customFormat="1" hidden="1" outlineLevel="1" x14ac:dyDescent="0.25">
      <c r="A82" s="35"/>
      <c r="B82" s="13" t="str">
        <f>CONCATENATE("          ","6248", " - ","UNIFORMS")</f>
        <v xml:space="preserve">          6248 - UNIFORMS</v>
      </c>
      <c r="C82" s="15"/>
      <c r="D82" s="2"/>
      <c r="E82" s="2"/>
      <c r="F82" s="2"/>
      <c r="G82" s="2"/>
      <c r="H82" s="2"/>
      <c r="I82" s="2"/>
      <c r="J82" s="2">
        <v>0</v>
      </c>
      <c r="K82" s="2"/>
      <c r="L82" s="2"/>
      <c r="M82" s="2"/>
      <c r="N82" s="2"/>
      <c r="O82" s="2"/>
      <c r="P82" s="9"/>
      <c r="Q82" s="2">
        <f>SUM(OSRRefD21_13_7x)+IFERROR(SUM(OSRRefE21_13_7x),0)</f>
        <v>0</v>
      </c>
    </row>
    <row r="83" spans="1:17" s="34" customFormat="1" collapsed="1" x14ac:dyDescent="0.25">
      <c r="A83" s="35"/>
      <c r="B83" s="15" t="str">
        <f>CONCATENATE("     ","Telephone/Data Lines                              ")</f>
        <v xml:space="preserve">     Telephone/Data Lines                              </v>
      </c>
      <c r="C83" s="15"/>
      <c r="D83" s="1">
        <f>SUM(OSRRefD21_14x_0)</f>
        <v>139</v>
      </c>
      <c r="E83" s="1">
        <f>SUM(OSRRefD21_14x_1)</f>
        <v>139</v>
      </c>
      <c r="F83" s="1">
        <f>SUM(OSRRefD21_14x_2)</f>
        <v>225</v>
      </c>
      <c r="G83" s="1">
        <f>SUM(OSRRefD21_14x_3)</f>
        <v>139</v>
      </c>
      <c r="H83" s="1">
        <f>SUM(OSRRefE21_14x_0)</f>
        <v>175</v>
      </c>
      <c r="I83" s="1">
        <f>SUM(OSRRefE21_14x_1)</f>
        <v>175</v>
      </c>
      <c r="J83" s="1">
        <f>SUM(OSRRefE21_14x_2)</f>
        <v>175</v>
      </c>
      <c r="K83" s="1">
        <f>SUM(OSRRefE21_14x_3)</f>
        <v>175</v>
      </c>
      <c r="L83" s="1">
        <f>SUM(OSRRefE21_14x_4)</f>
        <v>175</v>
      </c>
      <c r="M83" s="1">
        <f>SUM(OSRRefE21_14x_5)</f>
        <v>175</v>
      </c>
      <c r="N83" s="1">
        <f>SUM(OSRRefE21_14x_6)</f>
        <v>175</v>
      </c>
      <c r="O83" s="1">
        <f>SUM(OSRRefE21_14x_7)</f>
        <v>175</v>
      </c>
      <c r="Q83" s="2">
        <f>SUM(OSRRefD20_14x)+IFERROR(SUM(OSRRefE20_14x),0)</f>
        <v>2042</v>
      </c>
    </row>
    <row r="84" spans="1:17" s="34" customFormat="1" hidden="1" outlineLevel="1" x14ac:dyDescent="0.25">
      <c r="A84" s="35"/>
      <c r="B84" s="13" t="str">
        <f>CONCATENATE("          ","6309", " - ","TELEPHONE")</f>
        <v xml:space="preserve">          6309 - TELEPHONE</v>
      </c>
      <c r="C84" s="15"/>
      <c r="D84" s="2">
        <v>139</v>
      </c>
      <c r="E84" s="2">
        <v>139</v>
      </c>
      <c r="F84" s="2">
        <v>225</v>
      </c>
      <c r="G84" s="2">
        <v>139</v>
      </c>
      <c r="H84" s="2">
        <v>175</v>
      </c>
      <c r="I84" s="2">
        <v>175</v>
      </c>
      <c r="J84" s="2">
        <v>175</v>
      </c>
      <c r="K84" s="2">
        <v>175</v>
      </c>
      <c r="L84" s="2">
        <v>175</v>
      </c>
      <c r="M84" s="2">
        <v>175</v>
      </c>
      <c r="N84" s="2">
        <v>175</v>
      </c>
      <c r="O84" s="2">
        <v>175</v>
      </c>
      <c r="P84" s="9"/>
      <c r="Q84" s="2">
        <f>SUM(OSRRefD21_14_0x)+IFERROR(SUM(OSRRefE21_14_0x),0)</f>
        <v>2042</v>
      </c>
    </row>
    <row r="85" spans="1:17" s="34" customFormat="1" collapsed="1" x14ac:dyDescent="0.25">
      <c r="A85" s="35"/>
      <c r="B85" s="15" t="str">
        <f>CONCATENATE("     ","Training                                          ")</f>
        <v xml:space="preserve">     Training                                          </v>
      </c>
      <c r="C85" s="15"/>
      <c r="D85" s="1">
        <f>SUM(OSRRefD21_15x_0)</f>
        <v>0</v>
      </c>
      <c r="E85" s="1">
        <f>SUM(OSRRefD21_15x_1)</f>
        <v>0</v>
      </c>
      <c r="F85" s="1">
        <f>SUM(OSRRefD21_15x_2)</f>
        <v>0</v>
      </c>
      <c r="G85" s="1">
        <f>SUM(OSRRefD21_15x_3)</f>
        <v>0</v>
      </c>
      <c r="H85" s="1">
        <f>SUM(OSRRefE21_15x_0)</f>
        <v>0</v>
      </c>
      <c r="I85" s="1">
        <f>SUM(OSRRefE21_15x_1)</f>
        <v>0</v>
      </c>
      <c r="J85" s="1">
        <f>SUM(OSRRefE21_15x_2)</f>
        <v>0</v>
      </c>
      <c r="K85" s="1">
        <f>SUM(OSRRefE21_15x_3)</f>
        <v>0</v>
      </c>
      <c r="L85" s="1">
        <f>SUM(OSRRefE21_15x_4)</f>
        <v>0</v>
      </c>
      <c r="M85" s="1">
        <f>SUM(OSRRefE21_15x_5)</f>
        <v>0</v>
      </c>
      <c r="N85" s="1">
        <f>SUM(OSRRefE21_15x_6)</f>
        <v>0</v>
      </c>
      <c r="O85" s="1">
        <f>SUM(OSRRefE21_15x_7)</f>
        <v>0</v>
      </c>
      <c r="Q85" s="2">
        <f>SUM(OSRRefD20_15x)+IFERROR(SUM(OSRRefE20_15x),0)</f>
        <v>0</v>
      </c>
    </row>
    <row r="86" spans="1:17" s="34" customFormat="1" hidden="1" outlineLevel="1" x14ac:dyDescent="0.25">
      <c r="A86" s="35"/>
      <c r="B86" s="13" t="str">
        <f>CONCATENATE("          ","6376", " - ","TRAINING")</f>
        <v xml:space="preserve">          6376 - TRAINING</v>
      </c>
      <c r="C86" s="15"/>
      <c r="D86" s="2"/>
      <c r="E86" s="2"/>
      <c r="F86" s="2"/>
      <c r="G86" s="2"/>
      <c r="H86" s="2"/>
      <c r="I86" s="2"/>
      <c r="J86" s="2">
        <v>0</v>
      </c>
      <c r="K86" s="2"/>
      <c r="L86" s="2"/>
      <c r="M86" s="2"/>
      <c r="N86" s="2"/>
      <c r="O86" s="2">
        <v>0</v>
      </c>
      <c r="P86" s="9"/>
      <c r="Q86" s="2">
        <f>SUM(OSRRefD21_15_0x)+IFERROR(SUM(OSRRefE21_15_0x),0)</f>
        <v>0</v>
      </c>
    </row>
    <row r="87" spans="1:17" s="28" customFormat="1" x14ac:dyDescent="0.25">
      <c r="A87" s="20"/>
      <c r="B87" s="20"/>
      <c r="C87" s="20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25">
      <c r="A88" s="22"/>
      <c r="B88" s="16" t="s">
        <v>0</v>
      </c>
      <c r="C88" s="23"/>
      <c r="D88" s="3">
        <f t="shared" ref="D88:G88" si="4">0</f>
        <v>0</v>
      </c>
      <c r="E88" s="3">
        <f t="shared" si="4"/>
        <v>0</v>
      </c>
      <c r="F88" s="3">
        <f t="shared" si="4"/>
        <v>0</v>
      </c>
      <c r="G88" s="3">
        <f t="shared" si="4"/>
        <v>0</v>
      </c>
      <c r="H88" s="3"/>
      <c r="I88" s="3"/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25">
      <c r="A89" s="5"/>
      <c r="B89" s="8"/>
      <c r="C89" s="8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4" customFormat="1" x14ac:dyDescent="0.25">
      <c r="A90" s="8"/>
      <c r="B90" s="17" t="s">
        <v>3</v>
      </c>
      <c r="C90" s="17"/>
      <c r="D90" s="6">
        <f t="shared" ref="D90:O90" si="5">IFERROR(+D21-D24+D88, 0)</f>
        <v>-51821.23000000001</v>
      </c>
      <c r="E90" s="6">
        <f t="shared" si="5"/>
        <v>-64332.539999999994</v>
      </c>
      <c r="F90" s="6">
        <f t="shared" si="5"/>
        <v>-26482.909999999996</v>
      </c>
      <c r="G90" s="6">
        <f t="shared" si="5"/>
        <v>-80190.41</v>
      </c>
      <c r="H90" s="6">
        <f t="shared" si="5"/>
        <v>-70722.633573846193</v>
      </c>
      <c r="I90" s="6">
        <f t="shared" si="5"/>
        <v>-17082</v>
      </c>
      <c r="J90" s="6">
        <f t="shared" si="5"/>
        <v>-86164.791967307698</v>
      </c>
      <c r="K90" s="6">
        <f t="shared" si="5"/>
        <v>-70994.633573846193</v>
      </c>
      <c r="L90" s="6">
        <f t="shared" si="5"/>
        <v>-69194.633573846193</v>
      </c>
      <c r="M90" s="6">
        <f t="shared" si="5"/>
        <v>-81164.791967307698</v>
      </c>
      <c r="N90" s="6">
        <f t="shared" si="5"/>
        <v>-67994.633573846193</v>
      </c>
      <c r="O90" s="6">
        <f t="shared" si="5"/>
        <v>-61194.633573846193</v>
      </c>
      <c r="Q90" s="6">
        <f>IFERROR(+Q21-Q24+Q88, 0)</f>
        <v>-747339.84180384642</v>
      </c>
    </row>
    <row r="91" spans="1:17" s="8" customFormat="1" x14ac:dyDescent="0.25">
      <c r="B91" s="16"/>
      <c r="C91" s="16"/>
      <c r="D91" s="4">
        <f t="shared" ref="D91:O91" si="6">IFERROR(D90/D10, 0)</f>
        <v>-2.6811591728442594</v>
      </c>
      <c r="E91" s="4">
        <f t="shared" si="6"/>
        <v>-20.377744694330058</v>
      </c>
      <c r="F91" s="4">
        <f t="shared" si="6"/>
        <v>-1.042213673615962</v>
      </c>
      <c r="G91" s="4">
        <f t="shared" si="6"/>
        <v>3.3283627436127849</v>
      </c>
      <c r="H91" s="4">
        <f t="shared" si="6"/>
        <v>0</v>
      </c>
      <c r="I91" s="4">
        <f t="shared" si="6"/>
        <v>0</v>
      </c>
      <c r="J91" s="4">
        <f t="shared" si="6"/>
        <v>0</v>
      </c>
      <c r="K91" s="4">
        <f t="shared" si="6"/>
        <v>0</v>
      </c>
      <c r="L91" s="4">
        <f t="shared" si="6"/>
        <v>0</v>
      </c>
      <c r="M91" s="4">
        <f t="shared" si="6"/>
        <v>0</v>
      </c>
      <c r="N91" s="4">
        <f t="shared" si="6"/>
        <v>0</v>
      </c>
      <c r="O91" s="4">
        <f t="shared" si="6"/>
        <v>0</v>
      </c>
      <c r="P91" s="18"/>
      <c r="Q91" s="4">
        <f>IFERROR(Q90/Q10, 0)</f>
        <v>-31.398036889312646</v>
      </c>
    </row>
    <row r="92" spans="1:17" x14ac:dyDescent="0.25">
      <c r="A92" s="5"/>
      <c r="B92" s="8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4" customFormat="1" x14ac:dyDescent="0.25">
      <c r="A93" s="25"/>
      <c r="B93" s="8" t="s">
        <v>8</v>
      </c>
      <c r="C93" s="8"/>
      <c r="D93" s="3">
        <v>9295.7000000000007</v>
      </c>
      <c r="E93" s="3">
        <v>-5499.42</v>
      </c>
      <c r="F93" s="3">
        <v>5076.54</v>
      </c>
      <c r="G93" s="3">
        <v>-3716.77</v>
      </c>
      <c r="H93" s="3">
        <v>36280</v>
      </c>
      <c r="I93" s="3">
        <v>33488</v>
      </c>
      <c r="J93" s="3">
        <v>6785</v>
      </c>
      <c r="K93" s="3">
        <v>39568</v>
      </c>
      <c r="L93" s="3">
        <v>46020</v>
      </c>
      <c r="M93" s="3">
        <v>47379</v>
      </c>
      <c r="N93" s="3">
        <v>29008</v>
      </c>
      <c r="O93" s="3">
        <v>-26627</v>
      </c>
      <c r="Q93" s="2">
        <f>SUM(OSRRefD28_0x)+IFERROR(SUM(OSRRefE28_0x),0)</f>
        <v>217057.05</v>
      </c>
    </row>
    <row r="94" spans="1:17" x14ac:dyDescent="0.25">
      <c r="A94" s="5"/>
      <c r="B94" s="8"/>
      <c r="C94" s="8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4" customFormat="1" ht="15.75" thickBot="1" x14ac:dyDescent="0.3">
      <c r="A95" s="8"/>
      <c r="B95" s="17" t="s">
        <v>4</v>
      </c>
      <c r="C95" s="17"/>
      <c r="D95" s="7">
        <f t="shared" ref="D95:O95" si="7">IFERROR(+D90-D93, 0)</f>
        <v>-61116.930000000008</v>
      </c>
      <c r="E95" s="7">
        <f t="shared" si="7"/>
        <v>-58833.119999999995</v>
      </c>
      <c r="F95" s="7">
        <f t="shared" si="7"/>
        <v>-31559.449999999997</v>
      </c>
      <c r="G95" s="7">
        <f t="shared" si="7"/>
        <v>-76473.64</v>
      </c>
      <c r="H95" s="7">
        <f t="shared" si="7"/>
        <v>-107002.63357384619</v>
      </c>
      <c r="I95" s="7">
        <f t="shared" si="7"/>
        <v>-50570</v>
      </c>
      <c r="J95" s="7">
        <f t="shared" si="7"/>
        <v>-92949.791967307698</v>
      </c>
      <c r="K95" s="7">
        <f t="shared" si="7"/>
        <v>-110562.63357384619</v>
      </c>
      <c r="L95" s="7">
        <f t="shared" si="7"/>
        <v>-115214.63357384619</v>
      </c>
      <c r="M95" s="7">
        <f t="shared" si="7"/>
        <v>-128543.7919673077</v>
      </c>
      <c r="N95" s="7">
        <f t="shared" si="7"/>
        <v>-97002.633573846193</v>
      </c>
      <c r="O95" s="7">
        <f t="shared" si="7"/>
        <v>-34567.633573846193</v>
      </c>
      <c r="Q95" s="7">
        <f>IFERROR(+Q90-Q93, 0)</f>
        <v>-964396.89180384646</v>
      </c>
    </row>
    <row r="96" spans="1:17" ht="15.75" thickTop="1" x14ac:dyDescent="0.25">
      <c r="A96" s="5"/>
      <c r="B96" s="5"/>
      <c r="C96" s="5"/>
      <c r="D96" s="4">
        <f t="shared" ref="D96:O96" si="8">IFERROR(D95/D10, 0)</f>
        <v>-3.1621059068953108</v>
      </c>
      <c r="E96" s="4">
        <f t="shared" si="8"/>
        <v>-18.635768134304719</v>
      </c>
      <c r="F96" s="4">
        <f t="shared" si="8"/>
        <v>-1.2419968319870918</v>
      </c>
      <c r="G96" s="4">
        <f t="shared" si="8"/>
        <v>3.1740954341604737</v>
      </c>
      <c r="H96" s="4">
        <f t="shared" si="8"/>
        <v>0</v>
      </c>
      <c r="I96" s="4">
        <f t="shared" si="8"/>
        <v>0</v>
      </c>
      <c r="J96" s="4">
        <f t="shared" si="8"/>
        <v>0</v>
      </c>
      <c r="K96" s="4">
        <f t="shared" si="8"/>
        <v>0</v>
      </c>
      <c r="L96" s="4">
        <f t="shared" si="8"/>
        <v>0</v>
      </c>
      <c r="M96" s="4">
        <f t="shared" si="8"/>
        <v>0</v>
      </c>
      <c r="N96" s="4">
        <f t="shared" si="8"/>
        <v>0</v>
      </c>
      <c r="O96" s="4">
        <f t="shared" si="8"/>
        <v>0</v>
      </c>
      <c r="P96" s="18"/>
      <c r="Q96" s="4">
        <f>IFERROR(Q95/Q10, 0)</f>
        <v>-40.517268705638251</v>
      </c>
    </row>
    <row r="97" spans="1:17" x14ac:dyDescent="0.2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25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4" customFormat="1" ht="15.75" thickBot="1" x14ac:dyDescent="0.3">
      <c r="A99" s="8"/>
      <c r="B99" s="17" t="s">
        <v>5</v>
      </c>
      <c r="C99" s="17"/>
      <c r="D99" s="7">
        <f t="shared" ref="D99:O99" si="9">IFERROR(SUM(D95:D98), 0)</f>
        <v>-61120.092105906901</v>
      </c>
      <c r="E99" s="7">
        <f t="shared" si="9"/>
        <v>-58851.755768134302</v>
      </c>
      <c r="F99" s="7">
        <f t="shared" si="9"/>
        <v>-31560.691996831985</v>
      </c>
      <c r="G99" s="7">
        <f t="shared" si="9"/>
        <v>-76470.465904565834</v>
      </c>
      <c r="H99" s="7">
        <f t="shared" si="9"/>
        <v>-107002.63357384619</v>
      </c>
      <c r="I99" s="7">
        <f t="shared" si="9"/>
        <v>-50570</v>
      </c>
      <c r="J99" s="7">
        <f t="shared" si="9"/>
        <v>-92949.791967307698</v>
      </c>
      <c r="K99" s="7">
        <f t="shared" si="9"/>
        <v>-110562.63357384619</v>
      </c>
      <c r="L99" s="7">
        <f t="shared" si="9"/>
        <v>-115214.63357384619</v>
      </c>
      <c r="M99" s="7">
        <f t="shared" si="9"/>
        <v>-128543.7919673077</v>
      </c>
      <c r="N99" s="7">
        <f t="shared" si="9"/>
        <v>-97002.633573846193</v>
      </c>
      <c r="O99" s="7">
        <f t="shared" si="9"/>
        <v>-34567.633573846193</v>
      </c>
      <c r="Q99" s="7">
        <f>IFERROR(SUM(Q95:Q98), 0)</f>
        <v>-964437.40907255211</v>
      </c>
    </row>
    <row r="100" spans="1:17" ht="15.75" thickTop="1" x14ac:dyDescent="0.25">
      <c r="A100" s="5"/>
      <c r="C100" s="5"/>
      <c r="D100" s="4">
        <f t="shared" ref="D100:O100" si="10">IFERROR(D99/D10, 0)</f>
        <v>-3.1622695099062343</v>
      </c>
      <c r="E100" s="4">
        <f t="shared" si="10"/>
        <v>-18.64167113339699</v>
      </c>
      <c r="F100" s="4">
        <f t="shared" si="10"/>
        <v>-1.2420457097758575</v>
      </c>
      <c r="G100" s="4">
        <f t="shared" si="10"/>
        <v>3.1739636909634039</v>
      </c>
      <c r="H100" s="4">
        <f t="shared" si="10"/>
        <v>0</v>
      </c>
      <c r="I100" s="4">
        <f t="shared" si="10"/>
        <v>0</v>
      </c>
      <c r="J100" s="4">
        <f t="shared" si="10"/>
        <v>0</v>
      </c>
      <c r="K100" s="4">
        <f t="shared" si="10"/>
        <v>0</v>
      </c>
      <c r="L100" s="4">
        <f t="shared" si="10"/>
        <v>0</v>
      </c>
      <c r="M100" s="4">
        <f t="shared" si="10"/>
        <v>0</v>
      </c>
      <c r="N100" s="4">
        <f t="shared" si="10"/>
        <v>0</v>
      </c>
      <c r="O100" s="4">
        <f t="shared" si="10"/>
        <v>0</v>
      </c>
      <c r="P100" s="18"/>
      <c r="Q100" s="4">
        <f>IFERROR(Q99/Q10, 0)</f>
        <v>-40.518970960256986</v>
      </c>
    </row>
    <row r="101" spans="1:17" x14ac:dyDescent="0.25">
      <c r="A101" s="5"/>
      <c r="B101" s="26">
        <v>44151.565077118059</v>
      </c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Q101" s="12"/>
    </row>
    <row r="102" spans="1:17" x14ac:dyDescent="0.25">
      <c r="A102" s="5"/>
      <c r="B102" s="30" t="s">
        <v>311</v>
      </c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Q102" s="12"/>
    </row>
    <row r="103" spans="1:17" x14ac:dyDescent="0.25">
      <c r="A103" s="5"/>
      <c r="B103" s="31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Q103" s="12"/>
    </row>
    <row r="104" spans="1:17" x14ac:dyDescent="0.25"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Q104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s">
        <v>293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","435", " - ", "Ground Floor Coffee House")</f>
        <v>Department 435 - Ground Floor Coffee House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6">
        <f t="shared" ref="D14:O14" si="2">IFERROR(+D10-D12, 0)</f>
        <v>0</v>
      </c>
      <c r="E14" s="6">
        <f t="shared" si="2"/>
        <v>0</v>
      </c>
      <c r="F14" s="6">
        <f t="shared" si="2"/>
        <v>0</v>
      </c>
      <c r="G14" s="6">
        <f t="shared" si="2"/>
        <v>0</v>
      </c>
      <c r="H14" s="6">
        <f t="shared" si="2"/>
        <v>0</v>
      </c>
      <c r="I14" s="6">
        <f t="shared" si="2"/>
        <v>0</v>
      </c>
      <c r="J14" s="6">
        <f t="shared" si="2"/>
        <v>0</v>
      </c>
      <c r="K14" s="6">
        <f t="shared" si="2"/>
        <v>0</v>
      </c>
      <c r="L14" s="6">
        <f t="shared" si="2"/>
        <v>0</v>
      </c>
      <c r="M14" s="6">
        <f t="shared" si="2"/>
        <v>0</v>
      </c>
      <c r="N14" s="6">
        <f t="shared" si="2"/>
        <v>0</v>
      </c>
      <c r="O14" s="6">
        <f t="shared" si="2"/>
        <v>0</v>
      </c>
      <c r="Q14" s="6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0">
        <f>SUM(OSRRefD20x_0)</f>
        <v>75.5</v>
      </c>
      <c r="E17" s="10">
        <f>SUM(OSRRefD20x_1)</f>
        <v>75.5</v>
      </c>
      <c r="F17" s="10">
        <f>SUM(OSRRefD20x_2)</f>
        <v>0</v>
      </c>
      <c r="G17" s="10">
        <f>SUM(OSRRefD20x_3)</f>
        <v>27.69</v>
      </c>
      <c r="H17" s="10">
        <f>SUM(OSRRefE20x_0)</f>
        <v>0</v>
      </c>
      <c r="I17" s="10">
        <f>SUM(OSRRefE20x_1)</f>
        <v>0</v>
      </c>
      <c r="J17" s="10">
        <f>SUM(OSRRefE20x_2)</f>
        <v>0</v>
      </c>
      <c r="K17" s="10">
        <f>SUM(OSRRefE20x_3)</f>
        <v>0</v>
      </c>
      <c r="L17" s="10">
        <f>SUM(OSRRefE20x_4)</f>
        <v>0</v>
      </c>
      <c r="M17" s="10">
        <f>SUM(OSRRefE20x_5)</f>
        <v>0</v>
      </c>
      <c r="N17" s="10">
        <f>SUM(OSRRefE20x_6)</f>
        <v>0</v>
      </c>
      <c r="O17" s="10">
        <f>SUM(OSRRefE20x_7)</f>
        <v>0</v>
      </c>
      <c r="Q17" s="10">
        <f>SUM(OSRRefG20x)</f>
        <v>178.69</v>
      </c>
    </row>
    <row r="18" spans="1:17" s="34" customFormat="1" collapsed="1" x14ac:dyDescent="0.25">
      <c r="A18" s="35"/>
      <c r="B18" s="15" t="str">
        <f>CONCATENATE("     ","Telephone/Data Lines                              ")</f>
        <v xml:space="preserve">     Telephone/Data Lines                              </v>
      </c>
      <c r="C18" s="15"/>
      <c r="D18" s="1">
        <f>SUM(OSRRefD21_0x_0)</f>
        <v>75.5</v>
      </c>
      <c r="E18" s="1">
        <f>SUM(OSRRefD21_0x_1)</f>
        <v>75.5</v>
      </c>
      <c r="F18" s="1">
        <f>SUM(OSRRefD21_0x_2)</f>
        <v>0</v>
      </c>
      <c r="G18" s="1">
        <f>SUM(OSRRefD21_0x_3)</f>
        <v>27.69</v>
      </c>
      <c r="H18" s="1">
        <f>SUM(OSRRefE21_0x_0)</f>
        <v>0</v>
      </c>
      <c r="I18" s="1">
        <f>SUM(OSRRefE21_0x_1)</f>
        <v>0</v>
      </c>
      <c r="J18" s="1">
        <f>SUM(OSRRefE21_0x_2)</f>
        <v>0</v>
      </c>
      <c r="K18" s="1">
        <f>SUM(OSRRefE21_0x_3)</f>
        <v>0</v>
      </c>
      <c r="L18" s="1">
        <f>SUM(OSRRefE21_0x_4)</f>
        <v>0</v>
      </c>
      <c r="M18" s="1">
        <f>SUM(OSRRefE21_0x_5)</f>
        <v>0</v>
      </c>
      <c r="N18" s="1">
        <f>SUM(OSRRefE21_0x_6)</f>
        <v>0</v>
      </c>
      <c r="O18" s="1">
        <f>SUM(OSRRefE21_0x_7)</f>
        <v>0</v>
      </c>
      <c r="Q18" s="2">
        <f>SUM(OSRRefD20_0x)+IFERROR(SUM(OSRRefE20_0x),0)</f>
        <v>178.69</v>
      </c>
    </row>
    <row r="19" spans="1:17" s="34" customFormat="1" hidden="1" outlineLevel="1" x14ac:dyDescent="0.25">
      <c r="A19" s="35"/>
      <c r="B19" s="13" t="str">
        <f>CONCATENATE("          ","6309", " - ","TELEPHONE")</f>
        <v xml:space="preserve">          6309 - TELEPHONE</v>
      </c>
      <c r="C19" s="15"/>
      <c r="D19" s="2">
        <v>75.5</v>
      </c>
      <c r="E19" s="2">
        <v>75.5</v>
      </c>
      <c r="F19" s="2"/>
      <c r="G19" s="2">
        <v>27.69</v>
      </c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178.69</v>
      </c>
    </row>
    <row r="20" spans="1:17" s="28" customFormat="1" x14ac:dyDescent="0.25">
      <c r="A20" s="20"/>
      <c r="B20" s="20"/>
      <c r="C20" s="20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9" customFormat="1" x14ac:dyDescent="0.25">
      <c r="A21" s="22"/>
      <c r="B21" s="16" t="s">
        <v>0</v>
      </c>
      <c r="C21" s="23"/>
      <c r="D21" s="3">
        <f t="shared" ref="D21:G21" si="4">0</f>
        <v>0</v>
      </c>
      <c r="E21" s="3">
        <f t="shared" si="4"/>
        <v>0</v>
      </c>
      <c r="F21" s="3">
        <f t="shared" si="4"/>
        <v>0</v>
      </c>
      <c r="G21" s="3">
        <f t="shared" si="4"/>
        <v>0</v>
      </c>
      <c r="H21" s="3"/>
      <c r="I21" s="3"/>
      <c r="J21" s="3"/>
      <c r="K21" s="3"/>
      <c r="L21" s="3"/>
      <c r="M21" s="3"/>
      <c r="N21" s="3"/>
      <c r="O21" s="3"/>
      <c r="Q21" s="2">
        <f>SUM(OSRRefD23_0x)+IFERROR(SUM(OSRRefE23_0x),0)</f>
        <v>0</v>
      </c>
    </row>
    <row r="22" spans="1:17" x14ac:dyDescent="0.25">
      <c r="A22" s="5"/>
      <c r="B22" s="8"/>
      <c r="C22" s="8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4" customFormat="1" x14ac:dyDescent="0.25">
      <c r="A23" s="8"/>
      <c r="B23" s="17" t="s">
        <v>3</v>
      </c>
      <c r="C23" s="17"/>
      <c r="D23" s="6">
        <f t="shared" ref="D23:O23" si="5">IFERROR(+D14-D17+D21, 0)</f>
        <v>-75.5</v>
      </c>
      <c r="E23" s="6">
        <f t="shared" si="5"/>
        <v>-75.5</v>
      </c>
      <c r="F23" s="6">
        <f t="shared" si="5"/>
        <v>0</v>
      </c>
      <c r="G23" s="6">
        <f t="shared" si="5"/>
        <v>-27.69</v>
      </c>
      <c r="H23" s="6">
        <f t="shared" si="5"/>
        <v>0</v>
      </c>
      <c r="I23" s="6">
        <f t="shared" si="5"/>
        <v>0</v>
      </c>
      <c r="J23" s="6">
        <f t="shared" si="5"/>
        <v>0</v>
      </c>
      <c r="K23" s="6">
        <f t="shared" si="5"/>
        <v>0</v>
      </c>
      <c r="L23" s="6">
        <f t="shared" si="5"/>
        <v>0</v>
      </c>
      <c r="M23" s="6">
        <f t="shared" si="5"/>
        <v>0</v>
      </c>
      <c r="N23" s="6">
        <f t="shared" si="5"/>
        <v>0</v>
      </c>
      <c r="O23" s="6">
        <f t="shared" si="5"/>
        <v>0</v>
      </c>
      <c r="Q23" s="6">
        <f>IFERROR(+Q14-Q17+Q21, 0)</f>
        <v>-178.69</v>
      </c>
    </row>
    <row r="24" spans="1:17" s="8" customFormat="1" x14ac:dyDescent="0.25">
      <c r="B24" s="16"/>
      <c r="C24" s="16"/>
      <c r="D24" s="4">
        <f t="shared" ref="D24:O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18"/>
      <c r="Q24" s="4">
        <f>IFERROR(Q23/Q10, 0)</f>
        <v>0</v>
      </c>
    </row>
    <row r="25" spans="1:17" x14ac:dyDescent="0.25">
      <c r="A25" s="5"/>
      <c r="B25" s="8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4" customFormat="1" x14ac:dyDescent="0.25">
      <c r="A26" s="25"/>
      <c r="B26" s="8" t="s">
        <v>8</v>
      </c>
      <c r="C26" s="8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2">
        <f>SUM(OSRRefD28_0x)+IFERROR(SUM(OSRRefE28_0x),0)</f>
        <v>0</v>
      </c>
    </row>
    <row r="27" spans="1:17" x14ac:dyDescent="0.25">
      <c r="A27" s="5"/>
      <c r="B27" s="8"/>
      <c r="C27" s="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4" customFormat="1" ht="15.75" thickBot="1" x14ac:dyDescent="0.3">
      <c r="A28" s="8"/>
      <c r="B28" s="17" t="s">
        <v>4</v>
      </c>
      <c r="C28" s="17"/>
      <c r="D28" s="7">
        <f t="shared" ref="D28:O28" si="7">IFERROR(+D23-D26, 0)</f>
        <v>-75.5</v>
      </c>
      <c r="E28" s="7">
        <f t="shared" si="7"/>
        <v>-75.5</v>
      </c>
      <c r="F28" s="7">
        <f t="shared" si="7"/>
        <v>0</v>
      </c>
      <c r="G28" s="7">
        <f t="shared" si="7"/>
        <v>-27.69</v>
      </c>
      <c r="H28" s="7">
        <f t="shared" si="7"/>
        <v>0</v>
      </c>
      <c r="I28" s="7">
        <f t="shared" si="7"/>
        <v>0</v>
      </c>
      <c r="J28" s="7">
        <f t="shared" si="7"/>
        <v>0</v>
      </c>
      <c r="K28" s="7">
        <f t="shared" si="7"/>
        <v>0</v>
      </c>
      <c r="L28" s="7">
        <f t="shared" si="7"/>
        <v>0</v>
      </c>
      <c r="M28" s="7">
        <f t="shared" si="7"/>
        <v>0</v>
      </c>
      <c r="N28" s="7">
        <f t="shared" si="7"/>
        <v>0</v>
      </c>
      <c r="O28" s="7">
        <f t="shared" si="7"/>
        <v>0</v>
      </c>
      <c r="Q28" s="7">
        <f>IFERROR(+Q23-Q26, 0)</f>
        <v>-178.69</v>
      </c>
    </row>
    <row r="29" spans="1:17" ht="15.75" thickTop="1" x14ac:dyDescent="0.25">
      <c r="A29" s="5"/>
      <c r="B29" s="5"/>
      <c r="C29" s="5"/>
      <c r="D29" s="4">
        <f t="shared" ref="D29:O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18"/>
      <c r="Q29" s="4">
        <f>IFERROR(Q28/Q10, 0)</f>
        <v>0</v>
      </c>
    </row>
    <row r="30" spans="1:17" x14ac:dyDescent="0.25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4" customFormat="1" ht="15.75" thickBot="1" x14ac:dyDescent="0.3">
      <c r="A32" s="8"/>
      <c r="B32" s="17" t="s">
        <v>5</v>
      </c>
      <c r="C32" s="17"/>
      <c r="D32" s="7">
        <f t="shared" ref="D32:O32" si="9">IFERROR(SUM(D28:D31), 0)</f>
        <v>-75.5</v>
      </c>
      <c r="E32" s="7">
        <f t="shared" si="9"/>
        <v>-75.5</v>
      </c>
      <c r="F32" s="7">
        <f t="shared" si="9"/>
        <v>0</v>
      </c>
      <c r="G32" s="7">
        <f t="shared" si="9"/>
        <v>-27.69</v>
      </c>
      <c r="H32" s="7">
        <f t="shared" si="9"/>
        <v>0</v>
      </c>
      <c r="I32" s="7">
        <f t="shared" si="9"/>
        <v>0</v>
      </c>
      <c r="J32" s="7">
        <f t="shared" si="9"/>
        <v>0</v>
      </c>
      <c r="K32" s="7">
        <f t="shared" si="9"/>
        <v>0</v>
      </c>
      <c r="L32" s="7">
        <f t="shared" si="9"/>
        <v>0</v>
      </c>
      <c r="M32" s="7">
        <f t="shared" si="9"/>
        <v>0</v>
      </c>
      <c r="N32" s="7">
        <f t="shared" si="9"/>
        <v>0</v>
      </c>
      <c r="O32" s="7">
        <f t="shared" si="9"/>
        <v>0</v>
      </c>
      <c r="Q32" s="7">
        <f>IFERROR(SUM(Q28:Q31), 0)</f>
        <v>-178.69</v>
      </c>
    </row>
    <row r="33" spans="1:17" ht="15.75" thickTop="1" x14ac:dyDescent="0.25">
      <c r="A33" s="5"/>
      <c r="C33" s="5"/>
      <c r="D33" s="4">
        <f t="shared" ref="D33:O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18"/>
      <c r="Q33" s="4">
        <f>IFERROR(Q32/Q10, 0)</f>
        <v>0</v>
      </c>
    </row>
    <row r="34" spans="1:17" x14ac:dyDescent="0.25">
      <c r="A34" s="5"/>
      <c r="B34" s="26">
        <v>44151.565085532406</v>
      </c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Q34" s="12"/>
    </row>
    <row r="35" spans="1:17" x14ac:dyDescent="0.25">
      <c r="A35" s="5"/>
      <c r="B35" s="30" t="s">
        <v>311</v>
      </c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Q35" s="12"/>
    </row>
    <row r="36" spans="1:17" x14ac:dyDescent="0.25">
      <c r="A36" s="5"/>
      <c r="B36" s="3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Q36" s="12"/>
    </row>
    <row r="37" spans="1:17" x14ac:dyDescent="0.25"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Q3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","444", " - ", "Parkside Dining Hall")</f>
        <v>Department 444 - Parkside Dining Hall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46671.08</v>
      </c>
      <c r="F10" s="3">
        <f>SUM(OSRRefD11x_2)</f>
        <v>184399.6</v>
      </c>
      <c r="G10" s="3">
        <f>SUM(OSRRefD11x_3)</f>
        <v>188789</v>
      </c>
      <c r="H10" s="3">
        <f>SUM(OSRRefE11x_0)</f>
        <v>130145</v>
      </c>
      <c r="I10" s="3">
        <f>SUM(OSRRefE11x_1)</f>
        <v>109321</v>
      </c>
      <c r="J10" s="3">
        <f>SUM(OSRRefE11x_2)</f>
        <v>71117</v>
      </c>
      <c r="K10" s="3">
        <f>SUM(OSRRefE11x_3)</f>
        <v>153713</v>
      </c>
      <c r="L10" s="3">
        <f>SUM(OSRRefE11x_4)</f>
        <v>148223</v>
      </c>
      <c r="M10" s="3">
        <f>SUM(OSRRefE11x_5)</f>
        <v>148223</v>
      </c>
      <c r="N10" s="3">
        <f>SUM(OSRRefE11x_6)</f>
        <v>82346</v>
      </c>
      <c r="O10" s="3">
        <f>SUM(OSRRefE11x_7)</f>
        <v>0</v>
      </c>
      <c r="P10" s="24"/>
      <c r="Q10" s="3">
        <f>SUM(OSRRefG11x)</f>
        <v>1262947.6800000002</v>
      </c>
      <c r="R10" s="24"/>
    </row>
    <row r="11" spans="1:18" s="9" customFormat="1" hidden="1" outlineLevel="1" x14ac:dyDescent="0.25">
      <c r="A11" s="22"/>
      <c r="B11" s="13" t="str">
        <f>CONCATENATE("          ","4053", " - ","TAXABLE SALES-FOOD")</f>
        <v xml:space="preserve">          4053 - TAXABLE SALES-FOOD</v>
      </c>
      <c r="C11" s="23"/>
      <c r="D11" s="2">
        <f t="shared" ref="D11:D14" si="0">0</f>
        <v>0</v>
      </c>
      <c r="E11" s="2">
        <f>--122.25</f>
        <v>122.25</v>
      </c>
      <c r="F11" s="2">
        <f>--62.54</f>
        <v>62.54</v>
      </c>
      <c r="G11" s="2">
        <f t="shared" ref="G11:G12" si="1">0</f>
        <v>0</v>
      </c>
      <c r="H11" s="2"/>
      <c r="I11" s="2"/>
      <c r="J11" s="2"/>
      <c r="K11" s="2"/>
      <c r="L11" s="2"/>
      <c r="M11" s="2"/>
      <c r="N11" s="2"/>
      <c r="O11" s="2"/>
      <c r="Q11" s="2">
        <f>SUM(OSRRefD11_0x)+IFERROR(SUM(OSRRefE11_0x),0)</f>
        <v>184.79</v>
      </c>
    </row>
    <row r="12" spans="1:18" s="9" customFormat="1" hidden="1" outlineLevel="1" x14ac:dyDescent="0.2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ref="E12:F12" si="2">0</f>
        <v>0</v>
      </c>
      <c r="F12" s="2">
        <f t="shared" si="2"/>
        <v>0</v>
      </c>
      <c r="G12" s="2">
        <f t="shared" si="1"/>
        <v>0</v>
      </c>
      <c r="H12" s="2">
        <v>130145</v>
      </c>
      <c r="I12" s="2">
        <v>109321</v>
      </c>
      <c r="J12" s="2">
        <v>71117</v>
      </c>
      <c r="K12" s="2">
        <v>153713</v>
      </c>
      <c r="L12" s="2">
        <v>148223</v>
      </c>
      <c r="M12" s="2">
        <v>148223</v>
      </c>
      <c r="N12" s="2">
        <v>82346</v>
      </c>
      <c r="O12" s="2">
        <v>0</v>
      </c>
      <c r="Q12" s="2">
        <f>SUM(OSRRefD11_1x)+IFERROR(SUM(OSRRefE11_1x),0)</f>
        <v>843088</v>
      </c>
    </row>
    <row r="13" spans="1:18" s="9" customFormat="1" hidden="1" outlineLevel="1" x14ac:dyDescent="0.25">
      <c r="A13" s="22"/>
      <c r="B13" s="13" t="str">
        <f>CONCATENATE("          ","4151", " - ","NON-TAXABLE SALES-FOOD")</f>
        <v xml:space="preserve">          4151 - NON-TAXABLE SALES-FOOD</v>
      </c>
      <c r="C13" s="23"/>
      <c r="D13" s="2">
        <f t="shared" si="0"/>
        <v>0</v>
      </c>
      <c r="E13" s="2">
        <f>--38750.68</f>
        <v>38750.68</v>
      </c>
      <c r="F13" s="2">
        <f>--181378.7</f>
        <v>181378.7</v>
      </c>
      <c r="G13" s="2">
        <f>--191267.4</f>
        <v>191267.4</v>
      </c>
      <c r="H13" s="2"/>
      <c r="I13" s="2"/>
      <c r="J13" s="2"/>
      <c r="K13" s="2"/>
      <c r="L13" s="2"/>
      <c r="M13" s="2"/>
      <c r="N13" s="2"/>
      <c r="O13" s="2"/>
      <c r="Q13" s="2">
        <f>SUM(OSRRefD11_2x)+IFERROR(SUM(OSRRefE11_2x),0)</f>
        <v>411396.78</v>
      </c>
    </row>
    <row r="14" spans="1:18" s="9" customFormat="1" hidden="1" outlineLevel="1" x14ac:dyDescent="0.25">
      <c r="A14" s="22"/>
      <c r="B14" s="13" t="str">
        <f>CONCATENATE("          ","4153", " - ","NON-TAXABLE SALES-FOOD")</f>
        <v xml:space="preserve">          4153 - NON-TAXABLE SALES-FOOD</v>
      </c>
      <c r="C14" s="23"/>
      <c r="D14" s="2">
        <f t="shared" si="0"/>
        <v>0</v>
      </c>
      <c r="E14" s="2">
        <f>--7798.15</f>
        <v>7798.15</v>
      </c>
      <c r="F14" s="2">
        <f>--2958.36</f>
        <v>2958.36</v>
      </c>
      <c r="G14" s="2">
        <f>-2478.4</f>
        <v>-2478.4</v>
      </c>
      <c r="H14" s="2"/>
      <c r="I14" s="2"/>
      <c r="J14" s="2"/>
      <c r="K14" s="2"/>
      <c r="L14" s="2"/>
      <c r="M14" s="2"/>
      <c r="N14" s="2"/>
      <c r="O14" s="2"/>
      <c r="Q14" s="2">
        <f>SUM(OSRRefD11_3x)+IFERROR(SUM(OSRRefE11_3x),0)</f>
        <v>8278.11</v>
      </c>
    </row>
    <row r="15" spans="1:18" x14ac:dyDescent="0.2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290</v>
      </c>
      <c r="C16" s="23"/>
      <c r="D16" s="3">
        <f>SUM(OSRRefD14x_0)</f>
        <v>0</v>
      </c>
      <c r="E16" s="3">
        <f>SUM(OSRRefD14x_1)</f>
        <v>32645.300000000003</v>
      </c>
      <c r="F16" s="3">
        <f>SUM(OSRRefD14x_2)</f>
        <v>43646.619999999995</v>
      </c>
      <c r="G16" s="3">
        <f>SUM(OSRRefD14x_3)</f>
        <v>73379.929999999993</v>
      </c>
      <c r="H16" s="3">
        <f>SUM(OSRRefE14x_0)</f>
        <v>33838</v>
      </c>
      <c r="I16" s="3">
        <f>SUM(OSRRefE14x_1)</f>
        <v>28423</v>
      </c>
      <c r="J16" s="3">
        <f>SUM(OSRRefE14x_2)</f>
        <v>19202</v>
      </c>
      <c r="K16" s="3">
        <f>SUM(OSRRefE14x_3)</f>
        <v>38428</v>
      </c>
      <c r="L16" s="3">
        <f>SUM(OSRRefE14x_4)</f>
        <v>41502</v>
      </c>
      <c r="M16" s="3">
        <f>SUM(OSRRefE14x_5)</f>
        <v>41502</v>
      </c>
      <c r="N16" s="3">
        <f>SUM(OSRRefE14x_6)</f>
        <v>23057</v>
      </c>
      <c r="O16" s="3">
        <f>SUM(OSRRefE14x_7)</f>
        <v>0</v>
      </c>
      <c r="Q16" s="3">
        <f>SUM(OSRRefG14x)</f>
        <v>375623.85000000003</v>
      </c>
    </row>
    <row r="17" spans="1:17" s="9" customFormat="1" hidden="1" outlineLevel="1" x14ac:dyDescent="0.25">
      <c r="A17" s="22"/>
      <c r="B17" s="13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>
        <v>33838</v>
      </c>
      <c r="I17" s="2">
        <v>28423</v>
      </c>
      <c r="J17" s="2">
        <v>19202</v>
      </c>
      <c r="K17" s="2">
        <v>38428</v>
      </c>
      <c r="L17" s="2">
        <v>41502</v>
      </c>
      <c r="M17" s="2">
        <v>41502</v>
      </c>
      <c r="N17" s="2">
        <v>23057</v>
      </c>
      <c r="O17" s="2">
        <v>0</v>
      </c>
      <c r="Q17" s="2">
        <f>SUM(OSRRefD14_0x)+IFERROR(SUM(OSRRefE14_0x),0)</f>
        <v>225952</v>
      </c>
    </row>
    <row r="18" spans="1:17" s="9" customFormat="1" hidden="1" outlineLevel="1" x14ac:dyDescent="0.25">
      <c r="A18" s="22"/>
      <c r="B18" s="13" t="str">
        <f>CONCATENATE("          ","5053", " - ","PURCHASES @ COST-FOOD")</f>
        <v xml:space="preserve">          5053 - PURCHASES @ COST-FOOD</v>
      </c>
      <c r="C18" s="23"/>
      <c r="D18" s="2"/>
      <c r="E18" s="2">
        <v>70404.3</v>
      </c>
      <c r="F18" s="2">
        <v>40326.199999999997</v>
      </c>
      <c r="G18" s="2">
        <v>60766.029999999992</v>
      </c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171496.53</v>
      </c>
    </row>
    <row r="19" spans="1:17" s="9" customFormat="1" hidden="1" outlineLevel="1" x14ac:dyDescent="0.25">
      <c r="A19" s="22"/>
      <c r="B19" s="13" t="str">
        <f>CONCATENATE("          ","5059", " - ","PURCHASES @ COST-FOOD")</f>
        <v xml:space="preserve">          5059 - PURCHASES @ COST-FOOD</v>
      </c>
      <c r="C19" s="23"/>
      <c r="D19" s="2"/>
      <c r="E19" s="2">
        <v>-37759</v>
      </c>
      <c r="F19" s="2">
        <v>3320.42</v>
      </c>
      <c r="G19" s="2">
        <v>12613.9</v>
      </c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-21824.68</v>
      </c>
    </row>
    <row r="20" spans="1:17" x14ac:dyDescent="0.2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25">
      <c r="A21" s="8"/>
      <c r="B21" s="17" t="s">
        <v>6</v>
      </c>
      <c r="C21" s="17"/>
      <c r="D21" s="6">
        <f t="shared" ref="D21:O21" si="3">IFERROR(+D10-D16, 0)</f>
        <v>0</v>
      </c>
      <c r="E21" s="6">
        <f t="shared" si="3"/>
        <v>14025.779999999999</v>
      </c>
      <c r="F21" s="6">
        <f t="shared" si="3"/>
        <v>140752.98000000001</v>
      </c>
      <c r="G21" s="6">
        <f t="shared" si="3"/>
        <v>115409.07</v>
      </c>
      <c r="H21" s="6">
        <f t="shared" si="3"/>
        <v>96307</v>
      </c>
      <c r="I21" s="6">
        <f t="shared" si="3"/>
        <v>80898</v>
      </c>
      <c r="J21" s="6">
        <f t="shared" si="3"/>
        <v>51915</v>
      </c>
      <c r="K21" s="6">
        <f t="shared" si="3"/>
        <v>115285</v>
      </c>
      <c r="L21" s="6">
        <f t="shared" si="3"/>
        <v>106721</v>
      </c>
      <c r="M21" s="6">
        <f t="shared" si="3"/>
        <v>106721</v>
      </c>
      <c r="N21" s="6">
        <f t="shared" si="3"/>
        <v>59289</v>
      </c>
      <c r="O21" s="6">
        <f t="shared" si="3"/>
        <v>0</v>
      </c>
      <c r="Q21" s="6">
        <f>IFERROR(+Q10-Q16, 0)</f>
        <v>887323.83000000007</v>
      </c>
    </row>
    <row r="22" spans="1:17" s="8" customFormat="1" x14ac:dyDescent="0.25">
      <c r="B22" s="16"/>
      <c r="C22" s="16"/>
      <c r="D22" s="4">
        <f t="shared" ref="D22:O22" si="4">IFERROR(D21/D10, 0)</f>
        <v>0</v>
      </c>
      <c r="E22" s="4">
        <f t="shared" si="4"/>
        <v>0.30052400758671105</v>
      </c>
      <c r="F22" s="4">
        <f t="shared" si="4"/>
        <v>0.76330415033438259</v>
      </c>
      <c r="G22" s="4">
        <f t="shared" si="4"/>
        <v>0.61131247053588933</v>
      </c>
      <c r="H22" s="4">
        <f t="shared" si="4"/>
        <v>0.73999769487878908</v>
      </c>
      <c r="I22" s="4">
        <f t="shared" si="4"/>
        <v>0.74000420779173259</v>
      </c>
      <c r="J22" s="4">
        <f t="shared" si="4"/>
        <v>0.72999423485242632</v>
      </c>
      <c r="K22" s="4">
        <f t="shared" si="4"/>
        <v>0.75000162640765577</v>
      </c>
      <c r="L22" s="4">
        <f t="shared" si="4"/>
        <v>0.72000296850016532</v>
      </c>
      <c r="M22" s="4">
        <f t="shared" si="4"/>
        <v>0.72000296850016532</v>
      </c>
      <c r="N22" s="4">
        <f t="shared" si="4"/>
        <v>0.71999854273431618</v>
      </c>
      <c r="O22" s="4">
        <f t="shared" si="4"/>
        <v>0</v>
      </c>
      <c r="P22" s="18"/>
      <c r="Q22" s="4">
        <f>IFERROR(Q21/Q10, 0)</f>
        <v>0.702581622383597</v>
      </c>
    </row>
    <row r="23" spans="1:17" x14ac:dyDescent="0.2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25">
      <c r="A24" s="8"/>
      <c r="B24" s="16" t="s">
        <v>291</v>
      </c>
      <c r="C24" s="8"/>
      <c r="D24" s="10">
        <f>SUM(OSRRefD20x_0)</f>
        <v>64552.84</v>
      </c>
      <c r="E24" s="10">
        <f>SUM(OSRRefD20x_1)</f>
        <v>94892.49</v>
      </c>
      <c r="F24" s="10">
        <f>SUM(OSRRefD20x_2)</f>
        <v>134039.1</v>
      </c>
      <c r="G24" s="10">
        <f>SUM(OSRRefD20x_3)</f>
        <v>163912.78</v>
      </c>
      <c r="H24" s="10">
        <f>SUM(OSRRefE20x_0)</f>
        <v>143117.9306047693</v>
      </c>
      <c r="I24" s="10">
        <f>SUM(OSRRefE20x_1)</f>
        <v>59255.354999999996</v>
      </c>
      <c r="J24" s="10">
        <f>SUM(OSRRefE20x_2)</f>
        <v>134714.56638096151</v>
      </c>
      <c r="K24" s="10">
        <f>SUM(OSRRefE20x_3)</f>
        <v>140648.82310476928</v>
      </c>
      <c r="L24" s="10">
        <f>SUM(OSRRefE20x_4)</f>
        <v>140208.82310476928</v>
      </c>
      <c r="M24" s="10">
        <f>SUM(OSRRefE20x_5)</f>
        <v>155420.24388096153</v>
      </c>
      <c r="N24" s="10">
        <f>SUM(OSRRefE20x_6)</f>
        <v>115555.25310476929</v>
      </c>
      <c r="O24" s="10">
        <f>SUM(OSRRefE20x_7)</f>
        <v>80173.683104769298</v>
      </c>
      <c r="Q24" s="10">
        <f>SUM(OSRRefG20x)</f>
        <v>1426491.8882857696</v>
      </c>
    </row>
    <row r="25" spans="1:17" s="34" customFormat="1" collapsed="1" x14ac:dyDescent="0.25">
      <c r="A25" s="35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28409.81</v>
      </c>
      <c r="E25" s="1">
        <f>SUM(OSRRefD21_0x_1)</f>
        <v>27394.1</v>
      </c>
      <c r="F25" s="1">
        <f>SUM(OSRRefD21_0x_2)</f>
        <v>29955.019999999997</v>
      </c>
      <c r="G25" s="1">
        <f>SUM(OSRRefD21_0x_3)</f>
        <v>34871.670000000006</v>
      </c>
      <c r="H25" s="1">
        <f>SUM(OSRRefE21_0x_0)</f>
        <v>36136.368143230793</v>
      </c>
      <c r="I25" s="1">
        <f>SUM(OSRRefE21_0x_1)</f>
        <v>4024.6549999999997</v>
      </c>
      <c r="J25" s="1">
        <f>SUM(OSRRefE21_0x_2)</f>
        <v>41545.675804038423</v>
      </c>
      <c r="K25" s="1">
        <f>SUM(OSRRefE21_0x_3)</f>
        <v>36486.31064323079</v>
      </c>
      <c r="L25" s="1">
        <f>SUM(OSRRefE21_0x_4)</f>
        <v>36486.31064323079</v>
      </c>
      <c r="M25" s="1">
        <f>SUM(OSRRefE21_0x_5)</f>
        <v>42595.50330403843</v>
      </c>
      <c r="N25" s="1">
        <f>SUM(OSRRefE21_0x_6)</f>
        <v>35086.540643230794</v>
      </c>
      <c r="O25" s="1">
        <f>SUM(OSRRefE21_0x_7)</f>
        <v>33686.77064323079</v>
      </c>
      <c r="Q25" s="2">
        <f>SUM(OSRRefD20_0x)+IFERROR(SUM(OSRRefE20_0x),0)</f>
        <v>386678.73482423078</v>
      </c>
    </row>
    <row r="26" spans="1:17" s="34" customFormat="1" hidden="1" outlineLevel="1" x14ac:dyDescent="0.25">
      <c r="A26" s="35"/>
      <c r="B26" s="13" t="str">
        <f>CONCATENATE("          ","6111", " - ","F.I.C.A.")</f>
        <v xml:space="preserve">          6111 - F.I.C.A.</v>
      </c>
      <c r="C26" s="15"/>
      <c r="D26" s="2">
        <v>2493.23</v>
      </c>
      <c r="E26" s="2">
        <v>2747.04</v>
      </c>
      <c r="F26" s="2">
        <v>3793.18</v>
      </c>
      <c r="G26" s="2">
        <v>5835.36</v>
      </c>
      <c r="H26" s="2">
        <v>3171.7882047692301</v>
      </c>
      <c r="I26" s="2">
        <v>0</v>
      </c>
      <c r="J26" s="2">
        <v>3964.7352559615401</v>
      </c>
      <c r="K26" s="2">
        <v>3171.7882047692301</v>
      </c>
      <c r="L26" s="2">
        <v>3171.7882047692301</v>
      </c>
      <c r="M26" s="2">
        <v>3964.7352559615401</v>
      </c>
      <c r="N26" s="2">
        <v>3171.7882047692301</v>
      </c>
      <c r="O26" s="2">
        <v>3171.7882047692301</v>
      </c>
      <c r="P26" s="9"/>
      <c r="Q26" s="2">
        <f>SUM(OSRRefD21_0_0x)+IFERROR(SUM(OSRRefE21_0_0x),0)</f>
        <v>38657.221535769233</v>
      </c>
    </row>
    <row r="27" spans="1:17" s="34" customFormat="1" hidden="1" outlineLevel="1" x14ac:dyDescent="0.25">
      <c r="A27" s="35"/>
      <c r="B27" s="13" t="str">
        <f>CONCATENATE("          ","6112", " - ","COMPENSATION INSURANCE")</f>
        <v xml:space="preserve">          6112 - COMPENSATION INSURANCE</v>
      </c>
      <c r="C27" s="15"/>
      <c r="D27" s="2">
        <v>1396.92</v>
      </c>
      <c r="E27" s="2">
        <v>1593.48</v>
      </c>
      <c r="F27" s="2">
        <v>2815.82</v>
      </c>
      <c r="G27" s="2">
        <v>2487.29</v>
      </c>
      <c r="H27" s="2">
        <v>3169.8823200000002</v>
      </c>
      <c r="I27" s="2">
        <v>1193.049</v>
      </c>
      <c r="J27" s="2">
        <v>3216.697275</v>
      </c>
      <c r="K27" s="2">
        <v>3368.7238200000002</v>
      </c>
      <c r="L27" s="2">
        <v>3368.7238200000002</v>
      </c>
      <c r="M27" s="2">
        <v>3813.221775</v>
      </c>
      <c r="N27" s="2">
        <v>2573.3578200000002</v>
      </c>
      <c r="O27" s="2">
        <v>1777.99182</v>
      </c>
      <c r="P27" s="9"/>
      <c r="Q27" s="2">
        <f>SUM(OSRRefD21_0_1x)+IFERROR(SUM(OSRRefE21_0_1x),0)</f>
        <v>30775.157650000001</v>
      </c>
    </row>
    <row r="28" spans="1:17" s="34" customFormat="1" hidden="1" outlineLevel="1" x14ac:dyDescent="0.25">
      <c r="A28" s="35"/>
      <c r="B28" s="13" t="str">
        <f>CONCATENATE("          ","6113", " - ","GROUP INSURANCE")</f>
        <v xml:space="preserve">          6113 - GROUP INSURANCE</v>
      </c>
      <c r="C28" s="15"/>
      <c r="D28" s="2">
        <v>16509.649999999998</v>
      </c>
      <c r="E28" s="2">
        <v>16509.649999999998</v>
      </c>
      <c r="F28" s="2">
        <v>16509.649999999998</v>
      </c>
      <c r="G28" s="2">
        <v>17824.95</v>
      </c>
      <c r="H28" s="2">
        <v>19569.615384615401</v>
      </c>
      <c r="I28" s="2">
        <v>0</v>
      </c>
      <c r="J28" s="2">
        <v>22630.769230769198</v>
      </c>
      <c r="K28" s="2">
        <v>19569.615384615401</v>
      </c>
      <c r="L28" s="2">
        <v>19569.615384615401</v>
      </c>
      <c r="M28" s="2">
        <v>22630.769230769198</v>
      </c>
      <c r="N28" s="2">
        <v>19569.615384615401</v>
      </c>
      <c r="O28" s="2">
        <v>19569.615384615401</v>
      </c>
      <c r="P28" s="9"/>
      <c r="Q28" s="2">
        <f>SUM(OSRRefD21_0_2x)+IFERROR(SUM(OSRRefE21_0_2x),0)</f>
        <v>210463.5153846154</v>
      </c>
    </row>
    <row r="29" spans="1:17" s="34" customFormat="1" hidden="1" outlineLevel="1" x14ac:dyDescent="0.25">
      <c r="A29" s="35"/>
      <c r="B29" s="13" t="str">
        <f>CONCATENATE("          ","6114", " - ","STATE UNEMPLOYMENT INSURANCE")</f>
        <v xml:space="preserve">          6114 - STATE UNEMPLOYMENT INSURANCE</v>
      </c>
      <c r="C29" s="15"/>
      <c r="D29" s="2">
        <v>156.82</v>
      </c>
      <c r="E29" s="2">
        <v>96.57</v>
      </c>
      <c r="F29" s="2">
        <v>170.64</v>
      </c>
      <c r="G29" s="2">
        <v>150.72999999999999</v>
      </c>
      <c r="H29" s="2">
        <v>192.11408</v>
      </c>
      <c r="I29" s="2">
        <v>72.305999999999997</v>
      </c>
      <c r="J29" s="2">
        <v>194.95134999999999</v>
      </c>
      <c r="K29" s="2">
        <v>204.16507999999999</v>
      </c>
      <c r="L29" s="2">
        <v>204.16507999999999</v>
      </c>
      <c r="M29" s="2">
        <v>231.10435000000001</v>
      </c>
      <c r="N29" s="2">
        <v>155.96108000000001</v>
      </c>
      <c r="O29" s="2">
        <v>107.75708</v>
      </c>
      <c r="P29" s="9"/>
      <c r="Q29" s="2">
        <f>SUM(OSRRefD21_0_3x)+IFERROR(SUM(OSRRefE21_0_3x),0)</f>
        <v>1937.2841000000001</v>
      </c>
    </row>
    <row r="30" spans="1:17" s="34" customFormat="1" hidden="1" outlineLevel="1" x14ac:dyDescent="0.25">
      <c r="A30" s="35"/>
      <c r="B30" s="13" t="str">
        <f>CONCATENATE("          ","6115", " - ","P.E.R.S.")</f>
        <v xml:space="preserve">          6115 - P.E.R.S.</v>
      </c>
      <c r="C30" s="15"/>
      <c r="D30" s="2">
        <v>2186.25</v>
      </c>
      <c r="E30" s="2">
        <v>1457.5</v>
      </c>
      <c r="F30" s="2">
        <v>1457.5</v>
      </c>
      <c r="G30" s="2">
        <v>1224.3599999999999</v>
      </c>
      <c r="H30" s="2">
        <v>1778.4998461538501</v>
      </c>
      <c r="I30" s="2">
        <v>0</v>
      </c>
      <c r="J30" s="2">
        <v>2223.1248076923102</v>
      </c>
      <c r="K30" s="2">
        <v>1778.4998461538501</v>
      </c>
      <c r="L30" s="2">
        <v>1778.4998461538501</v>
      </c>
      <c r="M30" s="2">
        <v>2223.1248076923102</v>
      </c>
      <c r="N30" s="2">
        <v>1778.4998461538501</v>
      </c>
      <c r="O30" s="2">
        <v>1778.4998461538501</v>
      </c>
      <c r="P30" s="9"/>
      <c r="Q30" s="2">
        <f>SUM(OSRRefD21_0_4x)+IFERROR(SUM(OSRRefE21_0_4x),0)</f>
        <v>19664.358846153871</v>
      </c>
    </row>
    <row r="31" spans="1:17" s="34" customFormat="1" hidden="1" outlineLevel="1" x14ac:dyDescent="0.25">
      <c r="A31" s="35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25">
      <c r="A32" s="35"/>
      <c r="B32" s="13" t="str">
        <f>CONCATENATE("          ","6117", " - ","RETIREMENT STAFF HOURLY")</f>
        <v xml:space="preserve">          6117 - RETIREMENT STAFF HOURLY</v>
      </c>
      <c r="C32" s="15"/>
      <c r="D32" s="2">
        <v>752.36</v>
      </c>
      <c r="E32" s="2">
        <v>503.56</v>
      </c>
      <c r="F32" s="2">
        <v>582.11</v>
      </c>
      <c r="G32" s="2">
        <v>464.24</v>
      </c>
      <c r="H32" s="2"/>
      <c r="I32" s="2"/>
      <c r="J32" s="2"/>
      <c r="K32" s="2"/>
      <c r="L32" s="2"/>
      <c r="M32" s="2"/>
      <c r="N32" s="2"/>
      <c r="O32" s="2"/>
      <c r="P32" s="9"/>
      <c r="Q32" s="2">
        <f>SUM(OSRRefD21_0_6x)+IFERROR(SUM(OSRRefE21_0_6x),0)</f>
        <v>2302.2700000000004</v>
      </c>
    </row>
    <row r="33" spans="1:17" s="34" customFormat="1" hidden="1" outlineLevel="1" x14ac:dyDescent="0.25">
      <c r="A33" s="35"/>
      <c r="B33" s="13" t="str">
        <f>CONCATENATE("          ","6118", " - ","VACATION")</f>
        <v xml:space="preserve">          6118 - VACATION</v>
      </c>
      <c r="C33" s="15"/>
      <c r="D33" s="2">
        <v>2366.1799999999998</v>
      </c>
      <c r="E33" s="2">
        <v>2382.3000000000002</v>
      </c>
      <c r="F33" s="2">
        <v>2445.52</v>
      </c>
      <c r="G33" s="2">
        <v>3625.02</v>
      </c>
      <c r="H33" s="2">
        <v>3283.8667692307704</v>
      </c>
      <c r="I33" s="2">
        <v>0</v>
      </c>
      <c r="J33" s="2">
        <v>4104.8334615384592</v>
      </c>
      <c r="K33" s="2">
        <v>3283.8667692307704</v>
      </c>
      <c r="L33" s="2">
        <v>3283.8667692307704</v>
      </c>
      <c r="M33" s="2">
        <v>4104.8334615384592</v>
      </c>
      <c r="N33" s="2">
        <v>3283.8667692307704</v>
      </c>
      <c r="O33" s="2">
        <v>3283.8667692307704</v>
      </c>
      <c r="P33" s="9"/>
      <c r="Q33" s="2">
        <f>SUM(OSRRefD21_0_7x)+IFERROR(SUM(OSRRefE21_0_7x),0)</f>
        <v>35448.020769230774</v>
      </c>
    </row>
    <row r="34" spans="1:17" s="34" customFormat="1" hidden="1" outlineLevel="1" x14ac:dyDescent="0.25">
      <c r="A34" s="35"/>
      <c r="B34" s="13" t="str">
        <f>CONCATENATE("          ","6119", " - ","SICK LEAVE")</f>
        <v xml:space="preserve">          6119 - SICK LEAVE</v>
      </c>
      <c r="C34" s="15"/>
      <c r="D34" s="2">
        <v>1504</v>
      </c>
      <c r="E34" s="2">
        <v>1504</v>
      </c>
      <c r="F34" s="2">
        <v>1504</v>
      </c>
      <c r="G34" s="2">
        <v>2287.3200000000002</v>
      </c>
      <c r="H34" s="2">
        <v>3045.6015384615398</v>
      </c>
      <c r="I34" s="2">
        <v>834.3</v>
      </c>
      <c r="J34" s="2">
        <v>3285.5644230769203</v>
      </c>
      <c r="K34" s="2">
        <v>3184.65153846154</v>
      </c>
      <c r="L34" s="2">
        <v>3184.65153846154</v>
      </c>
      <c r="M34" s="2">
        <v>3702.7144230769195</v>
      </c>
      <c r="N34" s="2">
        <v>2628.4515384615402</v>
      </c>
      <c r="O34" s="2">
        <v>2072.2515384615399</v>
      </c>
      <c r="P34" s="9"/>
      <c r="Q34" s="2">
        <f>SUM(OSRRefD21_0_8x)+IFERROR(SUM(OSRRefE21_0_8x),0)</f>
        <v>28737.506538461541</v>
      </c>
    </row>
    <row r="35" spans="1:17" s="34" customFormat="1" hidden="1" outlineLevel="1" x14ac:dyDescent="0.25">
      <c r="A35" s="35"/>
      <c r="B35" s="13" t="str">
        <f>CONCATENATE("          ","6156", " - ","EMPLOYEE MEALS")</f>
        <v xml:space="preserve">          6156 - EMPLOYEE MEALS</v>
      </c>
      <c r="C35" s="15"/>
      <c r="D35" s="2">
        <v>1044.4000000000001</v>
      </c>
      <c r="E35" s="2">
        <v>600</v>
      </c>
      <c r="F35" s="2">
        <v>676.6</v>
      </c>
      <c r="G35" s="2">
        <v>972.4</v>
      </c>
      <c r="H35" s="2">
        <v>1925</v>
      </c>
      <c r="I35" s="2">
        <v>1925</v>
      </c>
      <c r="J35" s="2">
        <v>1925</v>
      </c>
      <c r="K35" s="2">
        <v>1925</v>
      </c>
      <c r="L35" s="2">
        <v>1925</v>
      </c>
      <c r="M35" s="2">
        <v>1925</v>
      </c>
      <c r="N35" s="2">
        <v>1925</v>
      </c>
      <c r="O35" s="2">
        <v>1925</v>
      </c>
      <c r="P35" s="9"/>
      <c r="Q35" s="2">
        <f>SUM(OSRRefD21_0_9x)+IFERROR(SUM(OSRRefE21_0_9x),0)</f>
        <v>18693.400000000001</v>
      </c>
    </row>
    <row r="36" spans="1:17" s="34" customFormat="1" collapsed="1" x14ac:dyDescent="0.25">
      <c r="A36" s="35"/>
      <c r="B36" s="15" t="str">
        <f>CONCATENATE("     ","*Payroll                                          ")</f>
        <v xml:space="preserve">     *Payroll                                          </v>
      </c>
      <c r="C36" s="15"/>
      <c r="D36" s="1">
        <f>SUM(OSRRefD21_1x_0)</f>
        <v>33140.61</v>
      </c>
      <c r="E36" s="1">
        <f>SUM(OSRRefD21_1x_1)</f>
        <v>42549.43</v>
      </c>
      <c r="F36" s="1">
        <f>SUM(OSRRefD21_1x_2)</f>
        <v>65737.73</v>
      </c>
      <c r="G36" s="1">
        <f>SUM(OSRRefD21_1x_3)</f>
        <v>79894.55</v>
      </c>
      <c r="H36" s="1">
        <f>SUM(OSRRefE21_1x_0)</f>
        <v>67560.562461538502</v>
      </c>
      <c r="I36" s="1">
        <f>SUM(OSRRefE21_1x_1)</f>
        <v>26975.7</v>
      </c>
      <c r="J36" s="1">
        <f>SUM(OSRRefE21_1x_2)</f>
        <v>67590.890576923091</v>
      </c>
      <c r="K36" s="1">
        <f>SUM(OSRRefE21_1x_3)</f>
        <v>72056.512461538499</v>
      </c>
      <c r="L36" s="1">
        <f>SUM(OSRRefE21_1x_4)</f>
        <v>72056.512461538499</v>
      </c>
      <c r="M36" s="1">
        <f>SUM(OSRRefE21_1x_5)</f>
        <v>81078.740576923097</v>
      </c>
      <c r="N36" s="1">
        <f>SUM(OSRRefE21_1x_6)</f>
        <v>54072.712461538496</v>
      </c>
      <c r="O36" s="1">
        <f>SUM(OSRRefE21_1x_7)</f>
        <v>36088.912461538501</v>
      </c>
      <c r="Q36" s="2">
        <f>SUM(OSRRefD20_1x)+IFERROR(SUM(OSRRefE20_1x),0)</f>
        <v>698802.86346153868</v>
      </c>
    </row>
    <row r="37" spans="1:17" s="34" customFormat="1" hidden="1" outlineLevel="1" x14ac:dyDescent="0.25">
      <c r="A37" s="35"/>
      <c r="B37" s="13" t="str">
        <f>CONCATENATE("          ","6001", " - ","ADMINISTRATIVE SALARIES")</f>
        <v xml:space="preserve">          6001 - ADMINISTRATIVE SALARIES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4" customFormat="1" hidden="1" outlineLevel="1" x14ac:dyDescent="0.25">
      <c r="A38" s="35"/>
      <c r="B38" s="13" t="str">
        <f>CONCATENATE("          ","6002", " - ","STAFF SALARIES")</f>
        <v xml:space="preserve">          6002 - STAFF SALARIES</v>
      </c>
      <c r="C38" s="15"/>
      <c r="D38" s="2">
        <v>18321.599999999999</v>
      </c>
      <c r="E38" s="2">
        <v>15464.24</v>
      </c>
      <c r="F38" s="2">
        <v>14008.24</v>
      </c>
      <c r="G38" s="2">
        <v>14999.030000000002</v>
      </c>
      <c r="H38" s="2">
        <v>17815.8884615385</v>
      </c>
      <c r="I38" s="2">
        <v>0</v>
      </c>
      <c r="J38" s="2">
        <v>22269.8605769231</v>
      </c>
      <c r="K38" s="2">
        <v>17815.8884615385</v>
      </c>
      <c r="L38" s="2">
        <v>17815.8884615385</v>
      </c>
      <c r="M38" s="2">
        <v>22269.8605769231</v>
      </c>
      <c r="N38" s="2">
        <v>17815.8884615385</v>
      </c>
      <c r="O38" s="2">
        <v>17815.8884615385</v>
      </c>
      <c r="P38" s="9"/>
      <c r="Q38" s="2">
        <f>SUM(OSRRefD21_1_1x)+IFERROR(SUM(OSRRefE21_1_1x),0)</f>
        <v>196412.27346153872</v>
      </c>
    </row>
    <row r="39" spans="1:17" s="34" customFormat="1" hidden="1" outlineLevel="1" x14ac:dyDescent="0.25">
      <c r="A39" s="35"/>
      <c r="B39" s="13" t="str">
        <f>CONCATENATE("          ","6003", " - ","STAFF HOURLY-9 MONTH")</f>
        <v xml:space="preserve">          6003 - STAFF HOURLY-9 MONTH</v>
      </c>
      <c r="C39" s="15"/>
      <c r="D39" s="2"/>
      <c r="E39" s="2"/>
      <c r="F39" s="2"/>
      <c r="G39" s="2"/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25">
      <c r="A40" s="35"/>
      <c r="B40" s="13" t="str">
        <f>CONCATENATE("          ","6004", " - ","STAFF HOURLY")</f>
        <v xml:space="preserve">          6004 - STAFF HOURLY</v>
      </c>
      <c r="C40" s="15"/>
      <c r="D40" s="2">
        <v>11965.01</v>
      </c>
      <c r="E40" s="2">
        <v>14453.09</v>
      </c>
      <c r="F40" s="2">
        <v>18181.080000000002</v>
      </c>
      <c r="G40" s="2">
        <v>25254.75</v>
      </c>
      <c r="H40" s="2">
        <v>18273.024000000001</v>
      </c>
      <c r="I40" s="2">
        <v>0</v>
      </c>
      <c r="J40" s="2">
        <v>22841.279999999999</v>
      </c>
      <c r="K40" s="2">
        <v>18273.024000000001</v>
      </c>
      <c r="L40" s="2">
        <v>18273.024000000001</v>
      </c>
      <c r="M40" s="2">
        <v>22841.279999999999</v>
      </c>
      <c r="N40" s="2">
        <v>18273.024000000001</v>
      </c>
      <c r="O40" s="2">
        <v>18273.024000000001</v>
      </c>
      <c r="P40" s="9"/>
      <c r="Q40" s="2">
        <f>SUM(OSRRefD21_1_3x)+IFERROR(SUM(OSRRefE21_1_3x),0)</f>
        <v>206901.61000000002</v>
      </c>
    </row>
    <row r="41" spans="1:17" s="34" customFormat="1" hidden="1" outlineLevel="1" x14ac:dyDescent="0.25">
      <c r="A41" s="35"/>
      <c r="B41" s="13" t="str">
        <f>CONCATENATE("          ","6005", " - ","TEMPORARY WAGES-HOURLY")</f>
        <v xml:space="preserve">          6005 - TEMPORARY WAGES-HOURLY</v>
      </c>
      <c r="C41" s="15"/>
      <c r="D41" s="2"/>
      <c r="E41" s="2">
        <v>953.1</v>
      </c>
      <c r="F41" s="2">
        <v>13566.64</v>
      </c>
      <c r="G41" s="2">
        <v>23204.070000000003</v>
      </c>
      <c r="H41" s="2">
        <v>31471.649999999998</v>
      </c>
      <c r="I41" s="2">
        <v>26975.7</v>
      </c>
      <c r="J41" s="2">
        <v>22479.75</v>
      </c>
      <c r="K41" s="2">
        <v>35967.599999999999</v>
      </c>
      <c r="L41" s="2">
        <v>35967.599999999999</v>
      </c>
      <c r="M41" s="2">
        <v>35967.599999999999</v>
      </c>
      <c r="N41" s="2">
        <v>17983.8</v>
      </c>
      <c r="O41" s="2">
        <v>0</v>
      </c>
      <c r="P41" s="9"/>
      <c r="Q41" s="2">
        <f>SUM(OSRRefD21_1_4x)+IFERROR(SUM(OSRRefE21_1_4x),0)</f>
        <v>244537.51</v>
      </c>
    </row>
    <row r="42" spans="1:17" s="34" customFormat="1" hidden="1" outlineLevel="1" x14ac:dyDescent="0.25">
      <c r="A42" s="35"/>
      <c r="B42" s="13" t="str">
        <f>CONCATENATE("          ","6006", " - ","TEMPORARY PART TIME")</f>
        <v xml:space="preserve">          6006 - TEMPORARY PART TIME</v>
      </c>
      <c r="C42" s="15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25">
      <c r="A43" s="35"/>
      <c r="B43" s="13" t="str">
        <f>CONCATENATE("          ","6007", " - ","STUDENT HOURLY")</f>
        <v xml:space="preserve">          6007 - STUDENT HOURLY</v>
      </c>
      <c r="C43" s="15"/>
      <c r="D43" s="2">
        <v>2854</v>
      </c>
      <c r="E43" s="2">
        <v>11062.67</v>
      </c>
      <c r="F43" s="2">
        <v>16895.439999999999</v>
      </c>
      <c r="G43" s="2">
        <v>12444.4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43256.51</v>
      </c>
    </row>
    <row r="44" spans="1:17" s="34" customFormat="1" hidden="1" outlineLevel="1" x14ac:dyDescent="0.25">
      <c r="A44" s="35"/>
      <c r="B44" s="13" t="str">
        <f>CONCATENATE("          ","6008", " - ","STUDENT HOURLY-FICA EXEMPT")</f>
        <v xml:space="preserve">          6008 - STUDENT HOURLY-FICA EXEMPT</v>
      </c>
      <c r="C44" s="15"/>
      <c r="D44" s="2"/>
      <c r="E44" s="2">
        <v>616.33000000000004</v>
      </c>
      <c r="F44" s="2">
        <v>3086.33</v>
      </c>
      <c r="G44" s="2">
        <v>3992.3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SUM(OSRRefD21_1_7x)+IFERROR(SUM(OSRRefE21_1_7x),0)</f>
        <v>7694.96</v>
      </c>
    </row>
    <row r="45" spans="1:17" s="34" customFormat="1" hidden="1" outlineLevel="1" x14ac:dyDescent="0.25">
      <c r="A45" s="35"/>
      <c r="B45" s="13" t="str">
        <f>CONCATENATE("          ","6009", " - ","TEMPORARY-SEASONAL")</f>
        <v xml:space="preserve">          6009 - TEMPORARY-SEASONAL</v>
      </c>
      <c r="C45" s="15"/>
      <c r="D45" s="2"/>
      <c r="E45" s="2"/>
      <c r="F45" s="2"/>
      <c r="G45" s="2"/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25">
      <c r="A46" s="35"/>
      <c r="B46" s="13" t="str">
        <f>CONCATENATE("          ","6010", " - ","GRATUITY")</f>
        <v xml:space="preserve">          6010 - GRATUITY</v>
      </c>
      <c r="C46" s="15"/>
      <c r="D46" s="2"/>
      <c r="E46" s="2"/>
      <c r="F46" s="2"/>
      <c r="G46" s="2"/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25">
      <c r="A47" s="35"/>
      <c r="B47" s="15" t="str">
        <f>CONCATENATE("     ","Advertising/Promo                                 ")</f>
        <v xml:space="preserve">     Advertising/Promo                                 </v>
      </c>
      <c r="C47" s="15"/>
      <c r="D47" s="1">
        <f>SUM(OSRRefD21_2x_0)</f>
        <v>519.74</v>
      </c>
      <c r="E47" s="1">
        <f>SUM(OSRRefD21_2x_1)</f>
        <v>704.51</v>
      </c>
      <c r="F47" s="1">
        <f>SUM(OSRRefD21_2x_2)</f>
        <v>0</v>
      </c>
      <c r="G47" s="1">
        <f>SUM(OSRRefD21_2x_3)</f>
        <v>0</v>
      </c>
      <c r="H47" s="1">
        <f>SUM(OSRRefE21_2x_0)</f>
        <v>369</v>
      </c>
      <c r="I47" s="1">
        <f>SUM(OSRRefE21_2x_1)</f>
        <v>369</v>
      </c>
      <c r="J47" s="1">
        <f>SUM(OSRRefE21_2x_2)</f>
        <v>369</v>
      </c>
      <c r="K47" s="1">
        <f>SUM(OSRRefE21_2x_3)</f>
        <v>369</v>
      </c>
      <c r="L47" s="1">
        <f>SUM(OSRRefE21_2x_4)</f>
        <v>369</v>
      </c>
      <c r="M47" s="1">
        <f>SUM(OSRRefE21_2x_5)</f>
        <v>369</v>
      </c>
      <c r="N47" s="1">
        <f>SUM(OSRRefE21_2x_6)</f>
        <v>369</v>
      </c>
      <c r="O47" s="1">
        <f>SUM(OSRRefE21_2x_7)</f>
        <v>369</v>
      </c>
      <c r="Q47" s="2">
        <f>SUM(OSRRefD20_2x)+IFERROR(SUM(OSRRefE20_2x),0)</f>
        <v>4176.25</v>
      </c>
    </row>
    <row r="48" spans="1:17" s="34" customFormat="1" hidden="1" outlineLevel="1" x14ac:dyDescent="0.25">
      <c r="A48" s="35"/>
      <c r="B48" s="13" t="str">
        <f>CONCATENATE("          ","6362", " - ","ADVERTISING EXPENSE")</f>
        <v xml:space="preserve">          6362 - ADVERTISING EXPENSE</v>
      </c>
      <c r="C48" s="15"/>
      <c r="D48" s="2">
        <v>519.74</v>
      </c>
      <c r="E48" s="2">
        <v>704.51</v>
      </c>
      <c r="F48" s="2"/>
      <c r="G48" s="2"/>
      <c r="H48" s="2">
        <v>369</v>
      </c>
      <c r="I48" s="2">
        <v>369</v>
      </c>
      <c r="J48" s="2">
        <v>369</v>
      </c>
      <c r="K48" s="2">
        <v>369</v>
      </c>
      <c r="L48" s="2">
        <v>369</v>
      </c>
      <c r="M48" s="2">
        <v>369</v>
      </c>
      <c r="N48" s="2">
        <v>369</v>
      </c>
      <c r="O48" s="2">
        <v>369</v>
      </c>
      <c r="P48" s="9"/>
      <c r="Q48" s="2">
        <f>SUM(OSRRefD21_2_0x)+IFERROR(SUM(OSRRefE21_2_0x),0)</f>
        <v>4176.25</v>
      </c>
    </row>
    <row r="49" spans="1:17" s="34" customFormat="1" collapsed="1" x14ac:dyDescent="0.25">
      <c r="A49" s="35"/>
      <c r="B49" s="15" t="str">
        <f>CONCATENATE("     ","Bad Debts/Over/Short                              ")</f>
        <v xml:space="preserve">     Bad Debts/Over/Short                              </v>
      </c>
      <c r="C49" s="15"/>
      <c r="D49" s="1">
        <f>SUM(OSRRefD21_3x_0)</f>
        <v>0</v>
      </c>
      <c r="E49" s="1">
        <f>SUM(OSRRefD21_3x_1)</f>
        <v>32</v>
      </c>
      <c r="F49" s="1">
        <f>SUM(OSRRefD21_3x_2)</f>
        <v>0</v>
      </c>
      <c r="G49" s="1">
        <f>SUM(OSRRefD21_3x_3)</f>
        <v>8</v>
      </c>
      <c r="H49" s="1">
        <f>SUM(OSRRefE21_3x_0)</f>
        <v>8</v>
      </c>
      <c r="I49" s="1">
        <f>SUM(OSRRefE21_3x_1)</f>
        <v>8</v>
      </c>
      <c r="J49" s="1">
        <f>SUM(OSRRefE21_3x_2)</f>
        <v>8</v>
      </c>
      <c r="K49" s="1">
        <f>SUM(OSRRefE21_3x_3)</f>
        <v>8</v>
      </c>
      <c r="L49" s="1">
        <f>SUM(OSRRefE21_3x_4)</f>
        <v>8</v>
      </c>
      <c r="M49" s="1">
        <f>SUM(OSRRefE21_3x_5)</f>
        <v>8</v>
      </c>
      <c r="N49" s="1">
        <f>SUM(OSRRefE21_3x_6)</f>
        <v>8</v>
      </c>
      <c r="O49" s="1">
        <f>SUM(OSRRefE21_3x_7)</f>
        <v>0</v>
      </c>
      <c r="Q49" s="2">
        <f>SUM(OSRRefD20_3x)+IFERROR(SUM(OSRRefE20_3x),0)</f>
        <v>96</v>
      </c>
    </row>
    <row r="50" spans="1:17" s="34" customFormat="1" hidden="1" outlineLevel="1" x14ac:dyDescent="0.25">
      <c r="A50" s="35"/>
      <c r="B50" s="13" t="str">
        <f>CONCATENATE("          ","6272", " - ","CASH (OVER/SHORT)")</f>
        <v xml:space="preserve">          6272 - CASH (OVER/SHORT)</v>
      </c>
      <c r="C50" s="15"/>
      <c r="D50" s="2"/>
      <c r="E50" s="2">
        <v>32</v>
      </c>
      <c r="F50" s="2"/>
      <c r="G50" s="2">
        <v>8</v>
      </c>
      <c r="H50" s="2">
        <v>8</v>
      </c>
      <c r="I50" s="2">
        <v>8</v>
      </c>
      <c r="J50" s="2">
        <v>8</v>
      </c>
      <c r="K50" s="2">
        <v>8</v>
      </c>
      <c r="L50" s="2">
        <v>8</v>
      </c>
      <c r="M50" s="2">
        <v>8</v>
      </c>
      <c r="N50" s="2">
        <v>8</v>
      </c>
      <c r="O50" s="2">
        <v>0</v>
      </c>
      <c r="P50" s="9"/>
      <c r="Q50" s="2">
        <f>SUM(OSRRefD21_3_0x)+IFERROR(SUM(OSRRefE21_3_0x),0)</f>
        <v>96</v>
      </c>
    </row>
    <row r="51" spans="1:17" s="34" customFormat="1" collapsed="1" x14ac:dyDescent="0.25">
      <c r="A51" s="35"/>
      <c r="B51" s="15" t="str">
        <f>CONCATENATE("     ","Bank/card Fees                                    ")</f>
        <v xml:space="preserve">     Bank/card Fees                                    </v>
      </c>
      <c r="C51" s="15"/>
      <c r="D51" s="1">
        <f>SUM(OSRRefD21_4x_0)</f>
        <v>0</v>
      </c>
      <c r="E51" s="1">
        <f>SUM(OSRRefD21_4x_1)</f>
        <v>0</v>
      </c>
      <c r="F51" s="1">
        <f>SUM(OSRRefD21_4x_2)</f>
        <v>0</v>
      </c>
      <c r="G51" s="1">
        <f>SUM(OSRRefD21_4x_3)</f>
        <v>0</v>
      </c>
      <c r="H51" s="1">
        <f>SUM(OSRRefE21_4x_0)</f>
        <v>135</v>
      </c>
      <c r="I51" s="1">
        <f>SUM(OSRRefE21_4x_1)</f>
        <v>135</v>
      </c>
      <c r="J51" s="1">
        <f>SUM(OSRRefE21_4x_2)</f>
        <v>135</v>
      </c>
      <c r="K51" s="1">
        <f>SUM(OSRRefE21_4x_3)</f>
        <v>135</v>
      </c>
      <c r="L51" s="1">
        <f>SUM(OSRRefE21_4x_4)</f>
        <v>135</v>
      </c>
      <c r="M51" s="1">
        <f>SUM(OSRRefE21_4x_5)</f>
        <v>135</v>
      </c>
      <c r="N51" s="1">
        <f>SUM(OSRRefE21_4x_6)</f>
        <v>135</v>
      </c>
      <c r="O51" s="1">
        <f>SUM(OSRRefE21_4x_7)</f>
        <v>0</v>
      </c>
      <c r="Q51" s="2">
        <f>SUM(OSRRefD20_4x)+IFERROR(SUM(OSRRefE20_4x),0)</f>
        <v>945</v>
      </c>
    </row>
    <row r="52" spans="1:17" s="34" customFormat="1" hidden="1" outlineLevel="1" x14ac:dyDescent="0.25">
      <c r="A52" s="35"/>
      <c r="B52" s="13" t="str">
        <f>CONCATENATE("          ","6381", " - ","BANK/CREDIT CARD FEES")</f>
        <v xml:space="preserve">          6381 - BANK/CREDIT CARD FEES</v>
      </c>
      <c r="C52" s="15"/>
      <c r="D52" s="2"/>
      <c r="E52" s="2"/>
      <c r="F52" s="2"/>
      <c r="G52" s="2"/>
      <c r="H52" s="2">
        <v>135</v>
      </c>
      <c r="I52" s="2">
        <v>135</v>
      </c>
      <c r="J52" s="2">
        <v>135</v>
      </c>
      <c r="K52" s="2">
        <v>135</v>
      </c>
      <c r="L52" s="2">
        <v>135</v>
      </c>
      <c r="M52" s="2">
        <v>135</v>
      </c>
      <c r="N52" s="2">
        <v>135</v>
      </c>
      <c r="O52" s="2">
        <v>0</v>
      </c>
      <c r="P52" s="9"/>
      <c r="Q52" s="2">
        <f>SUM(OSRRefD21_4_0x)+IFERROR(SUM(OSRRefE21_4_0x),0)</f>
        <v>945</v>
      </c>
    </row>
    <row r="53" spans="1:17" s="34" customFormat="1" collapsed="1" x14ac:dyDescent="0.25">
      <c r="A53" s="35"/>
      <c r="B53" s="15" t="str">
        <f>CONCATENATE("     ","Depreciation                                      ")</f>
        <v xml:space="preserve">     Depreciation                                      </v>
      </c>
      <c r="C53" s="15"/>
      <c r="D53" s="1">
        <f>SUM(OSRRefD21_5x_0)</f>
        <v>0</v>
      </c>
      <c r="E53" s="1">
        <f>SUM(OSRRefD21_5x_1)</f>
        <v>281.26</v>
      </c>
      <c r="F53" s="1">
        <f>SUM(OSRRefD21_5x_2)</f>
        <v>272.74</v>
      </c>
      <c r="G53" s="1">
        <f>SUM(OSRRefD21_5x_3)</f>
        <v>272.74</v>
      </c>
      <c r="H53" s="1">
        <f>SUM(OSRRefE21_5x_0)</f>
        <v>0</v>
      </c>
      <c r="I53" s="1">
        <f>SUM(OSRRefE21_5x_1)</f>
        <v>0</v>
      </c>
      <c r="J53" s="1">
        <f>SUM(OSRRefE21_5x_2)</f>
        <v>0</v>
      </c>
      <c r="K53" s="1">
        <f>SUM(OSRRefE21_5x_3)</f>
        <v>0</v>
      </c>
      <c r="L53" s="1">
        <f>SUM(OSRRefE21_5x_4)</f>
        <v>0</v>
      </c>
      <c r="M53" s="1">
        <f>SUM(OSRRefE21_5x_5)</f>
        <v>0</v>
      </c>
      <c r="N53" s="1">
        <f>SUM(OSRRefE21_5x_6)</f>
        <v>0</v>
      </c>
      <c r="O53" s="1">
        <f>SUM(OSRRefE21_5x_7)</f>
        <v>0</v>
      </c>
      <c r="Q53" s="2">
        <f>SUM(OSRRefD20_5x)+IFERROR(SUM(OSRRefE20_5x),0)</f>
        <v>826.74</v>
      </c>
    </row>
    <row r="54" spans="1:17" s="34" customFormat="1" hidden="1" outlineLevel="1" x14ac:dyDescent="0.25">
      <c r="A54" s="35"/>
      <c r="B54" s="13" t="str">
        <f>CONCATENATE("          ","6322", " - ","EQUIPMENT DEPRECIATION EXPENSE")</f>
        <v xml:space="preserve">          6322 - EQUIPMENT DEPRECIATION EXPENSE</v>
      </c>
      <c r="C54" s="15"/>
      <c r="D54" s="2"/>
      <c r="E54" s="2">
        <v>281.26</v>
      </c>
      <c r="F54" s="2">
        <v>272.74</v>
      </c>
      <c r="G54" s="2">
        <v>272.74</v>
      </c>
      <c r="H54" s="2"/>
      <c r="I54" s="2"/>
      <c r="J54" s="2"/>
      <c r="K54" s="2"/>
      <c r="L54" s="2"/>
      <c r="M54" s="2"/>
      <c r="N54" s="2"/>
      <c r="O54" s="2"/>
      <c r="P54" s="9"/>
      <c r="Q54" s="2">
        <f>SUM(OSRRefD21_5_0x)+IFERROR(SUM(OSRRefE21_5_0x),0)</f>
        <v>826.74</v>
      </c>
    </row>
    <row r="55" spans="1:17" s="34" customFormat="1" collapsed="1" x14ac:dyDescent="0.25">
      <c r="A55" s="35"/>
      <c r="B55" s="15" t="str">
        <f>CONCATENATE("     ","Donations                                         ")</f>
        <v xml:space="preserve">     Donations                                         </v>
      </c>
      <c r="C55" s="15"/>
      <c r="D55" s="1">
        <f>SUM(OSRRefD21_6x_0)</f>
        <v>0</v>
      </c>
      <c r="E55" s="1">
        <f>SUM(OSRRefD21_6x_1)</f>
        <v>2222.02</v>
      </c>
      <c r="F55" s="1">
        <f>SUM(OSRRefD21_6x_2)</f>
        <v>8888.07</v>
      </c>
      <c r="G55" s="1">
        <f>SUM(OSRRefD21_6x_3)</f>
        <v>11110.09</v>
      </c>
      <c r="H55" s="1">
        <f>SUM(OSRRefE21_6x_0)</f>
        <v>4100</v>
      </c>
      <c r="I55" s="1">
        <f>SUM(OSRRefE21_6x_1)</f>
        <v>3100</v>
      </c>
      <c r="J55" s="1">
        <f>SUM(OSRRefE21_6x_2)</f>
        <v>3100</v>
      </c>
      <c r="K55" s="1">
        <f>SUM(OSRRefE21_6x_3)</f>
        <v>3100</v>
      </c>
      <c r="L55" s="1">
        <f>SUM(OSRRefE21_6x_4)</f>
        <v>3100</v>
      </c>
      <c r="M55" s="1">
        <f>SUM(OSRRefE21_6x_5)</f>
        <v>3100</v>
      </c>
      <c r="N55" s="1">
        <f>SUM(OSRRefE21_6x_6)</f>
        <v>3100</v>
      </c>
      <c r="O55" s="1">
        <f>SUM(OSRRefE21_6x_7)</f>
        <v>0</v>
      </c>
      <c r="Q55" s="2">
        <f>SUM(OSRRefD20_6x)+IFERROR(SUM(OSRRefE20_6x),0)</f>
        <v>44920.18</v>
      </c>
    </row>
    <row r="56" spans="1:17" s="34" customFormat="1" hidden="1" outlineLevel="1" x14ac:dyDescent="0.25">
      <c r="A56" s="35"/>
      <c r="B56" s="13" t="str">
        <f>CONCATENATE("          ","6399", " - ","DONATION-ON CAMPUS")</f>
        <v xml:space="preserve">          6399 - DONATION-ON CAMPUS</v>
      </c>
      <c r="C56" s="15"/>
      <c r="D56" s="2"/>
      <c r="E56" s="2">
        <v>2222.02</v>
      </c>
      <c r="F56" s="2">
        <v>8888.07</v>
      </c>
      <c r="G56" s="2">
        <v>11110.09</v>
      </c>
      <c r="H56" s="2">
        <v>4100</v>
      </c>
      <c r="I56" s="2">
        <v>3100</v>
      </c>
      <c r="J56" s="2">
        <v>3100</v>
      </c>
      <c r="K56" s="2">
        <v>3100</v>
      </c>
      <c r="L56" s="2">
        <v>3100</v>
      </c>
      <c r="M56" s="2">
        <v>3100</v>
      </c>
      <c r="N56" s="2">
        <v>3100</v>
      </c>
      <c r="O56" s="2"/>
      <c r="P56" s="9"/>
      <c r="Q56" s="2">
        <f>SUM(OSRRefD21_6_0x)+IFERROR(SUM(OSRRefE21_6_0x),0)</f>
        <v>44920.18</v>
      </c>
    </row>
    <row r="57" spans="1:17" s="34" customFormat="1" collapsed="1" x14ac:dyDescent="0.25">
      <c r="A57" s="35"/>
      <c r="B57" s="15" t="str">
        <f>CONCATENATE("     ","Employees' Appreciation                           ")</f>
        <v xml:space="preserve">     Employees' Appreciation                           </v>
      </c>
      <c r="C57" s="15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SUM(OSRRefE21_7x_0)</f>
        <v>150</v>
      </c>
      <c r="I57" s="1">
        <f>SUM(OSRRefE21_7x_1)</f>
        <v>150</v>
      </c>
      <c r="J57" s="1">
        <f>SUM(OSRRefE21_7x_2)</f>
        <v>150</v>
      </c>
      <c r="K57" s="1">
        <f>SUM(OSRRefE21_7x_3)</f>
        <v>150</v>
      </c>
      <c r="L57" s="1">
        <f>SUM(OSRRefE21_7x_4)</f>
        <v>150</v>
      </c>
      <c r="M57" s="1">
        <f>SUM(OSRRefE21_7x_5)</f>
        <v>150</v>
      </c>
      <c r="N57" s="1">
        <f>SUM(OSRRefE21_7x_6)</f>
        <v>150</v>
      </c>
      <c r="O57" s="1">
        <f>SUM(OSRRefE21_7x_7)</f>
        <v>0</v>
      </c>
      <c r="Q57" s="2">
        <f>SUM(OSRRefD20_7x)+IFERROR(SUM(OSRRefE20_7x),0)</f>
        <v>1050</v>
      </c>
    </row>
    <row r="58" spans="1:17" s="34" customFormat="1" hidden="1" outlineLevel="1" x14ac:dyDescent="0.25">
      <c r="A58" s="35"/>
      <c r="B58" s="13" t="str">
        <f>CONCATENATE("          ","6277", " - ","EMPLOYEE APPRECIATION")</f>
        <v xml:space="preserve">          6277 - EMPLOYEE APPRECIATION</v>
      </c>
      <c r="C58" s="15"/>
      <c r="D58" s="2"/>
      <c r="E58" s="2"/>
      <c r="F58" s="2"/>
      <c r="G58" s="2"/>
      <c r="H58" s="2">
        <v>150</v>
      </c>
      <c r="I58" s="2">
        <v>150</v>
      </c>
      <c r="J58" s="2">
        <v>150</v>
      </c>
      <c r="K58" s="2">
        <v>150</v>
      </c>
      <c r="L58" s="2">
        <v>150</v>
      </c>
      <c r="M58" s="2">
        <v>150</v>
      </c>
      <c r="N58" s="2">
        <v>150</v>
      </c>
      <c r="O58" s="2">
        <v>0</v>
      </c>
      <c r="P58" s="9"/>
      <c r="Q58" s="2">
        <f>SUM(OSRRefD21_7_0x)+IFERROR(SUM(OSRRefE21_7_0x),0)</f>
        <v>1050</v>
      </c>
    </row>
    <row r="59" spans="1:17" s="34" customFormat="1" collapsed="1" x14ac:dyDescent="0.25">
      <c r="A59" s="35"/>
      <c r="B59" s="15" t="str">
        <f>CONCATENATE("     ","Equipment Rental                                  ")</f>
        <v xml:space="preserve">     Equipment Rental                                  </v>
      </c>
      <c r="C59" s="15"/>
      <c r="D59" s="1">
        <f>SUM(OSRRefD21_8x_0)</f>
        <v>207.6</v>
      </c>
      <c r="E59" s="1">
        <f>SUM(OSRRefD21_8x_1)</f>
        <v>342.94</v>
      </c>
      <c r="F59" s="1">
        <f>SUM(OSRRefD21_8x_2)</f>
        <v>485.2</v>
      </c>
      <c r="G59" s="1">
        <f>SUM(OSRRefD21_8x_3)</f>
        <v>245.6</v>
      </c>
      <c r="H59" s="1">
        <f>SUM(OSRRefE21_8x_0)</f>
        <v>290</v>
      </c>
      <c r="I59" s="1">
        <f>SUM(OSRRefE21_8x_1)</f>
        <v>290</v>
      </c>
      <c r="J59" s="1">
        <f>SUM(OSRRefE21_8x_2)</f>
        <v>290</v>
      </c>
      <c r="K59" s="1">
        <f>SUM(OSRRefE21_8x_3)</f>
        <v>290</v>
      </c>
      <c r="L59" s="1">
        <f>SUM(OSRRefE21_8x_4)</f>
        <v>290</v>
      </c>
      <c r="M59" s="1">
        <f>SUM(OSRRefE21_8x_5)</f>
        <v>290</v>
      </c>
      <c r="N59" s="1">
        <f>SUM(OSRRefE21_8x_6)</f>
        <v>290</v>
      </c>
      <c r="O59" s="1">
        <f>SUM(OSRRefE21_8x_7)</f>
        <v>290</v>
      </c>
      <c r="Q59" s="2">
        <f>SUM(OSRRefD20_8x)+IFERROR(SUM(OSRRefE20_8x),0)</f>
        <v>3601.34</v>
      </c>
    </row>
    <row r="60" spans="1:17" s="34" customFormat="1" hidden="1" outlineLevel="1" x14ac:dyDescent="0.25">
      <c r="A60" s="35"/>
      <c r="B60" s="13" t="str">
        <f>CONCATENATE("          ","6351", " - ","EQUIPMENT RENTAL")</f>
        <v xml:space="preserve">          6351 - EQUIPMENT RENTAL</v>
      </c>
      <c r="C60" s="15"/>
      <c r="D60" s="2">
        <v>207.6</v>
      </c>
      <c r="E60" s="2">
        <v>342.94</v>
      </c>
      <c r="F60" s="2">
        <v>485.2</v>
      </c>
      <c r="G60" s="2">
        <v>245.6</v>
      </c>
      <c r="H60" s="2">
        <v>290</v>
      </c>
      <c r="I60" s="2">
        <v>290</v>
      </c>
      <c r="J60" s="2">
        <v>290</v>
      </c>
      <c r="K60" s="2">
        <v>290</v>
      </c>
      <c r="L60" s="2">
        <v>290</v>
      </c>
      <c r="M60" s="2">
        <v>290</v>
      </c>
      <c r="N60" s="2">
        <v>290</v>
      </c>
      <c r="O60" s="2">
        <v>290</v>
      </c>
      <c r="P60" s="9"/>
      <c r="Q60" s="2">
        <f>SUM(OSRRefD21_8_0x)+IFERROR(SUM(OSRRefE21_8_0x),0)</f>
        <v>3601.34</v>
      </c>
    </row>
    <row r="61" spans="1:17" s="34" customFormat="1" collapsed="1" x14ac:dyDescent="0.25">
      <c r="A61" s="35"/>
      <c r="B61" s="15" t="str">
        <f>CONCATENATE("     ","General                                           ")</f>
        <v xml:space="preserve">     General                                           </v>
      </c>
      <c r="C61" s="15"/>
      <c r="D61" s="1">
        <f>SUM(OSRRefD21_9x_0)</f>
        <v>1439.55</v>
      </c>
      <c r="E61" s="1">
        <f>SUM(OSRRefD21_9x_1)</f>
        <v>0</v>
      </c>
      <c r="F61" s="1">
        <f>SUM(OSRRefD21_9x_2)</f>
        <v>0</v>
      </c>
      <c r="G61" s="1">
        <f>SUM(OSRRefD21_9x_3)</f>
        <v>0</v>
      </c>
      <c r="H61" s="1">
        <f>SUM(OSRRefE21_9x_0)</f>
        <v>270</v>
      </c>
      <c r="I61" s="1">
        <f>SUM(OSRRefE21_9x_1)</f>
        <v>270</v>
      </c>
      <c r="J61" s="1">
        <f>SUM(OSRRefE21_9x_2)</f>
        <v>270</v>
      </c>
      <c r="K61" s="1">
        <f>SUM(OSRRefE21_9x_3)</f>
        <v>270</v>
      </c>
      <c r="L61" s="1">
        <f>SUM(OSRRefE21_9x_4)</f>
        <v>270</v>
      </c>
      <c r="M61" s="1">
        <f>SUM(OSRRefE21_9x_5)</f>
        <v>270</v>
      </c>
      <c r="N61" s="1">
        <f>SUM(OSRRefE21_9x_6)</f>
        <v>270</v>
      </c>
      <c r="O61" s="1">
        <f>SUM(OSRRefE21_9x_7)</f>
        <v>270</v>
      </c>
      <c r="Q61" s="2">
        <f>SUM(OSRRefD20_9x)+IFERROR(SUM(OSRRefE20_9x),0)</f>
        <v>3599.55</v>
      </c>
    </row>
    <row r="62" spans="1:17" s="34" customFormat="1" hidden="1" outlineLevel="1" x14ac:dyDescent="0.25">
      <c r="A62" s="35"/>
      <c r="B62" s="13" t="str">
        <f>CONCATENATE("          ","6279", " - ","GENERAL EXPENSE")</f>
        <v xml:space="preserve">          6279 - GENERAL EXPENSE</v>
      </c>
      <c r="C62" s="15"/>
      <c r="D62" s="2">
        <v>1439.55</v>
      </c>
      <c r="E62" s="2"/>
      <c r="F62" s="2"/>
      <c r="G62" s="2"/>
      <c r="H62" s="2">
        <v>270</v>
      </c>
      <c r="I62" s="2">
        <v>270</v>
      </c>
      <c r="J62" s="2">
        <v>270</v>
      </c>
      <c r="K62" s="2">
        <v>270</v>
      </c>
      <c r="L62" s="2">
        <v>270</v>
      </c>
      <c r="M62" s="2">
        <v>270</v>
      </c>
      <c r="N62" s="2">
        <v>270</v>
      </c>
      <c r="O62" s="2">
        <v>270</v>
      </c>
      <c r="P62" s="9"/>
      <c r="Q62" s="2">
        <f>SUM(OSRRefD21_9_0x)+IFERROR(SUM(OSRRefE21_9_0x),0)</f>
        <v>3599.55</v>
      </c>
    </row>
    <row r="63" spans="1:17" s="34" customFormat="1" collapsed="1" x14ac:dyDescent="0.25">
      <c r="A63" s="35"/>
      <c r="B63" s="15" t="str">
        <f>CONCATENATE("     ","R/H Commissions                                   ")</f>
        <v xml:space="preserve">     R/H Commissions                                   </v>
      </c>
      <c r="C63" s="15"/>
      <c r="D63" s="1">
        <f>SUM(OSRRefD21_10x_0)</f>
        <v>0</v>
      </c>
      <c r="E63" s="1">
        <f>SUM(OSRRefD21_10x_1)</f>
        <v>3389.81</v>
      </c>
      <c r="F63" s="1">
        <f>SUM(OSRRefD21_10x_2)</f>
        <v>11792.03</v>
      </c>
      <c r="G63" s="1">
        <f>SUM(OSRRefD21_10x_3)</f>
        <v>11623.19</v>
      </c>
      <c r="H63" s="1">
        <f>SUM(OSRRefE21_10x_0)</f>
        <v>10412</v>
      </c>
      <c r="I63" s="1">
        <f>SUM(OSRRefE21_10x_1)</f>
        <v>8746</v>
      </c>
      <c r="J63" s="1">
        <f>SUM(OSRRefE21_10x_2)</f>
        <v>5689</v>
      </c>
      <c r="K63" s="1">
        <f>SUM(OSRRefE21_10x_3)</f>
        <v>12297</v>
      </c>
      <c r="L63" s="1">
        <f>SUM(OSRRefE21_10x_4)</f>
        <v>11857</v>
      </c>
      <c r="M63" s="1">
        <f>SUM(OSRRefE21_10x_5)</f>
        <v>11857</v>
      </c>
      <c r="N63" s="1">
        <f>SUM(OSRRefE21_10x_6)</f>
        <v>6587</v>
      </c>
      <c r="O63" s="1">
        <f>SUM(OSRRefE21_10x_7)</f>
        <v>0</v>
      </c>
      <c r="Q63" s="2">
        <f>SUM(OSRRefD20_10x)+IFERROR(SUM(OSRRefE20_10x),0)</f>
        <v>94250.03</v>
      </c>
    </row>
    <row r="64" spans="1:17" s="34" customFormat="1" hidden="1" outlineLevel="1" x14ac:dyDescent="0.25">
      <c r="A64" s="35"/>
      <c r="B64" s="13" t="str">
        <f>CONCATENATE("          ","6387", " - ","COMMISSION DUE HOUSING")</f>
        <v xml:space="preserve">          6387 - COMMISSION DUE HOUSING</v>
      </c>
      <c r="C64" s="15"/>
      <c r="D64" s="2"/>
      <c r="E64" s="2">
        <v>3389.81</v>
      </c>
      <c r="F64" s="2">
        <v>11792.03</v>
      </c>
      <c r="G64" s="2">
        <v>11623.19</v>
      </c>
      <c r="H64" s="2">
        <v>10412</v>
      </c>
      <c r="I64" s="2">
        <v>8746</v>
      </c>
      <c r="J64" s="2">
        <v>5689</v>
      </c>
      <c r="K64" s="2">
        <v>12297</v>
      </c>
      <c r="L64" s="2">
        <v>11857</v>
      </c>
      <c r="M64" s="2">
        <v>11857</v>
      </c>
      <c r="N64" s="2">
        <v>6587</v>
      </c>
      <c r="O64" s="2">
        <v>0</v>
      </c>
      <c r="P64" s="9"/>
      <c r="Q64" s="2">
        <f>SUM(OSRRefD21_10_0x)+IFERROR(SUM(OSRRefE21_10_0x),0)</f>
        <v>94250.03</v>
      </c>
    </row>
    <row r="65" spans="1:17" s="34" customFormat="1" collapsed="1" x14ac:dyDescent="0.25">
      <c r="A65" s="35"/>
      <c r="B65" s="15" t="str">
        <f>CONCATENATE("     ","Repair and Maintenance                            ")</f>
        <v xml:space="preserve">     Repair and Maintenance                            </v>
      </c>
      <c r="C65" s="15"/>
      <c r="D65" s="1">
        <f>SUM(OSRRefD21_11x_0)</f>
        <v>1.65</v>
      </c>
      <c r="E65" s="1">
        <f>SUM(OSRRefD21_11x_1)</f>
        <v>1388.55</v>
      </c>
      <c r="F65" s="1">
        <f>SUM(OSRRefD21_11x_2)</f>
        <v>293.48</v>
      </c>
      <c r="G65" s="1">
        <f>SUM(OSRRefD21_11x_3)</f>
        <v>414.44</v>
      </c>
      <c r="H65" s="1">
        <f>SUM(OSRRefE21_11x_0)</f>
        <v>8788</v>
      </c>
      <c r="I65" s="1">
        <f>SUM(OSRRefE21_11x_1)</f>
        <v>288</v>
      </c>
      <c r="J65" s="1">
        <f>SUM(OSRRefE21_11x_2)</f>
        <v>288</v>
      </c>
      <c r="K65" s="1">
        <f>SUM(OSRRefE21_11x_3)</f>
        <v>288</v>
      </c>
      <c r="L65" s="1">
        <f>SUM(OSRRefE21_11x_4)</f>
        <v>288</v>
      </c>
      <c r="M65" s="1">
        <f>SUM(OSRRefE21_11x_5)</f>
        <v>288</v>
      </c>
      <c r="N65" s="1">
        <f>SUM(OSRRefE21_11x_6)</f>
        <v>288</v>
      </c>
      <c r="O65" s="1">
        <f>SUM(OSRRefE21_11x_7)</f>
        <v>288</v>
      </c>
      <c r="Q65" s="2">
        <f>SUM(OSRRefD20_11x)+IFERROR(SUM(OSRRefE20_11x),0)</f>
        <v>12902.119999999999</v>
      </c>
    </row>
    <row r="66" spans="1:17" s="34" customFormat="1" hidden="1" outlineLevel="1" x14ac:dyDescent="0.25">
      <c r="A66" s="35"/>
      <c r="B66" s="13" t="str">
        <f>CONCATENATE("          ","6371", " - ","COMPUTER SOFTWARE MAINTENANCE")</f>
        <v xml:space="preserve">          6371 - COMPUTER SOFTWARE MAINTENANCE</v>
      </c>
      <c r="C66" s="15"/>
      <c r="D66" s="2"/>
      <c r="E66" s="2"/>
      <c r="F66" s="2"/>
      <c r="G66" s="2"/>
      <c r="H66" s="2">
        <v>8500</v>
      </c>
      <c r="I66" s="2"/>
      <c r="J66" s="2"/>
      <c r="K66" s="2"/>
      <c r="L66" s="2"/>
      <c r="M66" s="2"/>
      <c r="N66" s="2"/>
      <c r="O66" s="2"/>
      <c r="P66" s="9"/>
      <c r="Q66" s="2">
        <f>SUM(OSRRefD21_11_0x)+IFERROR(SUM(OSRRefE21_11_0x),0)</f>
        <v>8500</v>
      </c>
    </row>
    <row r="67" spans="1:17" s="34" customFormat="1" hidden="1" outlineLevel="1" x14ac:dyDescent="0.25">
      <c r="A67" s="35"/>
      <c r="B67" s="13" t="str">
        <f>CONCATENATE("          ","6373", " - ","MAINTENANCE CONTRACTS")</f>
        <v xml:space="preserve">          6373 - MAINTENANCE CONTRACTS</v>
      </c>
      <c r="C67" s="15"/>
      <c r="D67" s="2">
        <v>1.65</v>
      </c>
      <c r="E67" s="2">
        <v>1388.55</v>
      </c>
      <c r="F67" s="2">
        <v>88.48</v>
      </c>
      <c r="G67" s="2">
        <v>17.82</v>
      </c>
      <c r="H67" s="2">
        <v>38</v>
      </c>
      <c r="I67" s="2">
        <v>38</v>
      </c>
      <c r="J67" s="2">
        <v>38</v>
      </c>
      <c r="K67" s="2">
        <v>38</v>
      </c>
      <c r="L67" s="2">
        <v>38</v>
      </c>
      <c r="M67" s="2">
        <v>38</v>
      </c>
      <c r="N67" s="2">
        <v>38</v>
      </c>
      <c r="O67" s="2">
        <v>38</v>
      </c>
      <c r="P67" s="9"/>
      <c r="Q67" s="2">
        <f>SUM(OSRRefD21_11_1x)+IFERROR(SUM(OSRRefE21_11_1x),0)</f>
        <v>1800.5</v>
      </c>
    </row>
    <row r="68" spans="1:17" s="34" customFormat="1" hidden="1" outlineLevel="1" x14ac:dyDescent="0.25">
      <c r="A68" s="35"/>
      <c r="B68" s="13" t="str">
        <f>CONCATENATE("          ","6375", " - ","OUTSIDE REPAIRS &amp; MAINTENANCE")</f>
        <v xml:space="preserve">          6375 - OUTSIDE REPAIRS &amp; MAINTENANCE</v>
      </c>
      <c r="C68" s="15"/>
      <c r="D68" s="2"/>
      <c r="E68" s="2"/>
      <c r="F68" s="2">
        <v>205</v>
      </c>
      <c r="G68" s="2">
        <v>396.62</v>
      </c>
      <c r="H68" s="2">
        <v>250</v>
      </c>
      <c r="I68" s="2">
        <v>250</v>
      </c>
      <c r="J68" s="2">
        <v>250</v>
      </c>
      <c r="K68" s="2">
        <v>250</v>
      </c>
      <c r="L68" s="2">
        <v>250</v>
      </c>
      <c r="M68" s="2">
        <v>250</v>
      </c>
      <c r="N68" s="2">
        <v>250</v>
      </c>
      <c r="O68" s="2">
        <v>250</v>
      </c>
      <c r="P68" s="9"/>
      <c r="Q68" s="2">
        <f>SUM(OSRRefD21_11_2x)+IFERROR(SUM(OSRRefE21_11_2x),0)</f>
        <v>2601.62</v>
      </c>
    </row>
    <row r="69" spans="1:17" s="34" customFormat="1" collapsed="1" x14ac:dyDescent="0.25">
      <c r="A69" s="35"/>
      <c r="B69" s="15" t="str">
        <f>CONCATENATE("     ","Services                                          ")</f>
        <v xml:space="preserve">     Services                                          </v>
      </c>
      <c r="C69" s="15"/>
      <c r="D69" s="1">
        <f>SUM(OSRRefD21_12x_0)</f>
        <v>574.88</v>
      </c>
      <c r="E69" s="1">
        <f>SUM(OSRRefD21_12x_1)</f>
        <v>1326.74</v>
      </c>
      <c r="F69" s="1">
        <f>SUM(OSRRefD21_12x_2)</f>
        <v>8805.49</v>
      </c>
      <c r="G69" s="1">
        <f>SUM(OSRRefD21_12x_3)</f>
        <v>5249.81</v>
      </c>
      <c r="H69" s="1">
        <f>SUM(OSRRefE21_12x_0)</f>
        <v>6221</v>
      </c>
      <c r="I69" s="1">
        <f>SUM(OSRRefE21_12x_1)</f>
        <v>6221</v>
      </c>
      <c r="J69" s="1">
        <f>SUM(OSRRefE21_12x_2)</f>
        <v>6521</v>
      </c>
      <c r="K69" s="1">
        <f>SUM(OSRRefE21_12x_3)</f>
        <v>6521</v>
      </c>
      <c r="L69" s="1">
        <f>SUM(OSRRefE21_12x_4)</f>
        <v>6521</v>
      </c>
      <c r="M69" s="1">
        <f>SUM(OSRRefE21_12x_5)</f>
        <v>6521</v>
      </c>
      <c r="N69" s="1">
        <f>SUM(OSRRefE21_12x_6)</f>
        <v>6521</v>
      </c>
      <c r="O69" s="1">
        <f>SUM(OSRRefE21_12x_7)</f>
        <v>6521</v>
      </c>
      <c r="Q69" s="2">
        <f>SUM(OSRRefD20_12x)+IFERROR(SUM(OSRRefE20_12x),0)</f>
        <v>67524.92</v>
      </c>
    </row>
    <row r="70" spans="1:17" s="34" customFormat="1" hidden="1" outlineLevel="1" x14ac:dyDescent="0.25">
      <c r="A70" s="35"/>
      <c r="B70" s="13" t="str">
        <f>CONCATENATE("          ","6282", " - ","JANITORIAL/EXTERMINATOR EXPENS")</f>
        <v xml:space="preserve">          6282 - JANITORIAL/EXTERMINATOR EXPENS</v>
      </c>
      <c r="C70" s="15"/>
      <c r="D70" s="2">
        <v>421.34</v>
      </c>
      <c r="E70" s="2">
        <v>421.34</v>
      </c>
      <c r="F70" s="2"/>
      <c r="G70" s="2"/>
      <c r="H70" s="2">
        <v>450</v>
      </c>
      <c r="I70" s="2">
        <v>450</v>
      </c>
      <c r="J70" s="2">
        <v>450</v>
      </c>
      <c r="K70" s="2">
        <v>450</v>
      </c>
      <c r="L70" s="2">
        <v>450</v>
      </c>
      <c r="M70" s="2">
        <v>450</v>
      </c>
      <c r="N70" s="2">
        <v>450</v>
      </c>
      <c r="O70" s="2">
        <v>450</v>
      </c>
      <c r="P70" s="9"/>
      <c r="Q70" s="2">
        <f>SUM(OSRRefD21_12_0x)+IFERROR(SUM(OSRRefE21_12_0x),0)</f>
        <v>4442.68</v>
      </c>
    </row>
    <row r="71" spans="1:17" s="34" customFormat="1" hidden="1" outlineLevel="1" x14ac:dyDescent="0.25">
      <c r="A71" s="35"/>
      <c r="B71" s="13" t="str">
        <f>CONCATENATE("          ","6285", " - ","JANITORIAL SERVICES")</f>
        <v xml:space="preserve">          6285 - JANITORIAL SERVICES</v>
      </c>
      <c r="C71" s="15"/>
      <c r="D71" s="2"/>
      <c r="E71" s="2"/>
      <c r="F71" s="2">
        <v>7620.33</v>
      </c>
      <c r="G71" s="2">
        <v>4194.1000000000004</v>
      </c>
      <c r="H71" s="2">
        <v>4271</v>
      </c>
      <c r="I71" s="2">
        <v>4271</v>
      </c>
      <c r="J71" s="2">
        <v>4571</v>
      </c>
      <c r="K71" s="2">
        <v>4571</v>
      </c>
      <c r="L71" s="2">
        <v>4571</v>
      </c>
      <c r="M71" s="2">
        <v>4571</v>
      </c>
      <c r="N71" s="2">
        <v>4571</v>
      </c>
      <c r="O71" s="2">
        <v>4571</v>
      </c>
      <c r="P71" s="9"/>
      <c r="Q71" s="2">
        <f>SUM(OSRRefD21_12_1x)+IFERROR(SUM(OSRRefE21_12_1x),0)</f>
        <v>47782.43</v>
      </c>
    </row>
    <row r="72" spans="1:17" s="34" customFormat="1" hidden="1" outlineLevel="1" x14ac:dyDescent="0.25">
      <c r="A72" s="35"/>
      <c r="B72" s="13" t="str">
        <f>CONCATENATE("          ","6286", " - ","LAUNDRY EXPENSE")</f>
        <v xml:space="preserve">          6286 - LAUNDRY EXPENSE</v>
      </c>
      <c r="C72" s="15"/>
      <c r="D72" s="2">
        <v>153.54</v>
      </c>
      <c r="E72" s="2">
        <v>905.4</v>
      </c>
      <c r="F72" s="2">
        <v>1185.1600000000001</v>
      </c>
      <c r="G72" s="2">
        <v>1055.71</v>
      </c>
      <c r="H72" s="2">
        <v>1500</v>
      </c>
      <c r="I72" s="2">
        <v>1500</v>
      </c>
      <c r="J72" s="2">
        <v>1500</v>
      </c>
      <c r="K72" s="2">
        <v>1500</v>
      </c>
      <c r="L72" s="2">
        <v>1500</v>
      </c>
      <c r="M72" s="2">
        <v>1500</v>
      </c>
      <c r="N72" s="2">
        <v>1500</v>
      </c>
      <c r="O72" s="2">
        <v>1500</v>
      </c>
      <c r="P72" s="9"/>
      <c r="Q72" s="2">
        <f>SUM(OSRRefD21_12_2x)+IFERROR(SUM(OSRRefE21_12_2x),0)</f>
        <v>15299.810000000001</v>
      </c>
    </row>
    <row r="73" spans="1:17" s="34" customFormat="1" collapsed="1" x14ac:dyDescent="0.25">
      <c r="A73" s="35"/>
      <c r="B73" s="15" t="str">
        <f>CONCATENATE("     ","Supplies                                          ")</f>
        <v xml:space="preserve">     Supplies                                          </v>
      </c>
      <c r="C73" s="15"/>
      <c r="D73" s="1">
        <f>SUM(OSRRefD21_13x_0)</f>
        <v>0</v>
      </c>
      <c r="E73" s="1">
        <f>SUM(OSRRefD21_13x_1)</f>
        <v>14652.13</v>
      </c>
      <c r="F73" s="1">
        <f>SUM(OSRRefD21_13x_2)</f>
        <v>7399.3399999999992</v>
      </c>
      <c r="G73" s="1">
        <f>SUM(OSRRefD21_13x_3)</f>
        <v>19578.689999999999</v>
      </c>
      <c r="H73" s="1">
        <f>SUM(OSRRefE21_13x_0)</f>
        <v>8018</v>
      </c>
      <c r="I73" s="1">
        <f>SUM(OSRRefE21_13x_1)</f>
        <v>8018</v>
      </c>
      <c r="J73" s="1">
        <f>SUM(OSRRefE21_13x_2)</f>
        <v>8098</v>
      </c>
      <c r="K73" s="1">
        <f>SUM(OSRRefE21_13x_3)</f>
        <v>8018</v>
      </c>
      <c r="L73" s="1">
        <f>SUM(OSRRefE21_13x_4)</f>
        <v>8018</v>
      </c>
      <c r="M73" s="1">
        <f>SUM(OSRRefE21_13x_5)</f>
        <v>8098</v>
      </c>
      <c r="N73" s="1">
        <f>SUM(OSRRefE21_13x_6)</f>
        <v>8018</v>
      </c>
      <c r="O73" s="1">
        <f>SUM(OSRRefE21_13x_7)</f>
        <v>2000</v>
      </c>
      <c r="Q73" s="2">
        <f>SUM(OSRRefD20_13x)+IFERROR(SUM(OSRRefE20_13x),0)</f>
        <v>99916.160000000003</v>
      </c>
    </row>
    <row r="74" spans="1:17" s="34" customFormat="1" hidden="1" outlineLevel="1" x14ac:dyDescent="0.25">
      <c r="A74" s="35"/>
      <c r="B74" s="13" t="str">
        <f>CONCATENATE("          ","6235", " - ","COVID-19 EXPENSES")</f>
        <v xml:space="preserve">          6235 - COVID-19 EXPENSES</v>
      </c>
      <c r="C74" s="15"/>
      <c r="D74" s="2"/>
      <c r="E74" s="2">
        <v>7625.15</v>
      </c>
      <c r="F74" s="2">
        <v>3651.67</v>
      </c>
      <c r="G74" s="2">
        <v>13495.55</v>
      </c>
      <c r="H74" s="2">
        <v>4000</v>
      </c>
      <c r="I74" s="2">
        <v>4000</v>
      </c>
      <c r="J74" s="2">
        <v>4000</v>
      </c>
      <c r="K74" s="2">
        <v>4000</v>
      </c>
      <c r="L74" s="2">
        <v>4000</v>
      </c>
      <c r="M74" s="2">
        <v>4000</v>
      </c>
      <c r="N74" s="2">
        <v>4000</v>
      </c>
      <c r="O74" s="2">
        <v>2000</v>
      </c>
      <c r="P74" s="9"/>
      <c r="Q74" s="2">
        <f>SUM(OSRRefD21_13_0x)+IFERROR(SUM(OSRRefE21_13_0x),0)</f>
        <v>54772.369999999995</v>
      </c>
    </row>
    <row r="75" spans="1:17" s="34" customFormat="1" hidden="1" outlineLevel="1" x14ac:dyDescent="0.25">
      <c r="A75" s="35"/>
      <c r="B75" s="13" t="str">
        <f>CONCATENATE("          ","6237", " - ","JANITORIAL SUPPLIES")</f>
        <v xml:space="preserve">          6237 - JANITORIAL SUPPLIES</v>
      </c>
      <c r="C75" s="15"/>
      <c r="D75" s="2"/>
      <c r="E75" s="2">
        <v>1416.91</v>
      </c>
      <c r="F75" s="2">
        <v>2125.81</v>
      </c>
      <c r="G75" s="2">
        <v>1798.45</v>
      </c>
      <c r="H75" s="2">
        <v>3000</v>
      </c>
      <c r="I75" s="2">
        <v>3000</v>
      </c>
      <c r="J75" s="2">
        <v>3000</v>
      </c>
      <c r="K75" s="2">
        <v>3000</v>
      </c>
      <c r="L75" s="2">
        <v>3000</v>
      </c>
      <c r="M75" s="2">
        <v>3000</v>
      </c>
      <c r="N75" s="2">
        <v>3000</v>
      </c>
      <c r="O75" s="2">
        <v>0</v>
      </c>
      <c r="P75" s="9"/>
      <c r="Q75" s="2">
        <f>SUM(OSRRefD21_13_1x)+IFERROR(SUM(OSRRefE21_13_1x),0)</f>
        <v>26341.17</v>
      </c>
    </row>
    <row r="76" spans="1:17" s="34" customFormat="1" hidden="1" outlineLevel="1" x14ac:dyDescent="0.25">
      <c r="A76" s="35"/>
      <c r="B76" s="13" t="str">
        <f>CONCATENATE("          ","6239", " - ","KITCHEN SUPPLIES")</f>
        <v xml:space="preserve">          6239 - KITCHEN SUPPLIES</v>
      </c>
      <c r="C76" s="15"/>
      <c r="D76" s="2"/>
      <c r="E76" s="2">
        <v>1343.24</v>
      </c>
      <c r="F76" s="2">
        <v>553.01</v>
      </c>
      <c r="G76" s="2">
        <v>1244.3599999999999</v>
      </c>
      <c r="H76" s="2">
        <v>500</v>
      </c>
      <c r="I76" s="2">
        <v>500</v>
      </c>
      <c r="J76" s="2">
        <v>500</v>
      </c>
      <c r="K76" s="2">
        <v>500</v>
      </c>
      <c r="L76" s="2">
        <v>500</v>
      </c>
      <c r="M76" s="2">
        <v>500</v>
      </c>
      <c r="N76" s="2">
        <v>500</v>
      </c>
      <c r="O76" s="2">
        <v>0</v>
      </c>
      <c r="P76" s="9"/>
      <c r="Q76" s="2">
        <f>SUM(OSRRefD21_13_2x)+IFERROR(SUM(OSRRefE21_13_2x),0)</f>
        <v>6640.61</v>
      </c>
    </row>
    <row r="77" spans="1:17" s="34" customFormat="1" hidden="1" outlineLevel="1" x14ac:dyDescent="0.25">
      <c r="A77" s="35"/>
      <c r="B77" s="13" t="str">
        <f>CONCATENATE("          ","6241", " - ","OFFICE EXPENSE")</f>
        <v xml:space="preserve">          6241 - OFFICE EXPENSE</v>
      </c>
      <c r="C77" s="15"/>
      <c r="D77" s="2"/>
      <c r="E77" s="2">
        <v>105.23</v>
      </c>
      <c r="F77" s="2">
        <v>765.15</v>
      </c>
      <c r="G77" s="2">
        <v>407.69</v>
      </c>
      <c r="H77" s="2">
        <v>150</v>
      </c>
      <c r="I77" s="2">
        <v>150</v>
      </c>
      <c r="J77" s="2">
        <v>150</v>
      </c>
      <c r="K77" s="2">
        <v>150</v>
      </c>
      <c r="L77" s="2">
        <v>150</v>
      </c>
      <c r="M77" s="2">
        <v>150</v>
      </c>
      <c r="N77" s="2">
        <v>150</v>
      </c>
      <c r="O77" s="2">
        <v>0</v>
      </c>
      <c r="P77" s="9"/>
      <c r="Q77" s="2">
        <f>SUM(OSRRefD21_13_3x)+IFERROR(SUM(OSRRefE21_13_3x),0)</f>
        <v>2328.0699999999997</v>
      </c>
    </row>
    <row r="78" spans="1:17" s="34" customFormat="1" hidden="1" outlineLevel="1" x14ac:dyDescent="0.25">
      <c r="A78" s="35"/>
      <c r="B78" s="13" t="str">
        <f>CONCATENATE("          ","6243", " - ","PAPER SUPPLIES")</f>
        <v xml:space="preserve">          6243 - PAPER SUPPLIES</v>
      </c>
      <c r="C78" s="15"/>
      <c r="D78" s="2"/>
      <c r="E78" s="2">
        <v>650.62</v>
      </c>
      <c r="F78" s="2"/>
      <c r="G78" s="2">
        <v>2632.64</v>
      </c>
      <c r="H78" s="2"/>
      <c r="I78" s="2"/>
      <c r="J78" s="2"/>
      <c r="K78" s="2"/>
      <c r="L78" s="2"/>
      <c r="M78" s="2"/>
      <c r="N78" s="2"/>
      <c r="O78" s="2"/>
      <c r="P78" s="9"/>
      <c r="Q78" s="2">
        <f>SUM(OSRRefD21_13_4x)+IFERROR(SUM(OSRRefE21_13_4x),0)</f>
        <v>3283.2599999999998</v>
      </c>
    </row>
    <row r="79" spans="1:17" s="34" customFormat="1" hidden="1" outlineLevel="1" x14ac:dyDescent="0.25">
      <c r="A79" s="35"/>
      <c r="B79" s="13" t="str">
        <f>CONCATENATE("          ","6244", " - ","SAFETY SUPPLY EXPENSE")</f>
        <v xml:space="preserve">          6244 - SAFETY SUPPLY EXPENSE</v>
      </c>
      <c r="C79" s="15"/>
      <c r="D79" s="2"/>
      <c r="E79" s="2"/>
      <c r="F79" s="2"/>
      <c r="G79" s="2"/>
      <c r="H79" s="2">
        <v>0</v>
      </c>
      <c r="I79" s="2"/>
      <c r="J79" s="2">
        <v>80</v>
      </c>
      <c r="K79" s="2">
        <v>0</v>
      </c>
      <c r="L79" s="2"/>
      <c r="M79" s="2">
        <v>80</v>
      </c>
      <c r="N79" s="2">
        <v>0</v>
      </c>
      <c r="O79" s="2"/>
      <c r="P79" s="9"/>
      <c r="Q79" s="2">
        <f>SUM(OSRRefD21_13_5x)+IFERROR(SUM(OSRRefE21_13_5x),0)</f>
        <v>160</v>
      </c>
    </row>
    <row r="80" spans="1:17" s="34" customFormat="1" hidden="1" outlineLevel="1" x14ac:dyDescent="0.25">
      <c r="A80" s="35"/>
      <c r="B80" s="13" t="str">
        <f>CONCATENATE("          ","6247", " - ","STORE SUPPLIES")</f>
        <v xml:space="preserve">          6247 - STORE SUPPLIES</v>
      </c>
      <c r="C80" s="15"/>
      <c r="D80" s="2"/>
      <c r="E80" s="2"/>
      <c r="F80" s="2"/>
      <c r="G80" s="2"/>
      <c r="H80" s="2">
        <v>18</v>
      </c>
      <c r="I80" s="2">
        <v>18</v>
      </c>
      <c r="J80" s="2">
        <v>18</v>
      </c>
      <c r="K80" s="2">
        <v>18</v>
      </c>
      <c r="L80" s="2">
        <v>18</v>
      </c>
      <c r="M80" s="2">
        <v>18</v>
      </c>
      <c r="N80" s="2">
        <v>18</v>
      </c>
      <c r="O80" s="2">
        <v>0</v>
      </c>
      <c r="P80" s="9"/>
      <c r="Q80" s="2">
        <f>SUM(OSRRefD21_13_6x)+IFERROR(SUM(OSRRefE21_13_6x),0)</f>
        <v>126</v>
      </c>
    </row>
    <row r="81" spans="1:17" s="34" customFormat="1" hidden="1" outlineLevel="1" x14ac:dyDescent="0.25">
      <c r="A81" s="35"/>
      <c r="B81" s="13" t="str">
        <f>CONCATENATE("          ","6248", " - ","UNIFORMS")</f>
        <v xml:space="preserve">          6248 - UNIFORMS</v>
      </c>
      <c r="C81" s="15"/>
      <c r="D81" s="2"/>
      <c r="E81" s="2">
        <v>3510.98</v>
      </c>
      <c r="F81" s="2">
        <v>303.7</v>
      </c>
      <c r="G81" s="2"/>
      <c r="H81" s="2">
        <v>350</v>
      </c>
      <c r="I81" s="2">
        <v>350</v>
      </c>
      <c r="J81" s="2">
        <v>350</v>
      </c>
      <c r="K81" s="2">
        <v>350</v>
      </c>
      <c r="L81" s="2">
        <v>350</v>
      </c>
      <c r="M81" s="2">
        <v>350</v>
      </c>
      <c r="N81" s="2">
        <v>350</v>
      </c>
      <c r="O81" s="2">
        <v>0</v>
      </c>
      <c r="P81" s="9"/>
      <c r="Q81" s="2">
        <f>SUM(OSRRefD21_13_7x)+IFERROR(SUM(OSRRefE21_13_7x),0)</f>
        <v>6264.68</v>
      </c>
    </row>
    <row r="82" spans="1:17" s="34" customFormat="1" collapsed="1" x14ac:dyDescent="0.25">
      <c r="A82" s="35"/>
      <c r="B82" s="15" t="str">
        <f>CONCATENATE("     ","Telephone/Data Lines                              ")</f>
        <v xml:space="preserve">     Telephone/Data Lines                              </v>
      </c>
      <c r="C82" s="15"/>
      <c r="D82" s="1">
        <f>SUM(OSRRefD21_14x_0)</f>
        <v>259</v>
      </c>
      <c r="E82" s="1">
        <f>SUM(OSRRefD21_14x_1)</f>
        <v>259</v>
      </c>
      <c r="F82" s="1">
        <f>SUM(OSRRefD21_14x_2)</f>
        <v>410</v>
      </c>
      <c r="G82" s="1">
        <f>SUM(OSRRefD21_14x_3)</f>
        <v>259</v>
      </c>
      <c r="H82" s="1">
        <f>SUM(OSRRefE21_14x_0)</f>
        <v>310</v>
      </c>
      <c r="I82" s="1">
        <f>SUM(OSRRefE21_14x_1)</f>
        <v>310</v>
      </c>
      <c r="J82" s="1">
        <f>SUM(OSRRefE21_14x_2)</f>
        <v>310</v>
      </c>
      <c r="K82" s="1">
        <f>SUM(OSRRefE21_14x_3)</f>
        <v>310</v>
      </c>
      <c r="L82" s="1">
        <f>SUM(OSRRefE21_14x_4)</f>
        <v>310</v>
      </c>
      <c r="M82" s="1">
        <f>SUM(OSRRefE21_14x_5)</f>
        <v>310</v>
      </c>
      <c r="N82" s="1">
        <f>SUM(OSRRefE21_14x_6)</f>
        <v>310</v>
      </c>
      <c r="O82" s="1">
        <f>SUM(OSRRefE21_14x_7)</f>
        <v>310</v>
      </c>
      <c r="Q82" s="2">
        <f>SUM(OSRRefD20_14x)+IFERROR(SUM(OSRRefE20_14x),0)</f>
        <v>3667</v>
      </c>
    </row>
    <row r="83" spans="1:17" s="34" customFormat="1" hidden="1" outlineLevel="1" x14ac:dyDescent="0.25">
      <c r="A83" s="35"/>
      <c r="B83" s="13" t="str">
        <f>CONCATENATE("          ","6303", " - ","DATA PHONE LINES")</f>
        <v xml:space="preserve">          6303 - DATA PHONE LINES</v>
      </c>
      <c r="C83" s="15"/>
      <c r="D83" s="2"/>
      <c r="E83" s="2"/>
      <c r="F83" s="2"/>
      <c r="G83" s="2"/>
      <c r="H83" s="2">
        <v>310</v>
      </c>
      <c r="I83" s="2">
        <v>310</v>
      </c>
      <c r="J83" s="2">
        <v>310</v>
      </c>
      <c r="K83" s="2">
        <v>310</v>
      </c>
      <c r="L83" s="2">
        <v>310</v>
      </c>
      <c r="M83" s="2">
        <v>310</v>
      </c>
      <c r="N83" s="2">
        <v>310</v>
      </c>
      <c r="O83" s="2">
        <v>310</v>
      </c>
      <c r="P83" s="9"/>
      <c r="Q83" s="2">
        <f>SUM(OSRRefD21_14_0x)+IFERROR(SUM(OSRRefE21_14_0x),0)</f>
        <v>2480</v>
      </c>
    </row>
    <row r="84" spans="1:17" s="34" customFormat="1" hidden="1" outlineLevel="1" x14ac:dyDescent="0.25">
      <c r="A84" s="35"/>
      <c r="B84" s="13" t="str">
        <f>CONCATENATE("          ","6309", " - ","TELEPHONE")</f>
        <v xml:space="preserve">          6309 - TELEPHONE</v>
      </c>
      <c r="C84" s="15"/>
      <c r="D84" s="2">
        <v>259</v>
      </c>
      <c r="E84" s="2">
        <v>259</v>
      </c>
      <c r="F84" s="2">
        <v>410</v>
      </c>
      <c r="G84" s="2">
        <v>259</v>
      </c>
      <c r="H84" s="2"/>
      <c r="I84" s="2"/>
      <c r="J84" s="2"/>
      <c r="K84" s="2"/>
      <c r="L84" s="2"/>
      <c r="M84" s="2"/>
      <c r="N84" s="2"/>
      <c r="O84" s="2"/>
      <c r="P84" s="9"/>
      <c r="Q84" s="2">
        <f>SUM(OSRRefD21_14_1x)+IFERROR(SUM(OSRRefE21_14_1x),0)</f>
        <v>1187</v>
      </c>
    </row>
    <row r="85" spans="1:17" s="34" customFormat="1" collapsed="1" x14ac:dyDescent="0.25">
      <c r="A85" s="35"/>
      <c r="B85" s="15" t="str">
        <f>CONCATENATE("     ","Training                                          ")</f>
        <v xml:space="preserve">     Training                                          </v>
      </c>
      <c r="C85" s="15"/>
      <c r="D85" s="1">
        <f>SUM(OSRRefD21_15x_0)</f>
        <v>0</v>
      </c>
      <c r="E85" s="1">
        <f>SUM(OSRRefD21_15x_1)</f>
        <v>350</v>
      </c>
      <c r="F85" s="1">
        <f>SUM(OSRRefD21_15x_2)</f>
        <v>0</v>
      </c>
      <c r="G85" s="1">
        <f>SUM(OSRRefD21_15x_3)</f>
        <v>385</v>
      </c>
      <c r="H85" s="1">
        <f>SUM(OSRRefE21_15x_0)</f>
        <v>350</v>
      </c>
      <c r="I85" s="1">
        <f>SUM(OSRRefE21_15x_1)</f>
        <v>350</v>
      </c>
      <c r="J85" s="1">
        <f>SUM(OSRRefE21_15x_2)</f>
        <v>350</v>
      </c>
      <c r="K85" s="1">
        <f>SUM(OSRRefE21_15x_3)</f>
        <v>350</v>
      </c>
      <c r="L85" s="1">
        <f>SUM(OSRRefE21_15x_4)</f>
        <v>350</v>
      </c>
      <c r="M85" s="1">
        <f>SUM(OSRRefE21_15x_5)</f>
        <v>350</v>
      </c>
      <c r="N85" s="1">
        <f>SUM(OSRRefE21_15x_6)</f>
        <v>350</v>
      </c>
      <c r="O85" s="1">
        <f>SUM(OSRRefE21_15x_7)</f>
        <v>350</v>
      </c>
      <c r="Q85" s="2">
        <f>SUM(OSRRefD20_15x)+IFERROR(SUM(OSRRefE20_15x),0)</f>
        <v>3535</v>
      </c>
    </row>
    <row r="86" spans="1:17" s="34" customFormat="1" hidden="1" outlineLevel="1" x14ac:dyDescent="0.25">
      <c r="A86" s="35"/>
      <c r="B86" s="13" t="str">
        <f>CONCATENATE("          ","6376", " - ","TRAINING")</f>
        <v xml:space="preserve">          6376 - TRAINING</v>
      </c>
      <c r="C86" s="15"/>
      <c r="D86" s="2"/>
      <c r="E86" s="2">
        <v>350</v>
      </c>
      <c r="F86" s="2"/>
      <c r="G86" s="2">
        <v>385</v>
      </c>
      <c r="H86" s="2">
        <v>350</v>
      </c>
      <c r="I86" s="2">
        <v>350</v>
      </c>
      <c r="J86" s="2">
        <v>350</v>
      </c>
      <c r="K86" s="2">
        <v>350</v>
      </c>
      <c r="L86" s="2">
        <v>350</v>
      </c>
      <c r="M86" s="2">
        <v>350</v>
      </c>
      <c r="N86" s="2">
        <v>350</v>
      </c>
      <c r="O86" s="2">
        <v>350</v>
      </c>
      <c r="P86" s="9"/>
      <c r="Q86" s="2">
        <f>SUM(OSRRefD21_15_0x)+IFERROR(SUM(OSRRefE21_15_0x),0)</f>
        <v>3535</v>
      </c>
    </row>
    <row r="87" spans="1:17" s="28" customFormat="1" x14ac:dyDescent="0.25">
      <c r="A87" s="20"/>
      <c r="B87" s="20"/>
      <c r="C87" s="20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25">
      <c r="A88" s="22"/>
      <c r="B88" s="16" t="s">
        <v>0</v>
      </c>
      <c r="C88" s="23"/>
      <c r="D88" s="3">
        <f t="shared" ref="D88:G88" si="5">0</f>
        <v>0</v>
      </c>
      <c r="E88" s="3">
        <f t="shared" si="5"/>
        <v>0</v>
      </c>
      <c r="F88" s="3">
        <f t="shared" si="5"/>
        <v>0</v>
      </c>
      <c r="G88" s="3">
        <f t="shared" si="5"/>
        <v>0</v>
      </c>
      <c r="H88" s="3"/>
      <c r="I88" s="3"/>
      <c r="J88" s="3"/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25">
      <c r="A89" s="5"/>
      <c r="B89" s="8"/>
      <c r="C89" s="8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4" customFormat="1" x14ac:dyDescent="0.25">
      <c r="A90" s="8"/>
      <c r="B90" s="17" t="s">
        <v>3</v>
      </c>
      <c r="C90" s="17"/>
      <c r="D90" s="6">
        <f t="shared" ref="D90:O90" si="6">IFERROR(+D21-D24+D88, 0)</f>
        <v>-64552.84</v>
      </c>
      <c r="E90" s="6">
        <f t="shared" si="6"/>
        <v>-80866.710000000006</v>
      </c>
      <c r="F90" s="6">
        <f t="shared" si="6"/>
        <v>6713.8800000000047</v>
      </c>
      <c r="G90" s="6">
        <f t="shared" si="6"/>
        <v>-48503.709999999992</v>
      </c>
      <c r="H90" s="6">
        <f t="shared" si="6"/>
        <v>-46810.930604769295</v>
      </c>
      <c r="I90" s="6">
        <f t="shared" si="6"/>
        <v>21642.645000000004</v>
      </c>
      <c r="J90" s="6">
        <f t="shared" si="6"/>
        <v>-82799.566380961507</v>
      </c>
      <c r="K90" s="6">
        <f t="shared" si="6"/>
        <v>-25363.823104769283</v>
      </c>
      <c r="L90" s="6">
        <f t="shared" si="6"/>
        <v>-33487.823104769283</v>
      </c>
      <c r="M90" s="6">
        <f t="shared" si="6"/>
        <v>-48699.243880961527</v>
      </c>
      <c r="N90" s="6">
        <f t="shared" si="6"/>
        <v>-56266.25310476929</v>
      </c>
      <c r="O90" s="6">
        <f t="shared" si="6"/>
        <v>-80173.683104769298</v>
      </c>
      <c r="Q90" s="6">
        <f>IFERROR(+Q21-Q24+Q88, 0)</f>
        <v>-539168.05828576954</v>
      </c>
    </row>
    <row r="91" spans="1:17" s="8" customFormat="1" x14ac:dyDescent="0.25">
      <c r="B91" s="16"/>
      <c r="C91" s="16"/>
      <c r="D91" s="4">
        <f t="shared" ref="D91:O91" si="7">IFERROR(D90/D10, 0)</f>
        <v>0</v>
      </c>
      <c r="E91" s="4">
        <f t="shared" si="7"/>
        <v>-1.7326942080620376</v>
      </c>
      <c r="F91" s="4">
        <f t="shared" si="7"/>
        <v>3.6409406527996832E-2</v>
      </c>
      <c r="G91" s="4">
        <f t="shared" si="7"/>
        <v>-0.25692021251238151</v>
      </c>
      <c r="H91" s="4">
        <f t="shared" si="7"/>
        <v>-0.35968289680563442</v>
      </c>
      <c r="I91" s="4">
        <f t="shared" si="7"/>
        <v>0.19797335370148467</v>
      </c>
      <c r="J91" s="4">
        <f t="shared" si="7"/>
        <v>-1.1642724859170313</v>
      </c>
      <c r="K91" s="4">
        <f t="shared" si="7"/>
        <v>-0.16500766431446451</v>
      </c>
      <c r="L91" s="4">
        <f t="shared" si="7"/>
        <v>-0.22592865550399926</v>
      </c>
      <c r="M91" s="4">
        <f t="shared" si="7"/>
        <v>-0.32855389434137433</v>
      </c>
      <c r="N91" s="4">
        <f t="shared" si="7"/>
        <v>-0.68329066505682479</v>
      </c>
      <c r="O91" s="4">
        <f t="shared" si="7"/>
        <v>0</v>
      </c>
      <c r="P91" s="18"/>
      <c r="Q91" s="4">
        <f>IFERROR(Q90/Q10, 0)</f>
        <v>-0.42691242624220938</v>
      </c>
    </row>
    <row r="92" spans="1:17" x14ac:dyDescent="0.25">
      <c r="A92" s="5"/>
      <c r="B92" s="8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4" customFormat="1" x14ac:dyDescent="0.25">
      <c r="A93" s="25"/>
      <c r="B93" s="8" t="s">
        <v>8</v>
      </c>
      <c r="C93" s="8"/>
      <c r="D93" s="3"/>
      <c r="E93" s="3">
        <v>7879.78</v>
      </c>
      <c r="F93" s="3">
        <v>34927.219999999994</v>
      </c>
      <c r="G93" s="3">
        <v>48143.64</v>
      </c>
      <c r="H93" s="3">
        <v>37266</v>
      </c>
      <c r="I93" s="3">
        <v>29316</v>
      </c>
      <c r="J93" s="3">
        <v>6039</v>
      </c>
      <c r="K93" s="3">
        <v>38810</v>
      </c>
      <c r="L93" s="3">
        <v>42196</v>
      </c>
      <c r="M93" s="3">
        <v>43352</v>
      </c>
      <c r="N93" s="3">
        <v>26650</v>
      </c>
      <c r="O93" s="3">
        <v>-26076</v>
      </c>
      <c r="Q93" s="2">
        <f>SUM(OSRRefD28_0x)+IFERROR(SUM(OSRRefE28_0x),0)</f>
        <v>288503.64</v>
      </c>
    </row>
    <row r="94" spans="1:17" x14ac:dyDescent="0.25">
      <c r="A94" s="5"/>
      <c r="B94" s="8"/>
      <c r="C94" s="8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4" customFormat="1" ht="15.75" thickBot="1" x14ac:dyDescent="0.3">
      <c r="A95" s="8"/>
      <c r="B95" s="17" t="s">
        <v>4</v>
      </c>
      <c r="C95" s="17"/>
      <c r="D95" s="7">
        <f t="shared" ref="D95:O95" si="8">IFERROR(+D90-D93, 0)</f>
        <v>-64552.84</v>
      </c>
      <c r="E95" s="7">
        <f t="shared" si="8"/>
        <v>-88746.49</v>
      </c>
      <c r="F95" s="7">
        <f t="shared" si="8"/>
        <v>-28213.339999999989</v>
      </c>
      <c r="G95" s="7">
        <f t="shared" si="8"/>
        <v>-96647.349999999991</v>
      </c>
      <c r="H95" s="7">
        <f t="shared" si="8"/>
        <v>-84076.930604769295</v>
      </c>
      <c r="I95" s="7">
        <f t="shared" si="8"/>
        <v>-7673.3549999999959</v>
      </c>
      <c r="J95" s="7">
        <f t="shared" si="8"/>
        <v>-88838.566380961507</v>
      </c>
      <c r="K95" s="7">
        <f t="shared" si="8"/>
        <v>-64173.823104769283</v>
      </c>
      <c r="L95" s="7">
        <f t="shared" si="8"/>
        <v>-75683.823104769283</v>
      </c>
      <c r="M95" s="7">
        <f t="shared" si="8"/>
        <v>-92051.243880961527</v>
      </c>
      <c r="N95" s="7">
        <f t="shared" si="8"/>
        <v>-82916.25310476929</v>
      </c>
      <c r="O95" s="7">
        <f t="shared" si="8"/>
        <v>-54097.683104769298</v>
      </c>
      <c r="Q95" s="7">
        <f>IFERROR(+Q90-Q93, 0)</f>
        <v>-827671.69828576955</v>
      </c>
    </row>
    <row r="96" spans="1:17" ht="15.75" thickTop="1" x14ac:dyDescent="0.25">
      <c r="A96" s="5"/>
      <c r="B96" s="5"/>
      <c r="C96" s="5"/>
      <c r="D96" s="4">
        <f t="shared" ref="D96:O96" si="9">IFERROR(D95/D10, 0)</f>
        <v>0</v>
      </c>
      <c r="E96" s="4">
        <f t="shared" si="9"/>
        <v>-1.9015306695281105</v>
      </c>
      <c r="F96" s="4">
        <f t="shared" si="9"/>
        <v>-0.15300109110865745</v>
      </c>
      <c r="G96" s="4">
        <f t="shared" si="9"/>
        <v>-0.51193316347880435</v>
      </c>
      <c r="H96" s="4">
        <f t="shared" si="9"/>
        <v>-0.64602505363071416</v>
      </c>
      <c r="I96" s="4">
        <f t="shared" si="9"/>
        <v>-7.0191042892033512E-2</v>
      </c>
      <c r="J96" s="4">
        <f t="shared" si="9"/>
        <v>-1.2491888912772122</v>
      </c>
      <c r="K96" s="4">
        <f t="shared" si="9"/>
        <v>-0.41749118880491098</v>
      </c>
      <c r="L96" s="4">
        <f t="shared" si="9"/>
        <v>-0.5106078213554528</v>
      </c>
      <c r="M96" s="4">
        <f t="shared" si="9"/>
        <v>-0.62103211971800276</v>
      </c>
      <c r="N96" s="4">
        <f t="shared" si="9"/>
        <v>-1.0069250856722767</v>
      </c>
      <c r="O96" s="4">
        <f t="shared" si="9"/>
        <v>0</v>
      </c>
      <c r="P96" s="18"/>
      <c r="Q96" s="4">
        <f>IFERROR(Q95/Q10, 0)</f>
        <v>-0.65534915768305579</v>
      </c>
    </row>
    <row r="97" spans="1:17" x14ac:dyDescent="0.2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25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4" customFormat="1" ht="15.75" thickBot="1" x14ac:dyDescent="0.3">
      <c r="A99" s="8"/>
      <c r="B99" s="17" t="s">
        <v>5</v>
      </c>
      <c r="C99" s="17"/>
      <c r="D99" s="7">
        <f t="shared" ref="D99:O99" si="10">IFERROR(SUM(D95:D98), 0)</f>
        <v>-64552.84</v>
      </c>
      <c r="E99" s="7">
        <f t="shared" si="10"/>
        <v>-88748.391530669527</v>
      </c>
      <c r="F99" s="7">
        <f t="shared" si="10"/>
        <v>-28213.493001091098</v>
      </c>
      <c r="G99" s="7">
        <f t="shared" si="10"/>
        <v>-96647.861933163469</v>
      </c>
      <c r="H99" s="7">
        <f t="shared" si="10"/>
        <v>-84077.576629822928</v>
      </c>
      <c r="I99" s="7">
        <f t="shared" si="10"/>
        <v>-7673.4251910428884</v>
      </c>
      <c r="J99" s="7">
        <f t="shared" si="10"/>
        <v>-88839.815569852784</v>
      </c>
      <c r="K99" s="7">
        <f t="shared" si="10"/>
        <v>-64174.240595958086</v>
      </c>
      <c r="L99" s="7">
        <f t="shared" si="10"/>
        <v>-75684.33371259064</v>
      </c>
      <c r="M99" s="7">
        <f t="shared" si="10"/>
        <v>-92051.864913081241</v>
      </c>
      <c r="N99" s="7">
        <f t="shared" si="10"/>
        <v>-82917.260029854966</v>
      </c>
      <c r="O99" s="7">
        <f t="shared" si="10"/>
        <v>-54097.683104769298</v>
      </c>
      <c r="Q99" s="7">
        <f>IFERROR(SUM(Q95:Q98), 0)</f>
        <v>-827672.35363492719</v>
      </c>
    </row>
    <row r="100" spans="1:17" ht="15.75" thickTop="1" x14ac:dyDescent="0.25">
      <c r="A100" s="5"/>
      <c r="C100" s="5"/>
      <c r="D100" s="4">
        <f t="shared" ref="D100:O100" si="11">IFERROR(D99/D10, 0)</f>
        <v>0</v>
      </c>
      <c r="E100" s="4">
        <f t="shared" si="11"/>
        <v>-1.9015714127607402</v>
      </c>
      <c r="F100" s="4">
        <f t="shared" si="11"/>
        <v>-0.15300192083437869</v>
      </c>
      <c r="G100" s="4">
        <f t="shared" si="11"/>
        <v>-0.5119358751471933</v>
      </c>
      <c r="H100" s="4">
        <f t="shared" si="11"/>
        <v>-0.64603001751756062</v>
      </c>
      <c r="I100" s="4">
        <f t="shared" si="11"/>
        <v>-7.0191684955707392E-2</v>
      </c>
      <c r="J100" s="4">
        <f t="shared" si="11"/>
        <v>-1.2492064565413725</v>
      </c>
      <c r="K100" s="4">
        <f t="shared" si="11"/>
        <v>-0.41749390484837384</v>
      </c>
      <c r="L100" s="4">
        <f t="shared" si="11"/>
        <v>-0.51061126621773034</v>
      </c>
      <c r="M100" s="4">
        <f t="shared" si="11"/>
        <v>-0.62103630956788924</v>
      </c>
      <c r="N100" s="4">
        <f t="shared" si="11"/>
        <v>-1.0069373136503894</v>
      </c>
      <c r="O100" s="4">
        <f t="shared" si="11"/>
        <v>0</v>
      </c>
      <c r="P100" s="18"/>
      <c r="Q100" s="4">
        <f>IFERROR(Q99/Q10, 0)</f>
        <v>-0.65534967658749499</v>
      </c>
    </row>
    <row r="101" spans="1:17" x14ac:dyDescent="0.25">
      <c r="A101" s="5"/>
      <c r="B101" s="26">
        <v>44151.565093287034</v>
      </c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Q101" s="12"/>
    </row>
    <row r="102" spans="1:17" x14ac:dyDescent="0.25">
      <c r="A102" s="5"/>
      <c r="B102" s="30" t="s">
        <v>311</v>
      </c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Q102" s="12"/>
    </row>
    <row r="103" spans="1:17" x14ac:dyDescent="0.25">
      <c r="A103" s="5"/>
      <c r="B103" s="31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Q103" s="12"/>
    </row>
    <row r="104" spans="1:17" x14ac:dyDescent="0.25"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Q104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","450", " - ", "Beachside Dining Hall")</f>
        <v>Department 450 - Beachside Dining Hall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12545.13</v>
      </c>
      <c r="G10" s="3">
        <f>SUM(OSRRefD11x_3)</f>
        <v>-12545.13</v>
      </c>
      <c r="H10" s="3">
        <f>SUM(OSRRefE11x_0)</f>
        <v>0</v>
      </c>
      <c r="I10" s="3">
        <f>SUM(OSRRefE11x_1)</f>
        <v>0</v>
      </c>
      <c r="J10" s="3">
        <f>SUM(OSRRefE11x_2)</f>
        <v>0</v>
      </c>
      <c r="K10" s="3">
        <f>SUM(OSRRefE11x_3)</f>
        <v>0</v>
      </c>
      <c r="L10" s="3">
        <f>SUM(OSRRefE11x_4)</f>
        <v>0</v>
      </c>
      <c r="M10" s="3">
        <f>SUM(OSRRefE11x_5)</f>
        <v>0</v>
      </c>
      <c r="N10" s="3">
        <f>SUM(OSRRefE11x_6)</f>
        <v>0</v>
      </c>
      <c r="O10" s="3">
        <f>SUM(OSRRefE11x_7)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2"/>
      <c r="B11" s="13" t="str">
        <f>CONCATENATE("          ","4100", " - ","NON-TAXABLE SALES")</f>
        <v xml:space="preserve">          4100 - NON-TAXABLE SALES</v>
      </c>
      <c r="C11" s="23"/>
      <c r="D11" s="2">
        <f t="shared" ref="D11:E12" si="0">0</f>
        <v>0</v>
      </c>
      <c r="E11" s="2">
        <f t="shared" si="0"/>
        <v>0</v>
      </c>
      <c r="F11" s="2">
        <f t="shared" ref="F11:G11" si="1">0</f>
        <v>0</v>
      </c>
      <c r="G11" s="2">
        <f t="shared" si="1"/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/>
      <c r="Q11" s="2">
        <f>SUM(OSRRefD11_0x)+IFERROR(SUM(OSRRefE11_0x),0)</f>
        <v>0</v>
      </c>
    </row>
    <row r="12" spans="1:18" s="9" customFormat="1" hidden="1" outlineLevel="1" x14ac:dyDescent="0.25">
      <c r="A12" s="22"/>
      <c r="B12" s="13" t="str">
        <f>CONCATENATE("          ","4151", " - ","NON-TAXABLE SALES-FOOD")</f>
        <v xml:space="preserve">          4151 - NON-TAXABLE SALES-FOOD</v>
      </c>
      <c r="C12" s="23"/>
      <c r="D12" s="2">
        <f t="shared" si="0"/>
        <v>0</v>
      </c>
      <c r="E12" s="2">
        <f t="shared" si="0"/>
        <v>0</v>
      </c>
      <c r="F12" s="2">
        <f>--12545.13</f>
        <v>12545.13</v>
      </c>
      <c r="G12" s="2">
        <f>-12545.13</f>
        <v>-12545.13</v>
      </c>
      <c r="H12" s="2"/>
      <c r="I12" s="2"/>
      <c r="J12" s="2"/>
      <c r="K12" s="2"/>
      <c r="L12" s="2"/>
      <c r="M12" s="2"/>
      <c r="N12" s="2"/>
      <c r="O12" s="2"/>
      <c r="Q12" s="2">
        <f>SUM(OSRRefD11_1x)+IFERROR(SUM(OSRRefE11_1x),0)</f>
        <v>0</v>
      </c>
    </row>
    <row r="13" spans="1:18" x14ac:dyDescent="0.2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290</v>
      </c>
      <c r="C14" s="23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SUM(OSRRefE14x_0)</f>
        <v>0</v>
      </c>
      <c r="I14" s="3">
        <f>SUM(OSRRefE14x_1)</f>
        <v>0</v>
      </c>
      <c r="J14" s="3">
        <f>SUM(OSRRefE14x_2)</f>
        <v>0</v>
      </c>
      <c r="K14" s="3">
        <f>SUM(OSRRefE14x_3)</f>
        <v>0</v>
      </c>
      <c r="L14" s="3">
        <f>SUM(OSRRefE14x_4)</f>
        <v>0</v>
      </c>
      <c r="M14" s="3">
        <f>SUM(OSRRefE14x_5)</f>
        <v>0</v>
      </c>
      <c r="N14" s="3">
        <f>SUM(OSRRefE14x_6)</f>
        <v>0</v>
      </c>
      <c r="O14" s="3">
        <f>SUM(OSRRefE14x_7)</f>
        <v>0</v>
      </c>
      <c r="Q14" s="3">
        <f>SUM(OSRRefG14x)</f>
        <v>0</v>
      </c>
    </row>
    <row r="15" spans="1:18" s="9" customFormat="1" hidden="1" outlineLevel="1" x14ac:dyDescent="0.25">
      <c r="A15" s="22"/>
      <c r="B15" s="13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Q15" s="2">
        <f>SUM(OSRRefD14_0x)+IFERROR(SUM(OSRRefE14_0x),0)</f>
        <v>0</v>
      </c>
    </row>
    <row r="16" spans="1:18" x14ac:dyDescent="0.25">
      <c r="A16" s="5"/>
      <c r="B16" s="8"/>
      <c r="C16" s="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4" customFormat="1" x14ac:dyDescent="0.25">
      <c r="A17" s="8"/>
      <c r="B17" s="17" t="s">
        <v>6</v>
      </c>
      <c r="C17" s="17"/>
      <c r="D17" s="6">
        <f t="shared" ref="D17:O17" si="2">IFERROR(+D10-D14, 0)</f>
        <v>0</v>
      </c>
      <c r="E17" s="6">
        <f t="shared" si="2"/>
        <v>0</v>
      </c>
      <c r="F17" s="6">
        <f t="shared" si="2"/>
        <v>12545.13</v>
      </c>
      <c r="G17" s="6">
        <f t="shared" si="2"/>
        <v>-12545.13</v>
      </c>
      <c r="H17" s="6">
        <f t="shared" si="2"/>
        <v>0</v>
      </c>
      <c r="I17" s="6">
        <f t="shared" si="2"/>
        <v>0</v>
      </c>
      <c r="J17" s="6">
        <f t="shared" si="2"/>
        <v>0</v>
      </c>
      <c r="K17" s="6">
        <f t="shared" si="2"/>
        <v>0</v>
      </c>
      <c r="L17" s="6">
        <f t="shared" si="2"/>
        <v>0</v>
      </c>
      <c r="M17" s="6">
        <f t="shared" si="2"/>
        <v>0</v>
      </c>
      <c r="N17" s="6">
        <f t="shared" si="2"/>
        <v>0</v>
      </c>
      <c r="O17" s="6">
        <f t="shared" si="2"/>
        <v>0</v>
      </c>
      <c r="Q17" s="6">
        <f>IFERROR(+Q10-Q14, 0)</f>
        <v>0</v>
      </c>
    </row>
    <row r="18" spans="1:17" s="8" customFormat="1" x14ac:dyDescent="0.25">
      <c r="B18" s="16"/>
      <c r="C18" s="16"/>
      <c r="D18" s="4">
        <f t="shared" ref="D18:O18" si="3">IFERROR(D17/D10, 0)</f>
        <v>0</v>
      </c>
      <c r="E18" s="4">
        <f t="shared" si="3"/>
        <v>0</v>
      </c>
      <c r="F18" s="4">
        <f t="shared" si="3"/>
        <v>1</v>
      </c>
      <c r="G18" s="4">
        <f t="shared" si="3"/>
        <v>1</v>
      </c>
      <c r="H18" s="4">
        <f t="shared" si="3"/>
        <v>0</v>
      </c>
      <c r="I18" s="4">
        <f t="shared" si="3"/>
        <v>0</v>
      </c>
      <c r="J18" s="4">
        <f t="shared" si="3"/>
        <v>0</v>
      </c>
      <c r="K18" s="4">
        <f t="shared" si="3"/>
        <v>0</v>
      </c>
      <c r="L18" s="4">
        <f t="shared" si="3"/>
        <v>0</v>
      </c>
      <c r="M18" s="4">
        <f t="shared" si="3"/>
        <v>0</v>
      </c>
      <c r="N18" s="4">
        <f t="shared" si="3"/>
        <v>0</v>
      </c>
      <c r="O18" s="4">
        <f t="shared" si="3"/>
        <v>0</v>
      </c>
      <c r="P18" s="18"/>
      <c r="Q18" s="4">
        <f>IFERROR(Q17/Q10, 0)</f>
        <v>0</v>
      </c>
    </row>
    <row r="19" spans="1:17" x14ac:dyDescent="0.25">
      <c r="A19" s="5"/>
      <c r="B19" s="8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4" customFormat="1" x14ac:dyDescent="0.25">
      <c r="A20" s="8"/>
      <c r="B20" s="16" t="s">
        <v>291</v>
      </c>
      <c r="C20" s="8"/>
      <c r="D20" s="10">
        <f>SUM(OSRRefD20x_0)</f>
        <v>40360.14</v>
      </c>
      <c r="E20" s="10">
        <f>SUM(OSRRefD20x_1)</f>
        <v>38261.779999999992</v>
      </c>
      <c r="F20" s="10">
        <f>SUM(OSRRefD20x_2)</f>
        <v>41024.689999999995</v>
      </c>
      <c r="G20" s="10">
        <f>SUM(OSRRefD20x_3)</f>
        <v>49851.29</v>
      </c>
      <c r="H20" s="10">
        <f>SUM(OSRRefE20x_0)</f>
        <v>61772.252045587666</v>
      </c>
      <c r="I20" s="10">
        <f>SUM(OSRRefE20x_1)</f>
        <v>1228</v>
      </c>
      <c r="J20" s="10">
        <f>SUM(OSRRefE20x_2)</f>
        <v>64197.300994484569</v>
      </c>
      <c r="K20" s="10">
        <f>SUM(OSRRefE20x_3)</f>
        <v>51999.44079558766</v>
      </c>
      <c r="L20" s="10">
        <f>SUM(OSRRefE20x_4)</f>
        <v>51999.44079558766</v>
      </c>
      <c r="M20" s="10">
        <f>SUM(OSRRefE20x_5)</f>
        <v>64197.300994484569</v>
      </c>
      <c r="N20" s="10">
        <f>SUM(OSRRefE20x_6)</f>
        <v>51990.44079558766</v>
      </c>
      <c r="O20" s="10">
        <f>SUM(OSRRefE20x_7)</f>
        <v>51981.44079558766</v>
      </c>
      <c r="Q20" s="10">
        <f>SUM(OSRRefG20x)</f>
        <v>568863.51721690735</v>
      </c>
    </row>
    <row r="21" spans="1:17" s="34" customFormat="1" collapsed="1" x14ac:dyDescent="0.25">
      <c r="A21" s="35"/>
      <c r="B21" s="15" t="str">
        <f>CONCATENATE("     ","*Benefits                                         ")</f>
        <v xml:space="preserve">     *Benefits                                         </v>
      </c>
      <c r="C21" s="15"/>
      <c r="D21" s="1">
        <f>SUM(OSRRefD21_0x_0)</f>
        <v>19179.73</v>
      </c>
      <c r="E21" s="1">
        <f>SUM(OSRRefD21_0x_1)</f>
        <v>18954.719999999998</v>
      </c>
      <c r="F21" s="1">
        <f>SUM(OSRRefD21_0x_2)</f>
        <v>19309.27</v>
      </c>
      <c r="G21" s="1">
        <f>SUM(OSRRefD21_0x_3)</f>
        <v>21530.590000000004</v>
      </c>
      <c r="H21" s="1">
        <f>SUM(OSRRefE21_0x_0)</f>
        <v>24675.639587126123</v>
      </c>
      <c r="I21" s="1">
        <f>SUM(OSRRefE21_0x_1)</f>
        <v>0</v>
      </c>
      <c r="J21" s="1">
        <f>SUM(OSRRefE21_0x_2)</f>
        <v>29467.379171407647</v>
      </c>
      <c r="K21" s="1">
        <f>SUM(OSRRefE21_0x_3)</f>
        <v>23969.903337126121</v>
      </c>
      <c r="L21" s="1">
        <f>SUM(OSRRefE21_0x_4)</f>
        <v>23969.903337126121</v>
      </c>
      <c r="M21" s="1">
        <f>SUM(OSRRefE21_0x_5)</f>
        <v>29467.379171407647</v>
      </c>
      <c r="N21" s="1">
        <f>SUM(OSRRefE21_0x_6)</f>
        <v>23969.903337126121</v>
      </c>
      <c r="O21" s="1">
        <f>SUM(OSRRefE21_0x_7)</f>
        <v>23969.903337126121</v>
      </c>
      <c r="Q21" s="2">
        <f>SUM(OSRRefD20_0x)+IFERROR(SUM(OSRRefE20_0x),0)</f>
        <v>258464.32127844592</v>
      </c>
    </row>
    <row r="22" spans="1:17" s="34" customFormat="1" hidden="1" outlineLevel="1" x14ac:dyDescent="0.25">
      <c r="A22" s="35"/>
      <c r="B22" s="13" t="str">
        <f>CONCATENATE("          ","6111", " - ","F.I.C.A.")</f>
        <v xml:space="preserve">          6111 - F.I.C.A.</v>
      </c>
      <c r="C22" s="15"/>
      <c r="D22" s="2">
        <v>1327.41</v>
      </c>
      <c r="E22" s="2">
        <v>1597.77</v>
      </c>
      <c r="F22" s="2">
        <v>1667.58</v>
      </c>
      <c r="G22" s="2">
        <v>2520.7600000000002</v>
      </c>
      <c r="H22" s="2">
        <v>2255.0853029723098</v>
      </c>
      <c r="I22" s="2">
        <v>0</v>
      </c>
      <c r="J22" s="2">
        <v>2818.8566287153799</v>
      </c>
      <c r="K22" s="2">
        <v>2255.0853029723098</v>
      </c>
      <c r="L22" s="2">
        <v>2255.0853029723098</v>
      </c>
      <c r="M22" s="2">
        <v>2818.8566287153799</v>
      </c>
      <c r="N22" s="2">
        <v>2255.0853029723098</v>
      </c>
      <c r="O22" s="2">
        <v>2255.0853029723098</v>
      </c>
      <c r="P22" s="9"/>
      <c r="Q22" s="2">
        <f>SUM(OSRRefD21_0_0x)+IFERROR(SUM(OSRRefE21_0_0x),0)</f>
        <v>24026.659772292307</v>
      </c>
    </row>
    <row r="23" spans="1:17" s="34" customFormat="1" hidden="1" outlineLevel="1" x14ac:dyDescent="0.25">
      <c r="A23" s="35"/>
      <c r="B23" s="13" t="str">
        <f>CONCATENATE("          ","6112", " - ","COMPENSATION INSURANCE")</f>
        <v xml:space="preserve">          6112 - COMPENSATION INSURANCE</v>
      </c>
      <c r="C23" s="15"/>
      <c r="D23" s="2">
        <v>727.63</v>
      </c>
      <c r="E23" s="2">
        <v>805.48</v>
      </c>
      <c r="F23" s="2">
        <v>913.35</v>
      </c>
      <c r="G23" s="2">
        <v>889.03</v>
      </c>
      <c r="H23" s="2">
        <v>1665.1284803999999</v>
      </c>
      <c r="I23" s="2">
        <v>0</v>
      </c>
      <c r="J23" s="2">
        <v>1580.1509129999999</v>
      </c>
      <c r="K23" s="2">
        <v>1264.1207304</v>
      </c>
      <c r="L23" s="2">
        <v>1264.1207304</v>
      </c>
      <c r="M23" s="2">
        <v>1580.1509129999999</v>
      </c>
      <c r="N23" s="2">
        <v>1264.1207304</v>
      </c>
      <c r="O23" s="2">
        <v>1264.1207304</v>
      </c>
      <c r="P23" s="9"/>
      <c r="Q23" s="2">
        <f>SUM(OSRRefD21_0_1x)+IFERROR(SUM(OSRRefE21_0_1x),0)</f>
        <v>13217.403227999999</v>
      </c>
    </row>
    <row r="24" spans="1:17" s="34" customFormat="1" hidden="1" outlineLevel="1" x14ac:dyDescent="0.25">
      <c r="A24" s="35"/>
      <c r="B24" s="13" t="str">
        <f>CONCATENATE("          ","6113", " - ","GROUP INSURANCE")</f>
        <v xml:space="preserve">          6113 - GROUP INSURANCE</v>
      </c>
      <c r="C24" s="15"/>
      <c r="D24" s="2">
        <v>12616.96</v>
      </c>
      <c r="E24" s="2">
        <v>12616.93</v>
      </c>
      <c r="F24" s="2">
        <v>12616.93</v>
      </c>
      <c r="G24" s="2">
        <v>12616.92</v>
      </c>
      <c r="H24" s="2">
        <v>17330.769230769198</v>
      </c>
      <c r="I24" s="2">
        <v>0</v>
      </c>
      <c r="J24" s="2">
        <v>21168.461538461499</v>
      </c>
      <c r="K24" s="2">
        <v>17330.769230769198</v>
      </c>
      <c r="L24" s="2">
        <v>17330.769230769198</v>
      </c>
      <c r="M24" s="2">
        <v>21168.461538461499</v>
      </c>
      <c r="N24" s="2">
        <v>17330.769230769198</v>
      </c>
      <c r="O24" s="2">
        <v>17330.769230769198</v>
      </c>
      <c r="P24" s="9"/>
      <c r="Q24" s="2">
        <f>SUM(OSRRefD21_0_2x)+IFERROR(SUM(OSRRefE21_0_2x),0)</f>
        <v>179458.50923076898</v>
      </c>
    </row>
    <row r="25" spans="1:17" s="34" customFormat="1" hidden="1" outlineLevel="1" x14ac:dyDescent="0.25">
      <c r="A25" s="35"/>
      <c r="B25" s="13" t="str">
        <f>CONCATENATE("          ","6114", " - ","STATE UNEMPLOYMENT INSURANCE")</f>
        <v xml:space="preserve">          6114 - STATE UNEMPLOYMENT INSURANCE</v>
      </c>
      <c r="C25" s="15"/>
      <c r="D25" s="2">
        <v>48.13</v>
      </c>
      <c r="E25" s="2">
        <v>53.46</v>
      </c>
      <c r="F25" s="2">
        <v>55.36</v>
      </c>
      <c r="G25" s="2">
        <v>53.87</v>
      </c>
      <c r="H25" s="2">
        <v>100.91687760000001</v>
      </c>
      <c r="I25" s="2">
        <v>0</v>
      </c>
      <c r="J25" s="2">
        <v>95.766722000000001</v>
      </c>
      <c r="K25" s="2">
        <v>76.613377600000007</v>
      </c>
      <c r="L25" s="2">
        <v>76.613377600000007</v>
      </c>
      <c r="M25" s="2">
        <v>95.766722000000001</v>
      </c>
      <c r="N25" s="2">
        <v>76.613377600000007</v>
      </c>
      <c r="O25" s="2">
        <v>76.613377600000007</v>
      </c>
      <c r="P25" s="9"/>
      <c r="Q25" s="2">
        <f>SUM(OSRRefD21_0_3x)+IFERROR(SUM(OSRRefE21_0_3x),0)</f>
        <v>809.72383200000013</v>
      </c>
    </row>
    <row r="26" spans="1:17" s="34" customFormat="1" hidden="1" outlineLevel="1" x14ac:dyDescent="0.25">
      <c r="A26" s="35"/>
      <c r="B26" s="13" t="str">
        <f>CONCATENATE("          ","6115", " - ","P.E.R.S.")</f>
        <v xml:space="preserve">          6115 - P.E.R.S.</v>
      </c>
      <c r="C26" s="15"/>
      <c r="D26" s="2">
        <v>727.6</v>
      </c>
      <c r="E26" s="2">
        <v>485.07</v>
      </c>
      <c r="F26" s="2">
        <v>485.07</v>
      </c>
      <c r="G26" s="2">
        <v>485.07</v>
      </c>
      <c r="H26" s="2">
        <v>378.168461538462</v>
      </c>
      <c r="I26" s="2">
        <v>0</v>
      </c>
      <c r="J26" s="2">
        <v>472.71057692307704</v>
      </c>
      <c r="K26" s="2">
        <v>378.168461538462</v>
      </c>
      <c r="L26" s="2">
        <v>378.168461538462</v>
      </c>
      <c r="M26" s="2">
        <v>472.71057692307704</v>
      </c>
      <c r="N26" s="2">
        <v>378.168461538462</v>
      </c>
      <c r="O26" s="2">
        <v>378.168461538462</v>
      </c>
      <c r="P26" s="9"/>
      <c r="Q26" s="2">
        <f>SUM(OSRRefD21_0_4x)+IFERROR(SUM(OSRRefE21_0_4x),0)</f>
        <v>5019.0734615384645</v>
      </c>
    </row>
    <row r="27" spans="1:17" s="34" customFormat="1" hidden="1" outlineLevel="1" x14ac:dyDescent="0.25">
      <c r="A27" s="35"/>
      <c r="B27" s="13" t="str">
        <f>CONCATENATE("          ","6116", " - ","EDUCATIONAL BENEFITS")</f>
        <v xml:space="preserve">          6116 - EDUCATIONAL BENEFITS</v>
      </c>
      <c r="C27" s="15"/>
      <c r="D27" s="2"/>
      <c r="E27" s="2"/>
      <c r="F27" s="2"/>
      <c r="G27" s="2"/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4" customFormat="1" hidden="1" outlineLevel="1" x14ac:dyDescent="0.25">
      <c r="A28" s="35"/>
      <c r="B28" s="13" t="str">
        <f>CONCATENATE("          ","6117", " - ","RETIREMENT STAFF HOURLY")</f>
        <v xml:space="preserve">          6117 - RETIREMENT STAFF HOURLY</v>
      </c>
      <c r="C28" s="15"/>
      <c r="D28" s="2">
        <v>691.86</v>
      </c>
      <c r="E28" s="2">
        <v>533.82000000000005</v>
      </c>
      <c r="F28" s="2">
        <v>558.34</v>
      </c>
      <c r="G28" s="2">
        <v>546.80999999999995</v>
      </c>
      <c r="H28" s="2"/>
      <c r="I28" s="2"/>
      <c r="J28" s="2"/>
      <c r="K28" s="2"/>
      <c r="L28" s="2"/>
      <c r="M28" s="2"/>
      <c r="N28" s="2"/>
      <c r="O28" s="2"/>
      <c r="P28" s="9"/>
      <c r="Q28" s="2">
        <f>SUM(OSRRefD21_0_6x)+IFERROR(SUM(OSRRefE21_0_6x),0)</f>
        <v>2330.83</v>
      </c>
    </row>
    <row r="29" spans="1:17" s="34" customFormat="1" hidden="1" outlineLevel="1" x14ac:dyDescent="0.25">
      <c r="A29" s="35"/>
      <c r="B29" s="13" t="str">
        <f>CONCATENATE("          ","6118", " - ","VACATION")</f>
        <v xml:space="preserve">          6118 - VACATION</v>
      </c>
      <c r="C29" s="15"/>
      <c r="D29" s="2">
        <v>1199.6199999999999</v>
      </c>
      <c r="E29" s="2">
        <v>1220.8699999999999</v>
      </c>
      <c r="F29" s="2">
        <v>1242.1199999999999</v>
      </c>
      <c r="G29" s="2">
        <v>1863.18</v>
      </c>
      <c r="H29" s="2">
        <v>1693.1995692307701</v>
      </c>
      <c r="I29" s="2">
        <v>0</v>
      </c>
      <c r="J29" s="2">
        <v>2116.4994615384599</v>
      </c>
      <c r="K29" s="2">
        <v>1693.1995692307701</v>
      </c>
      <c r="L29" s="2">
        <v>1693.1995692307701</v>
      </c>
      <c r="M29" s="2">
        <v>2116.4994615384599</v>
      </c>
      <c r="N29" s="2">
        <v>1693.1995692307701</v>
      </c>
      <c r="O29" s="2">
        <v>1693.1995692307701</v>
      </c>
      <c r="P29" s="9"/>
      <c r="Q29" s="2">
        <f>SUM(OSRRefD21_0_7x)+IFERROR(SUM(OSRRefE21_0_7x),0)</f>
        <v>18224.78676923077</v>
      </c>
    </row>
    <row r="30" spans="1:17" s="34" customFormat="1" hidden="1" outlineLevel="1" x14ac:dyDescent="0.25">
      <c r="A30" s="35"/>
      <c r="B30" s="13" t="str">
        <f>CONCATENATE("          ","6119", " - ","SICK LEAVE")</f>
        <v xml:space="preserve">          6119 - SICK LEAVE</v>
      </c>
      <c r="C30" s="15"/>
      <c r="D30" s="2">
        <v>946.52</v>
      </c>
      <c r="E30" s="2">
        <v>946.52</v>
      </c>
      <c r="F30" s="2">
        <v>946.52</v>
      </c>
      <c r="G30" s="2">
        <v>1419.77</v>
      </c>
      <c r="H30" s="2">
        <v>1252.37166461538</v>
      </c>
      <c r="I30" s="2">
        <v>0</v>
      </c>
      <c r="J30" s="2">
        <v>1214.93333076923</v>
      </c>
      <c r="K30" s="2">
        <v>971.94666461538509</v>
      </c>
      <c r="L30" s="2">
        <v>971.94666461538509</v>
      </c>
      <c r="M30" s="2">
        <v>1214.93333076923</v>
      </c>
      <c r="N30" s="2">
        <v>971.94666461538509</v>
      </c>
      <c r="O30" s="2">
        <v>971.94666461538509</v>
      </c>
      <c r="P30" s="9"/>
      <c r="Q30" s="2">
        <f>SUM(OSRRefD21_0_8x)+IFERROR(SUM(OSRRefE21_0_8x),0)</f>
        <v>11829.35498461538</v>
      </c>
    </row>
    <row r="31" spans="1:17" s="34" customFormat="1" hidden="1" outlineLevel="1" x14ac:dyDescent="0.25">
      <c r="A31" s="35"/>
      <c r="B31" s="13" t="str">
        <f>CONCATENATE("          ","6156", " - ","EMPLOYEE MEALS")</f>
        <v xml:space="preserve">          6156 - EMPLOYEE MEALS</v>
      </c>
      <c r="C31" s="15"/>
      <c r="D31" s="2">
        <v>894</v>
      </c>
      <c r="E31" s="2">
        <v>694.8</v>
      </c>
      <c r="F31" s="2">
        <v>824</v>
      </c>
      <c r="G31" s="2">
        <v>1135.18</v>
      </c>
      <c r="H31" s="2"/>
      <c r="I31" s="2"/>
      <c r="J31" s="2"/>
      <c r="K31" s="2"/>
      <c r="L31" s="2"/>
      <c r="M31" s="2"/>
      <c r="N31" s="2"/>
      <c r="O31" s="2"/>
      <c r="P31" s="9"/>
      <c r="Q31" s="2">
        <f>SUM(OSRRefD21_0_9x)+IFERROR(SUM(OSRRefE21_0_9x),0)</f>
        <v>3547.9800000000005</v>
      </c>
    </row>
    <row r="32" spans="1:17" s="34" customFormat="1" collapsed="1" x14ac:dyDescent="0.25">
      <c r="A32" s="35"/>
      <c r="B32" s="15" t="str">
        <f>CONCATENATE("     ","*Payroll                                          ")</f>
        <v xml:space="preserve">     *Payroll                                          </v>
      </c>
      <c r="C32" s="15"/>
      <c r="D32" s="1">
        <f>SUM(OSRRefD21_1x_0)</f>
        <v>18743.3</v>
      </c>
      <c r="E32" s="1">
        <f>SUM(OSRRefD21_1x_1)</f>
        <v>18830.21</v>
      </c>
      <c r="F32" s="1">
        <f>SUM(OSRRefD21_1x_2)</f>
        <v>21204.41</v>
      </c>
      <c r="G32" s="1">
        <f>SUM(OSRRefD21_1x_3)</f>
        <v>26690.87</v>
      </c>
      <c r="H32" s="1">
        <f>SUM(OSRRefE21_1x_0)</f>
        <v>35868.612458461539</v>
      </c>
      <c r="I32" s="1">
        <f>SUM(OSRRefE21_1x_1)</f>
        <v>0</v>
      </c>
      <c r="J32" s="1">
        <f>SUM(OSRRefE21_1x_2)</f>
        <v>33501.921823076918</v>
      </c>
      <c r="K32" s="1">
        <f>SUM(OSRRefE21_1x_3)</f>
        <v>26801.537458461538</v>
      </c>
      <c r="L32" s="1">
        <f>SUM(OSRRefE21_1x_4)</f>
        <v>26801.537458461538</v>
      </c>
      <c r="M32" s="1">
        <f>SUM(OSRRefE21_1x_5)</f>
        <v>33501.921823076918</v>
      </c>
      <c r="N32" s="1">
        <f>SUM(OSRRefE21_1x_6)</f>
        <v>26801.537458461538</v>
      </c>
      <c r="O32" s="1">
        <f>SUM(OSRRefE21_1x_7)</f>
        <v>26801.537458461538</v>
      </c>
      <c r="Q32" s="2">
        <f>SUM(OSRRefD20_1x)+IFERROR(SUM(OSRRefE20_1x),0)</f>
        <v>295547.39593846147</v>
      </c>
    </row>
    <row r="33" spans="1:17" s="34" customFormat="1" hidden="1" outlineLevel="1" x14ac:dyDescent="0.25">
      <c r="A33" s="35"/>
      <c r="B33" s="13" t="str">
        <f>CONCATENATE("          ","6001", " - ","ADMINISTRATIVE SALARIES")</f>
        <v xml:space="preserve">          6001 - ADMINISTRATIVE SALARIES</v>
      </c>
      <c r="C33" s="15"/>
      <c r="D33" s="2"/>
      <c r="E33" s="2"/>
      <c r="F33" s="2"/>
      <c r="G33" s="2"/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SUM(OSRRefD21_1_0x)+IFERROR(SUM(OSRRefE21_1_0x),0)</f>
        <v>0</v>
      </c>
    </row>
    <row r="34" spans="1:17" s="34" customFormat="1" hidden="1" outlineLevel="1" x14ac:dyDescent="0.25">
      <c r="A34" s="35"/>
      <c r="B34" s="13" t="str">
        <f>CONCATENATE("          ","6002", " - ","STAFF SALARIES")</f>
        <v xml:space="preserve">          6002 - STAFF SALARIES</v>
      </c>
      <c r="C34" s="15"/>
      <c r="D34" s="2">
        <v>4836.72</v>
      </c>
      <c r="E34" s="2">
        <v>4397.32</v>
      </c>
      <c r="F34" s="2">
        <v>4177.45</v>
      </c>
      <c r="G34" s="2">
        <v>5277.11</v>
      </c>
      <c r="H34" s="2">
        <v>3737.7115384615404</v>
      </c>
      <c r="I34" s="2">
        <v>0</v>
      </c>
      <c r="J34" s="2">
        <v>4672.1394230769201</v>
      </c>
      <c r="K34" s="2">
        <v>3737.7115384615404</v>
      </c>
      <c r="L34" s="2">
        <v>3737.7115384615404</v>
      </c>
      <c r="M34" s="2">
        <v>4672.1394230769201</v>
      </c>
      <c r="N34" s="2">
        <v>3737.7115384615404</v>
      </c>
      <c r="O34" s="2">
        <v>3737.7115384615404</v>
      </c>
      <c r="P34" s="9"/>
      <c r="Q34" s="2">
        <f>SUM(OSRRefD21_1_1x)+IFERROR(SUM(OSRRefE21_1_1x),0)</f>
        <v>46721.436538461538</v>
      </c>
    </row>
    <row r="35" spans="1:17" s="34" customFormat="1" hidden="1" outlineLevel="1" x14ac:dyDescent="0.25">
      <c r="A35" s="35"/>
      <c r="B35" s="13" t="str">
        <f>CONCATENATE("          ","6003", " - ","STAFF HOURLY-9 MONTH")</f>
        <v xml:space="preserve">          6003 - STAFF HOURLY-9 MONTH</v>
      </c>
      <c r="C35" s="15"/>
      <c r="D35" s="2"/>
      <c r="E35" s="2"/>
      <c r="F35" s="2"/>
      <c r="G35" s="2"/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SUM(OSRRefD21_1_2x)+IFERROR(SUM(OSRRefE21_1_2x),0)</f>
        <v>0</v>
      </c>
    </row>
    <row r="36" spans="1:17" s="34" customFormat="1" hidden="1" outlineLevel="1" x14ac:dyDescent="0.25">
      <c r="A36" s="35"/>
      <c r="B36" s="13" t="str">
        <f>CONCATENATE("          ","6004", " - ","STAFF HOURLY")</f>
        <v xml:space="preserve">          6004 - STAFF HOURLY</v>
      </c>
      <c r="C36" s="15"/>
      <c r="D36" s="2">
        <v>10493.58</v>
      </c>
      <c r="E36" s="2">
        <v>15222.889999999998</v>
      </c>
      <c r="F36" s="2">
        <v>16376.96</v>
      </c>
      <c r="G36" s="2">
        <v>24686.76</v>
      </c>
      <c r="H36" s="2">
        <v>23063.825919999999</v>
      </c>
      <c r="I36" s="2">
        <v>0</v>
      </c>
      <c r="J36" s="2">
        <v>28829.7824</v>
      </c>
      <c r="K36" s="2">
        <v>23063.825919999999</v>
      </c>
      <c r="L36" s="2">
        <v>23063.825919999999</v>
      </c>
      <c r="M36" s="2">
        <v>28829.7824</v>
      </c>
      <c r="N36" s="2">
        <v>23063.825919999999</v>
      </c>
      <c r="O36" s="2">
        <v>23063.825919999999</v>
      </c>
      <c r="P36" s="9"/>
      <c r="Q36" s="2">
        <f>SUM(OSRRefD21_1_3x)+IFERROR(SUM(OSRRefE21_1_3x),0)</f>
        <v>239758.88439999998</v>
      </c>
    </row>
    <row r="37" spans="1:17" s="34" customFormat="1" hidden="1" outlineLevel="1" x14ac:dyDescent="0.25">
      <c r="A37" s="35"/>
      <c r="B37" s="13" t="str">
        <f>CONCATENATE("          ","6005", " - ","TEMPORARY WAGES-HOURLY")</f>
        <v xml:space="preserve">          6005 - TEMPORARY WAGES-HOURLY</v>
      </c>
      <c r="C37" s="15"/>
      <c r="D37" s="2"/>
      <c r="E37" s="2"/>
      <c r="F37" s="2"/>
      <c r="G37" s="2"/>
      <c r="H37" s="2">
        <v>2703.875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SUM(OSRRefD21_1_4x)+IFERROR(SUM(OSRRefE21_1_4x),0)</f>
        <v>2703.875</v>
      </c>
    </row>
    <row r="38" spans="1:17" s="34" customFormat="1" hidden="1" outlineLevel="1" x14ac:dyDescent="0.25">
      <c r="A38" s="35"/>
      <c r="B38" s="13" t="str">
        <f>CONCATENATE("          ","6006", " - ","TEMPORARY PART TIME")</f>
        <v xml:space="preserve">          6006 - TEMPORARY PART TIME</v>
      </c>
      <c r="C38" s="15"/>
      <c r="D38" s="2"/>
      <c r="E38" s="2"/>
      <c r="F38" s="2"/>
      <c r="G38" s="2"/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SUM(OSRRefD21_1_5x)+IFERROR(SUM(OSRRefE21_1_5x),0)</f>
        <v>0</v>
      </c>
    </row>
    <row r="39" spans="1:17" s="34" customFormat="1" hidden="1" outlineLevel="1" x14ac:dyDescent="0.25">
      <c r="A39" s="35"/>
      <c r="B39" s="13" t="str">
        <f>CONCATENATE("          ","6007", " - ","STUDENT HOURLY")</f>
        <v xml:space="preserve">          6007 - STUDENT HOURLY</v>
      </c>
      <c r="C39" s="15"/>
      <c r="D39" s="2">
        <v>3413</v>
      </c>
      <c r="E39" s="2">
        <v>-790</v>
      </c>
      <c r="F39" s="2">
        <v>650</v>
      </c>
      <c r="G39" s="2">
        <v>-3273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SUM(OSRRefD21_1_6x)+IFERROR(SUM(OSRRefE21_1_6x),0)</f>
        <v>0</v>
      </c>
    </row>
    <row r="40" spans="1:17" s="34" customFormat="1" hidden="1" outlineLevel="1" x14ac:dyDescent="0.25">
      <c r="A40" s="35"/>
      <c r="B40" s="13" t="str">
        <f>CONCATENATE("          ","6008", " - ","STUDENT HOURLY-FICA EXEMPT")</f>
        <v xml:space="preserve">          6008 - STUDENT HOURLY-FICA EXEMPT</v>
      </c>
      <c r="C40" s="15"/>
      <c r="D40" s="2"/>
      <c r="E40" s="2"/>
      <c r="F40" s="2"/>
      <c r="G40" s="2"/>
      <c r="H40" s="2">
        <v>6363.2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SUM(OSRRefD21_1_7x)+IFERROR(SUM(OSRRefE21_1_7x),0)</f>
        <v>6363.2</v>
      </c>
    </row>
    <row r="41" spans="1:17" s="34" customFormat="1" hidden="1" outlineLevel="1" x14ac:dyDescent="0.25">
      <c r="A41" s="35"/>
      <c r="B41" s="13" t="str">
        <f>CONCATENATE("          ","6009", " - ","TEMPORARY-SEASONAL")</f>
        <v xml:space="preserve">          6009 - TEMPORARY-SEASONAL</v>
      </c>
      <c r="C41" s="15"/>
      <c r="D41" s="2"/>
      <c r="E41" s="2"/>
      <c r="F41" s="2"/>
      <c r="G41" s="2"/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SUM(OSRRefD21_1_8x)+IFERROR(SUM(OSRRefE21_1_8x),0)</f>
        <v>0</v>
      </c>
    </row>
    <row r="42" spans="1:17" s="34" customFormat="1" hidden="1" outlineLevel="1" x14ac:dyDescent="0.25">
      <c r="A42" s="35"/>
      <c r="B42" s="13" t="str">
        <f>CONCATENATE("          ","6010", " - ","GRATUITY")</f>
        <v xml:space="preserve">          6010 - GRATUITY</v>
      </c>
      <c r="C42" s="15"/>
      <c r="D42" s="2"/>
      <c r="E42" s="2"/>
      <c r="F42" s="2"/>
      <c r="G42" s="2"/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SUM(OSRRefD21_1_9x)+IFERROR(SUM(OSRRefE21_1_9x),0)</f>
        <v>0</v>
      </c>
    </row>
    <row r="43" spans="1:17" s="34" customFormat="1" collapsed="1" x14ac:dyDescent="0.25">
      <c r="A43" s="35"/>
      <c r="B43" s="15" t="str">
        <f>CONCATENATE("     ","Advertising/Promo                                 ")</f>
        <v xml:space="preserve">     Advertising/Promo                                 </v>
      </c>
      <c r="C43" s="15"/>
      <c r="D43" s="1">
        <f>SUM(OSRRefD21_2x_0)</f>
        <v>0</v>
      </c>
      <c r="E43" s="1">
        <f>SUM(OSRRefD21_2x_1)</f>
        <v>0</v>
      </c>
      <c r="F43" s="1">
        <f>SUM(OSRRefD21_2x_2)</f>
        <v>0</v>
      </c>
      <c r="G43" s="1">
        <f>SUM(OSRRefD21_2x_3)</f>
        <v>0</v>
      </c>
      <c r="H43" s="1">
        <f>SUM(OSRRefE21_2x_0)</f>
        <v>0</v>
      </c>
      <c r="I43" s="1">
        <f>SUM(OSRRefE21_2x_1)</f>
        <v>0</v>
      </c>
      <c r="J43" s="1">
        <f>SUM(OSRRefE21_2x_2)</f>
        <v>0</v>
      </c>
      <c r="K43" s="1">
        <f>SUM(OSRRefE21_2x_3)</f>
        <v>0</v>
      </c>
      <c r="L43" s="1">
        <f>SUM(OSRRefE21_2x_4)</f>
        <v>0</v>
      </c>
      <c r="M43" s="1">
        <f>SUM(OSRRefE21_2x_5)</f>
        <v>0</v>
      </c>
      <c r="N43" s="1">
        <f>SUM(OSRRefE21_2x_6)</f>
        <v>0</v>
      </c>
      <c r="O43" s="1">
        <f>SUM(OSRRefE21_2x_7)</f>
        <v>0</v>
      </c>
      <c r="Q43" s="2">
        <f>SUM(OSRRefD20_2x)+IFERROR(SUM(OSRRefE20_2x),0)</f>
        <v>0</v>
      </c>
    </row>
    <row r="44" spans="1:17" s="34" customFormat="1" hidden="1" outlineLevel="1" x14ac:dyDescent="0.25">
      <c r="A44" s="35"/>
      <c r="B44" s="13" t="str">
        <f>CONCATENATE("          ","6362", " - ","ADVERTISING EXPENSE")</f>
        <v xml:space="preserve">          6362 - ADVERTISING EXPENSE</v>
      </c>
      <c r="C44" s="15"/>
      <c r="D44" s="2"/>
      <c r="E44" s="2"/>
      <c r="F44" s="2"/>
      <c r="G44" s="2"/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/>
      <c r="P44" s="9"/>
      <c r="Q44" s="2">
        <f>SUM(OSRRefD21_2_0x)+IFERROR(SUM(OSRRefE21_2_0x),0)</f>
        <v>0</v>
      </c>
    </row>
    <row r="45" spans="1:17" s="34" customFormat="1" collapsed="1" x14ac:dyDescent="0.25">
      <c r="A45" s="35"/>
      <c r="B45" s="15" t="str">
        <f>CONCATENATE("     ","Bad Debts/Over/Short                              ")</f>
        <v xml:space="preserve">     Bad Debts/Over/Short                              </v>
      </c>
      <c r="C45" s="15"/>
      <c r="D45" s="1">
        <f>SUM(OSRRefD21_3x_0)</f>
        <v>0</v>
      </c>
      <c r="E45" s="1">
        <f>SUM(OSRRefD21_3x_1)</f>
        <v>0</v>
      </c>
      <c r="F45" s="1">
        <f>SUM(OSRRefD21_3x_2)</f>
        <v>29.74</v>
      </c>
      <c r="G45" s="1">
        <f>SUM(OSRRefD21_3x_3)</f>
        <v>0</v>
      </c>
      <c r="H45" s="1">
        <f>SUM(OSRRefE21_3x_0)</f>
        <v>8</v>
      </c>
      <c r="I45" s="1">
        <f>SUM(OSRRefE21_3x_1)</f>
        <v>8</v>
      </c>
      <c r="J45" s="1">
        <f>SUM(OSRRefE21_3x_2)</f>
        <v>8</v>
      </c>
      <c r="K45" s="1">
        <f>SUM(OSRRefE21_3x_3)</f>
        <v>8</v>
      </c>
      <c r="L45" s="1">
        <f>SUM(OSRRefE21_3x_4)</f>
        <v>8</v>
      </c>
      <c r="M45" s="1">
        <f>SUM(OSRRefE21_3x_5)</f>
        <v>8</v>
      </c>
      <c r="N45" s="1">
        <f>SUM(OSRRefE21_3x_6)</f>
        <v>8</v>
      </c>
      <c r="O45" s="1">
        <f>SUM(OSRRefE21_3x_7)</f>
        <v>0</v>
      </c>
      <c r="Q45" s="2">
        <f>SUM(OSRRefD20_3x)+IFERROR(SUM(OSRRefE20_3x),0)</f>
        <v>85.74</v>
      </c>
    </row>
    <row r="46" spans="1:17" s="34" customFormat="1" hidden="1" outlineLevel="1" x14ac:dyDescent="0.25">
      <c r="A46" s="35"/>
      <c r="B46" s="13" t="str">
        <f>CONCATENATE("          ","6272", " - ","CASH (OVER/SHORT)")</f>
        <v xml:space="preserve">          6272 - CASH (OVER/SHORT)</v>
      </c>
      <c r="C46" s="15"/>
      <c r="D46" s="2"/>
      <c r="E46" s="2"/>
      <c r="F46" s="2">
        <v>29.74</v>
      </c>
      <c r="G46" s="2"/>
      <c r="H46" s="2">
        <v>8</v>
      </c>
      <c r="I46" s="2">
        <v>8</v>
      </c>
      <c r="J46" s="2">
        <v>8</v>
      </c>
      <c r="K46" s="2">
        <v>8</v>
      </c>
      <c r="L46" s="2">
        <v>8</v>
      </c>
      <c r="M46" s="2">
        <v>8</v>
      </c>
      <c r="N46" s="2">
        <v>8</v>
      </c>
      <c r="O46" s="2"/>
      <c r="P46" s="9"/>
      <c r="Q46" s="2">
        <f>SUM(OSRRefD21_3_0x)+IFERROR(SUM(OSRRefE21_3_0x),0)</f>
        <v>85.74</v>
      </c>
    </row>
    <row r="47" spans="1:17" s="34" customFormat="1" collapsed="1" x14ac:dyDescent="0.25">
      <c r="A47" s="35"/>
      <c r="B47" s="15" t="str">
        <f>CONCATENATE("     ","Bank/card Fees                                    ")</f>
        <v xml:space="preserve">     Bank/card Fees                                    </v>
      </c>
      <c r="C47" s="15"/>
      <c r="D47" s="1">
        <f>SUM(OSRRefD21_4x_0)</f>
        <v>0</v>
      </c>
      <c r="E47" s="1">
        <f>SUM(OSRRefD21_4x_1)</f>
        <v>0</v>
      </c>
      <c r="F47" s="1">
        <f>SUM(OSRRefD21_4x_2)</f>
        <v>0</v>
      </c>
      <c r="G47" s="1">
        <f>SUM(OSRRefD21_4x_3)</f>
        <v>0</v>
      </c>
      <c r="H47" s="1">
        <f>SUM(OSRRefE21_4x_0)</f>
        <v>10</v>
      </c>
      <c r="I47" s="1">
        <f>SUM(OSRRefE21_4x_1)</f>
        <v>10</v>
      </c>
      <c r="J47" s="1">
        <f>SUM(OSRRefE21_4x_2)</f>
        <v>10</v>
      </c>
      <c r="K47" s="1">
        <f>SUM(OSRRefE21_4x_3)</f>
        <v>10</v>
      </c>
      <c r="L47" s="1">
        <f>SUM(OSRRefE21_4x_4)</f>
        <v>10</v>
      </c>
      <c r="M47" s="1">
        <f>SUM(OSRRefE21_4x_5)</f>
        <v>10</v>
      </c>
      <c r="N47" s="1">
        <f>SUM(OSRRefE21_4x_6)</f>
        <v>1</v>
      </c>
      <c r="O47" s="1">
        <f>SUM(OSRRefE21_4x_7)</f>
        <v>0</v>
      </c>
      <c r="Q47" s="2">
        <f>SUM(OSRRefD20_4x)+IFERROR(SUM(OSRRefE20_4x),0)</f>
        <v>61</v>
      </c>
    </row>
    <row r="48" spans="1:17" s="34" customFormat="1" hidden="1" outlineLevel="1" x14ac:dyDescent="0.25">
      <c r="A48" s="35"/>
      <c r="B48" s="13" t="str">
        <f>CONCATENATE("          ","6381", " - ","BANK/CREDIT CARD FEES")</f>
        <v xml:space="preserve">          6381 - BANK/CREDIT CARD FEES</v>
      </c>
      <c r="C48" s="15"/>
      <c r="D48" s="2"/>
      <c r="E48" s="2"/>
      <c r="F48" s="2"/>
      <c r="G48" s="2"/>
      <c r="H48" s="2">
        <v>10</v>
      </c>
      <c r="I48" s="2">
        <v>10</v>
      </c>
      <c r="J48" s="2">
        <v>10</v>
      </c>
      <c r="K48" s="2">
        <v>10</v>
      </c>
      <c r="L48" s="2">
        <v>10</v>
      </c>
      <c r="M48" s="2">
        <v>10</v>
      </c>
      <c r="N48" s="2">
        <v>1</v>
      </c>
      <c r="O48" s="2">
        <v>0</v>
      </c>
      <c r="P48" s="9"/>
      <c r="Q48" s="2">
        <f>SUM(OSRRefD21_4_0x)+IFERROR(SUM(OSRRefE21_4_0x),0)</f>
        <v>61</v>
      </c>
    </row>
    <row r="49" spans="1:17" s="34" customFormat="1" collapsed="1" x14ac:dyDescent="0.25">
      <c r="A49" s="35"/>
      <c r="B49" s="15" t="str">
        <f>CONCATENATE("     ","Depreciation                                      ")</f>
        <v xml:space="preserve">     Depreciation                                      </v>
      </c>
      <c r="C49" s="15"/>
      <c r="D49" s="1">
        <f>SUM(OSRRefD21_5x_0)</f>
        <v>213.02</v>
      </c>
      <c r="E49" s="1">
        <f>SUM(OSRRefD21_5x_1)</f>
        <v>213.02</v>
      </c>
      <c r="F49" s="1">
        <f>SUM(OSRRefD21_5x_2)</f>
        <v>213.02</v>
      </c>
      <c r="G49" s="1">
        <f>SUM(OSRRefD21_5x_3)</f>
        <v>213.02</v>
      </c>
      <c r="H49" s="1">
        <f>SUM(OSRRefE21_5x_0)</f>
        <v>213</v>
      </c>
      <c r="I49" s="1">
        <f>SUM(OSRRefE21_5x_1)</f>
        <v>213</v>
      </c>
      <c r="J49" s="1">
        <f>SUM(OSRRefE21_5x_2)</f>
        <v>213</v>
      </c>
      <c r="K49" s="1">
        <f>SUM(OSRRefE21_5x_3)</f>
        <v>213</v>
      </c>
      <c r="L49" s="1">
        <f>SUM(OSRRefE21_5x_4)</f>
        <v>213</v>
      </c>
      <c r="M49" s="1">
        <f>SUM(OSRRefE21_5x_5)</f>
        <v>213</v>
      </c>
      <c r="N49" s="1">
        <f>SUM(OSRRefE21_5x_6)</f>
        <v>213</v>
      </c>
      <c r="O49" s="1">
        <f>SUM(OSRRefE21_5x_7)</f>
        <v>213</v>
      </c>
      <c r="Q49" s="2">
        <f>SUM(OSRRefD20_5x)+IFERROR(SUM(OSRRefE20_5x),0)</f>
        <v>2556.08</v>
      </c>
    </row>
    <row r="50" spans="1:17" s="34" customFormat="1" hidden="1" outlineLevel="1" x14ac:dyDescent="0.25">
      <c r="A50" s="35"/>
      <c r="B50" s="13" t="str">
        <f>CONCATENATE("          ","6322", " - ","EQUIPMENT DEPRECIATION EXPENSE")</f>
        <v xml:space="preserve">          6322 - EQUIPMENT DEPRECIATION EXPENSE</v>
      </c>
      <c r="C50" s="15"/>
      <c r="D50" s="2">
        <v>213.02</v>
      </c>
      <c r="E50" s="2">
        <v>213.02</v>
      </c>
      <c r="F50" s="2">
        <v>213.02</v>
      </c>
      <c r="G50" s="2">
        <v>213.02</v>
      </c>
      <c r="H50" s="2">
        <v>213</v>
      </c>
      <c r="I50" s="2">
        <v>213</v>
      </c>
      <c r="J50" s="2">
        <v>213</v>
      </c>
      <c r="K50" s="2">
        <v>213</v>
      </c>
      <c r="L50" s="2">
        <v>213</v>
      </c>
      <c r="M50" s="2">
        <v>213</v>
      </c>
      <c r="N50" s="2">
        <v>213</v>
      </c>
      <c r="O50" s="2">
        <v>213</v>
      </c>
      <c r="P50" s="9"/>
      <c r="Q50" s="2">
        <f>SUM(OSRRefD21_5_0x)+IFERROR(SUM(OSRRefE21_5_0x),0)</f>
        <v>2556.08</v>
      </c>
    </row>
    <row r="51" spans="1:17" s="34" customFormat="1" collapsed="1" x14ac:dyDescent="0.25">
      <c r="A51" s="35"/>
      <c r="B51" s="15" t="str">
        <f>CONCATENATE("     ","Donations                                         ")</f>
        <v xml:space="preserve">     Donations                                         </v>
      </c>
      <c r="C51" s="15"/>
      <c r="D51" s="1">
        <f>SUM(OSRRefD21_6x_0)</f>
        <v>0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SUM(OSRRefE21_6x_0)</f>
        <v>0</v>
      </c>
      <c r="I51" s="1">
        <f>SUM(OSRRefE21_6x_1)</f>
        <v>0</v>
      </c>
      <c r="J51" s="1">
        <f>SUM(OSRRefE21_6x_2)</f>
        <v>0</v>
      </c>
      <c r="K51" s="1">
        <f>SUM(OSRRefE21_6x_3)</f>
        <v>0</v>
      </c>
      <c r="L51" s="1">
        <f>SUM(OSRRefE21_6x_4)</f>
        <v>0</v>
      </c>
      <c r="M51" s="1">
        <f>SUM(OSRRefE21_6x_5)</f>
        <v>0</v>
      </c>
      <c r="N51" s="1">
        <f>SUM(OSRRefE21_6x_6)</f>
        <v>0</v>
      </c>
      <c r="O51" s="1">
        <f>SUM(OSRRefE21_6x_7)</f>
        <v>0</v>
      </c>
      <c r="Q51" s="2">
        <f>SUM(OSRRefD20_6x)+IFERROR(SUM(OSRRefE20_6x),0)</f>
        <v>0</v>
      </c>
    </row>
    <row r="52" spans="1:17" s="34" customFormat="1" hidden="1" outlineLevel="1" x14ac:dyDescent="0.25">
      <c r="A52" s="35"/>
      <c r="B52" s="13" t="str">
        <f>CONCATENATE("          ","6399", " - ","DONATION-ON CAMPUS")</f>
        <v xml:space="preserve">          6399 - DONATION-ON CAMPUS</v>
      </c>
      <c r="C52" s="15"/>
      <c r="D52" s="2"/>
      <c r="E52" s="2"/>
      <c r="F52" s="2"/>
      <c r="G52" s="2"/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/>
      <c r="P52" s="9"/>
      <c r="Q52" s="2">
        <f>SUM(OSRRefD21_6_0x)+IFERROR(SUM(OSRRefE21_6_0x),0)</f>
        <v>0</v>
      </c>
    </row>
    <row r="53" spans="1:17" s="34" customFormat="1" collapsed="1" x14ac:dyDescent="0.25">
      <c r="A53" s="35"/>
      <c r="B53" s="15" t="str">
        <f>CONCATENATE("     ","Employees' Appreciation                           ")</f>
        <v xml:space="preserve">     Employees' Appreciation                           </v>
      </c>
      <c r="C53" s="15"/>
      <c r="D53" s="1">
        <f>SUM(OSRRefD21_7x_0)</f>
        <v>0</v>
      </c>
      <c r="E53" s="1">
        <f>SUM(OSRRefD21_7x_1)</f>
        <v>0</v>
      </c>
      <c r="F53" s="1">
        <f>SUM(OSRRefD21_7x_2)</f>
        <v>0</v>
      </c>
      <c r="G53" s="1">
        <f>SUM(OSRRefD21_7x_3)</f>
        <v>0</v>
      </c>
      <c r="H53" s="1">
        <f>SUM(OSRRefE21_7x_0)</f>
        <v>0</v>
      </c>
      <c r="I53" s="1">
        <f>SUM(OSRRefE21_7x_1)</f>
        <v>0</v>
      </c>
      <c r="J53" s="1">
        <f>SUM(OSRRefE21_7x_2)</f>
        <v>0</v>
      </c>
      <c r="K53" s="1">
        <f>SUM(OSRRefE21_7x_3)</f>
        <v>0</v>
      </c>
      <c r="L53" s="1">
        <f>SUM(OSRRefE21_7x_4)</f>
        <v>0</v>
      </c>
      <c r="M53" s="1">
        <f>SUM(OSRRefE21_7x_5)</f>
        <v>0</v>
      </c>
      <c r="N53" s="1">
        <f>SUM(OSRRefE21_7x_6)</f>
        <v>0</v>
      </c>
      <c r="O53" s="1">
        <f>SUM(OSRRefE21_7x_7)</f>
        <v>0</v>
      </c>
      <c r="Q53" s="2">
        <f>SUM(OSRRefD20_7x)+IFERROR(SUM(OSRRefE20_7x),0)</f>
        <v>0</v>
      </c>
    </row>
    <row r="54" spans="1:17" s="34" customFormat="1" hidden="1" outlineLevel="1" x14ac:dyDescent="0.25">
      <c r="A54" s="35"/>
      <c r="B54" s="13" t="str">
        <f>CONCATENATE("          ","6277", " - ","EMPLOYEE APPRECIATION")</f>
        <v xml:space="preserve">          6277 - EMPLOYEE APPRECIATION</v>
      </c>
      <c r="C54" s="15"/>
      <c r="D54" s="2"/>
      <c r="E54" s="2"/>
      <c r="F54" s="2"/>
      <c r="G54" s="2"/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SUM(OSRRefD21_7_0x)+IFERROR(SUM(OSRRefE21_7_0x),0)</f>
        <v>0</v>
      </c>
    </row>
    <row r="55" spans="1:17" s="34" customFormat="1" collapsed="1" x14ac:dyDescent="0.25">
      <c r="A55" s="35"/>
      <c r="B55" s="15" t="str">
        <f>CONCATENATE("     ","Equipment Rental                                  ")</f>
        <v xml:space="preserve">     Equipment Rental                                  </v>
      </c>
      <c r="C55" s="15"/>
      <c r="D55" s="1">
        <f>SUM(OSRRefD21_8x_0)</f>
        <v>0</v>
      </c>
      <c r="E55" s="1">
        <f>SUM(OSRRefD21_8x_1)</f>
        <v>20</v>
      </c>
      <c r="F55" s="1">
        <f>SUM(OSRRefD21_8x_2)</f>
        <v>0</v>
      </c>
      <c r="G55" s="1">
        <f>SUM(OSRRefD21_8x_3)</f>
        <v>0</v>
      </c>
      <c r="H55" s="1">
        <f>SUM(OSRRefE21_8x_0)</f>
        <v>0</v>
      </c>
      <c r="I55" s="1">
        <f>SUM(OSRRefE21_8x_1)</f>
        <v>0</v>
      </c>
      <c r="J55" s="1">
        <f>SUM(OSRRefE21_8x_2)</f>
        <v>0</v>
      </c>
      <c r="K55" s="1">
        <f>SUM(OSRRefE21_8x_3)</f>
        <v>0</v>
      </c>
      <c r="L55" s="1">
        <f>SUM(OSRRefE21_8x_4)</f>
        <v>0</v>
      </c>
      <c r="M55" s="1">
        <f>SUM(OSRRefE21_8x_5)</f>
        <v>0</v>
      </c>
      <c r="N55" s="1">
        <f>SUM(OSRRefE21_8x_6)</f>
        <v>0</v>
      </c>
      <c r="O55" s="1">
        <f>SUM(OSRRefE21_8x_7)</f>
        <v>0</v>
      </c>
      <c r="Q55" s="2">
        <f>SUM(OSRRefD20_8x)+IFERROR(SUM(OSRRefE20_8x),0)</f>
        <v>20</v>
      </c>
    </row>
    <row r="56" spans="1:17" s="34" customFormat="1" hidden="1" outlineLevel="1" x14ac:dyDescent="0.25">
      <c r="A56" s="35"/>
      <c r="B56" s="13" t="str">
        <f>CONCATENATE("          ","6351", " - ","EQUIPMENT RENTAL")</f>
        <v xml:space="preserve">          6351 - EQUIPMENT RENTAL</v>
      </c>
      <c r="C56" s="15"/>
      <c r="D56" s="2"/>
      <c r="E56" s="2">
        <v>20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SUM(OSRRefD21_8_0x)+IFERROR(SUM(OSRRefE21_8_0x),0)</f>
        <v>20</v>
      </c>
    </row>
    <row r="57" spans="1:17" s="34" customFormat="1" collapsed="1" x14ac:dyDescent="0.25">
      <c r="A57" s="35"/>
      <c r="B57" s="15" t="str">
        <f>CONCATENATE("     ","General                                           ")</f>
        <v xml:space="preserve">     General                                           </v>
      </c>
      <c r="C57" s="15"/>
      <c r="D57" s="1">
        <f>SUM(OSRRefD21_9x_0)</f>
        <v>1439.55</v>
      </c>
      <c r="E57" s="1">
        <f>SUM(OSRRefD21_9x_1)</f>
        <v>0</v>
      </c>
      <c r="F57" s="1">
        <f>SUM(OSRRefD21_9x_2)</f>
        <v>0</v>
      </c>
      <c r="G57" s="1">
        <f>SUM(OSRRefD21_9x_3)</f>
        <v>0</v>
      </c>
      <c r="H57" s="1">
        <f>SUM(OSRRefE21_9x_0)</f>
        <v>0</v>
      </c>
      <c r="I57" s="1">
        <f>SUM(OSRRefE21_9x_1)</f>
        <v>0</v>
      </c>
      <c r="J57" s="1">
        <f>SUM(OSRRefE21_9x_2)</f>
        <v>0</v>
      </c>
      <c r="K57" s="1">
        <f>SUM(OSRRefE21_9x_3)</f>
        <v>0</v>
      </c>
      <c r="L57" s="1">
        <f>SUM(OSRRefE21_9x_4)</f>
        <v>0</v>
      </c>
      <c r="M57" s="1">
        <f>SUM(OSRRefE21_9x_5)</f>
        <v>0</v>
      </c>
      <c r="N57" s="1">
        <f>SUM(OSRRefE21_9x_6)</f>
        <v>0</v>
      </c>
      <c r="O57" s="1">
        <f>SUM(OSRRefE21_9x_7)</f>
        <v>0</v>
      </c>
      <c r="Q57" s="2">
        <f>SUM(OSRRefD20_9x)+IFERROR(SUM(OSRRefE20_9x),0)</f>
        <v>1439.55</v>
      </c>
    </row>
    <row r="58" spans="1:17" s="34" customFormat="1" hidden="1" outlineLevel="1" x14ac:dyDescent="0.25">
      <c r="A58" s="35"/>
      <c r="B58" s="13" t="str">
        <f>CONCATENATE("          ","6279", " - ","GENERAL EXPENSE")</f>
        <v xml:space="preserve">          6279 - GENERAL EXPENSE</v>
      </c>
      <c r="C58" s="15"/>
      <c r="D58" s="2">
        <v>1439.55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SUM(OSRRefD21_9_0x)+IFERROR(SUM(OSRRefE21_9_0x),0)</f>
        <v>1439.55</v>
      </c>
    </row>
    <row r="59" spans="1:17" s="34" customFormat="1" collapsed="1" x14ac:dyDescent="0.25">
      <c r="A59" s="35"/>
      <c r="B59" s="15" t="str">
        <f>CONCATENATE("     ","Insurance                                         ")</f>
        <v xml:space="preserve">     Insurance                                         </v>
      </c>
      <c r="C59" s="15"/>
      <c r="D59" s="1">
        <f>SUM(OSRRefD21_10x_0)</f>
        <v>5.9</v>
      </c>
      <c r="E59" s="1">
        <f>SUM(OSRRefD21_10x_1)</f>
        <v>5.9</v>
      </c>
      <c r="F59" s="1">
        <f>SUM(OSRRefD21_10x_2)</f>
        <v>5.9</v>
      </c>
      <c r="G59" s="1">
        <f>SUM(OSRRefD21_10x_3)</f>
        <v>5.9</v>
      </c>
      <c r="H59" s="1">
        <f>SUM(OSRRefE21_10x_0)</f>
        <v>7</v>
      </c>
      <c r="I59" s="1">
        <f>SUM(OSRRefE21_10x_1)</f>
        <v>7</v>
      </c>
      <c r="J59" s="1">
        <f>SUM(OSRRefE21_10x_2)</f>
        <v>7</v>
      </c>
      <c r="K59" s="1">
        <f>SUM(OSRRefE21_10x_3)</f>
        <v>7</v>
      </c>
      <c r="L59" s="1">
        <f>SUM(OSRRefE21_10x_4)</f>
        <v>7</v>
      </c>
      <c r="M59" s="1">
        <f>SUM(OSRRefE21_10x_5)</f>
        <v>7</v>
      </c>
      <c r="N59" s="1">
        <f>SUM(OSRRefE21_10x_6)</f>
        <v>7</v>
      </c>
      <c r="O59" s="1">
        <f>SUM(OSRRefE21_10x_7)</f>
        <v>7</v>
      </c>
      <c r="Q59" s="2">
        <f>SUM(OSRRefD20_10x)+IFERROR(SUM(OSRRefE20_10x),0)</f>
        <v>79.599999999999994</v>
      </c>
    </row>
    <row r="60" spans="1:17" s="34" customFormat="1" hidden="1" outlineLevel="1" x14ac:dyDescent="0.25">
      <c r="A60" s="35"/>
      <c r="B60" s="13" t="str">
        <f>CONCATENATE("          ","6314", " - ","LIABILITY INSURANCE")</f>
        <v xml:space="preserve">          6314 - LIABILITY INSURANCE</v>
      </c>
      <c r="C60" s="15"/>
      <c r="D60" s="2">
        <v>5.9</v>
      </c>
      <c r="E60" s="2">
        <v>5.9</v>
      </c>
      <c r="F60" s="2">
        <v>5.9</v>
      </c>
      <c r="G60" s="2">
        <v>5.9</v>
      </c>
      <c r="H60" s="2">
        <v>7</v>
      </c>
      <c r="I60" s="2">
        <v>7</v>
      </c>
      <c r="J60" s="2">
        <v>7</v>
      </c>
      <c r="K60" s="2">
        <v>7</v>
      </c>
      <c r="L60" s="2">
        <v>7</v>
      </c>
      <c r="M60" s="2">
        <v>7</v>
      </c>
      <c r="N60" s="2">
        <v>7</v>
      </c>
      <c r="O60" s="2">
        <v>7</v>
      </c>
      <c r="P60" s="9"/>
      <c r="Q60" s="2">
        <f>SUM(OSRRefD21_10_0x)+IFERROR(SUM(OSRRefE21_10_0x),0)</f>
        <v>79.599999999999994</v>
      </c>
    </row>
    <row r="61" spans="1:17" s="34" customFormat="1" collapsed="1" x14ac:dyDescent="0.25">
      <c r="A61" s="35"/>
      <c r="B61" s="15" t="str">
        <f>CONCATENATE("     ","R/H Commissions                                   ")</f>
        <v xml:space="preserve">     R/H Commissions                                   </v>
      </c>
      <c r="C61" s="15"/>
      <c r="D61" s="1">
        <f>SUM(OSRRefD21_11x_0)</f>
        <v>0</v>
      </c>
      <c r="E61" s="1">
        <f>SUM(OSRRefD21_11x_1)</f>
        <v>0</v>
      </c>
      <c r="F61" s="1">
        <f>SUM(OSRRefD21_11x_2)</f>
        <v>0</v>
      </c>
      <c r="G61" s="1">
        <f>SUM(OSRRefD21_11x_3)</f>
        <v>0</v>
      </c>
      <c r="H61" s="1">
        <f>SUM(OSRRefE21_11x_0)</f>
        <v>0</v>
      </c>
      <c r="I61" s="1">
        <f>SUM(OSRRefE21_11x_1)</f>
        <v>0</v>
      </c>
      <c r="J61" s="1">
        <f>SUM(OSRRefE21_11x_2)</f>
        <v>0</v>
      </c>
      <c r="K61" s="1">
        <f>SUM(OSRRefE21_11x_3)</f>
        <v>0</v>
      </c>
      <c r="L61" s="1">
        <f>SUM(OSRRefE21_11x_4)</f>
        <v>0</v>
      </c>
      <c r="M61" s="1">
        <f>SUM(OSRRefE21_11x_5)</f>
        <v>0</v>
      </c>
      <c r="N61" s="1">
        <f>SUM(OSRRefE21_11x_6)</f>
        <v>0</v>
      </c>
      <c r="O61" s="1">
        <f>SUM(OSRRefE21_11x_7)</f>
        <v>0</v>
      </c>
      <c r="Q61" s="2">
        <f>SUM(OSRRefD20_11x)+IFERROR(SUM(OSRRefE20_11x),0)</f>
        <v>0</v>
      </c>
    </row>
    <row r="62" spans="1:17" s="34" customFormat="1" hidden="1" outlineLevel="1" x14ac:dyDescent="0.25">
      <c r="A62" s="35"/>
      <c r="B62" s="13" t="str">
        <f>CONCATENATE("          ","6387", " - ","COMMISSION DUE HOUSING")</f>
        <v xml:space="preserve">          6387 - COMMISSION DUE HOUSING</v>
      </c>
      <c r="C62" s="15"/>
      <c r="D62" s="2"/>
      <c r="E62" s="2"/>
      <c r="F62" s="2"/>
      <c r="G62" s="2"/>
      <c r="H62" s="2"/>
      <c r="I62" s="2"/>
      <c r="J62" s="2"/>
      <c r="K62" s="2"/>
      <c r="L62" s="2"/>
      <c r="M62" s="2"/>
      <c r="N62" s="2">
        <v>0</v>
      </c>
      <c r="O62" s="2"/>
      <c r="P62" s="9"/>
      <c r="Q62" s="2">
        <f>SUM(OSRRefD21_11_0x)+IFERROR(SUM(OSRRefE21_11_0x),0)</f>
        <v>0</v>
      </c>
    </row>
    <row r="63" spans="1:17" s="34" customFormat="1" collapsed="1" x14ac:dyDescent="0.25">
      <c r="A63" s="35"/>
      <c r="B63" s="15" t="str">
        <f>CONCATENATE("     ","Repair and Maintenance                            ")</f>
        <v xml:space="preserve">     Repair and Maintenance                            </v>
      </c>
      <c r="C63" s="15"/>
      <c r="D63" s="1">
        <f>SUM(OSRRefD21_12x_0)</f>
        <v>0</v>
      </c>
      <c r="E63" s="1">
        <f>SUM(OSRRefD21_12x_1)</f>
        <v>0</v>
      </c>
      <c r="F63" s="1">
        <f>SUM(OSRRefD21_12x_2)</f>
        <v>72.349999999999994</v>
      </c>
      <c r="G63" s="1">
        <f>SUM(OSRRefD21_12x_3)</f>
        <v>0</v>
      </c>
      <c r="H63" s="1">
        <f>SUM(OSRRefE21_12x_0)</f>
        <v>0</v>
      </c>
      <c r="I63" s="1">
        <f>SUM(OSRRefE21_12x_1)</f>
        <v>0</v>
      </c>
      <c r="J63" s="1">
        <f>SUM(OSRRefE21_12x_2)</f>
        <v>0</v>
      </c>
      <c r="K63" s="1">
        <f>SUM(OSRRefE21_12x_3)</f>
        <v>0</v>
      </c>
      <c r="L63" s="1">
        <f>SUM(OSRRefE21_12x_4)</f>
        <v>0</v>
      </c>
      <c r="M63" s="1">
        <f>SUM(OSRRefE21_12x_5)</f>
        <v>0</v>
      </c>
      <c r="N63" s="1">
        <f>SUM(OSRRefE21_12x_6)</f>
        <v>0</v>
      </c>
      <c r="O63" s="1">
        <f>SUM(OSRRefE21_12x_7)</f>
        <v>0</v>
      </c>
      <c r="Q63" s="2">
        <f>SUM(OSRRefD20_12x)+IFERROR(SUM(OSRRefE20_12x),0)</f>
        <v>72.349999999999994</v>
      </c>
    </row>
    <row r="64" spans="1:17" s="34" customFormat="1" hidden="1" outlineLevel="1" x14ac:dyDescent="0.25">
      <c r="A64" s="35"/>
      <c r="B64" s="13" t="str">
        <f>CONCATENATE("          ","6373", " - ","MAINTENANCE CONTRACTS")</f>
        <v xml:space="preserve">          6373 - MAINTENANCE CONTRACTS</v>
      </c>
      <c r="C64" s="15"/>
      <c r="D64" s="2"/>
      <c r="E64" s="2"/>
      <c r="F64" s="2">
        <v>72.349999999999994</v>
      </c>
      <c r="G64" s="2"/>
      <c r="H64" s="2"/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SUM(OSRRefD21_12_0x)+IFERROR(SUM(OSRRefE21_12_0x),0)</f>
        <v>72.349999999999994</v>
      </c>
    </row>
    <row r="65" spans="1:17" s="34" customFormat="1" collapsed="1" x14ac:dyDescent="0.25">
      <c r="A65" s="35"/>
      <c r="B65" s="15" t="str">
        <f>CONCATENATE("     ","Services                                          ")</f>
        <v xml:space="preserve">     Services                                          </v>
      </c>
      <c r="C65" s="15"/>
      <c r="D65" s="1">
        <f>SUM(OSRRefD21_13x_0)</f>
        <v>669.64</v>
      </c>
      <c r="E65" s="1">
        <f>SUM(OSRRefD21_13x_1)</f>
        <v>71.77</v>
      </c>
      <c r="F65" s="1">
        <f>SUM(OSRRefD21_13x_2)</f>
        <v>0</v>
      </c>
      <c r="G65" s="1">
        <f>SUM(OSRRefD21_13x_3)</f>
        <v>1339.28</v>
      </c>
      <c r="H65" s="1">
        <f>SUM(OSRRefE21_13x_0)</f>
        <v>850</v>
      </c>
      <c r="I65" s="1">
        <f>SUM(OSRRefE21_13x_1)</f>
        <v>850</v>
      </c>
      <c r="J65" s="1">
        <f>SUM(OSRRefE21_13x_2)</f>
        <v>850</v>
      </c>
      <c r="K65" s="1">
        <f>SUM(OSRRefE21_13x_3)</f>
        <v>850</v>
      </c>
      <c r="L65" s="1">
        <f>SUM(OSRRefE21_13x_4)</f>
        <v>850</v>
      </c>
      <c r="M65" s="1">
        <f>SUM(OSRRefE21_13x_5)</f>
        <v>850</v>
      </c>
      <c r="N65" s="1">
        <f>SUM(OSRRefE21_13x_6)</f>
        <v>850</v>
      </c>
      <c r="O65" s="1">
        <f>SUM(OSRRefE21_13x_7)</f>
        <v>850</v>
      </c>
      <c r="Q65" s="2">
        <f>SUM(OSRRefD20_13x)+IFERROR(SUM(OSRRefE20_13x),0)</f>
        <v>8880.69</v>
      </c>
    </row>
    <row r="66" spans="1:17" s="34" customFormat="1" hidden="1" outlineLevel="1" x14ac:dyDescent="0.25">
      <c r="A66" s="35"/>
      <c r="B66" s="13" t="str">
        <f>CONCATENATE("          ","6282", " - ","JANITORIAL/EXTERMINATOR EXPENS")</f>
        <v xml:space="preserve">          6282 - JANITORIAL/EXTERMINATOR EXPENS</v>
      </c>
      <c r="C66" s="15"/>
      <c r="D66" s="2">
        <v>669.64</v>
      </c>
      <c r="E66" s="2">
        <v>71.77</v>
      </c>
      <c r="F66" s="2"/>
      <c r="G66" s="2">
        <v>1339.28</v>
      </c>
      <c r="H66" s="2">
        <v>850</v>
      </c>
      <c r="I66" s="2">
        <v>850</v>
      </c>
      <c r="J66" s="2">
        <v>850</v>
      </c>
      <c r="K66" s="2">
        <v>850</v>
      </c>
      <c r="L66" s="2">
        <v>850</v>
      </c>
      <c r="M66" s="2">
        <v>850</v>
      </c>
      <c r="N66" s="2">
        <v>850</v>
      </c>
      <c r="O66" s="2">
        <v>850</v>
      </c>
      <c r="P66" s="9"/>
      <c r="Q66" s="2">
        <f>SUM(OSRRefD21_13_0x)+IFERROR(SUM(OSRRefE21_13_0x),0)</f>
        <v>8880.69</v>
      </c>
    </row>
    <row r="67" spans="1:17" s="34" customFormat="1" hidden="1" outlineLevel="1" x14ac:dyDescent="0.25">
      <c r="A67" s="35"/>
      <c r="B67" s="13" t="str">
        <f>CONCATENATE("          ","6285", " - ","JANITORIAL SERVICES")</f>
        <v xml:space="preserve">          6285 - JANITORIAL SERVICES</v>
      </c>
      <c r="C67" s="15"/>
      <c r="D67" s="2"/>
      <c r="E67" s="2"/>
      <c r="F67" s="2"/>
      <c r="G67" s="2"/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SUM(OSRRefD21_13_1x)+IFERROR(SUM(OSRRefE21_13_1x),0)</f>
        <v>0</v>
      </c>
    </row>
    <row r="68" spans="1:17" s="34" customFormat="1" hidden="1" outlineLevel="1" x14ac:dyDescent="0.25">
      <c r="A68" s="35"/>
      <c r="B68" s="13" t="str">
        <f>CONCATENATE("          ","6286", " - ","LAUNDRY EXPENSE")</f>
        <v xml:space="preserve">          6286 - LAUNDRY EXPENSE</v>
      </c>
      <c r="C68" s="15"/>
      <c r="D68" s="2"/>
      <c r="E68" s="2"/>
      <c r="F68" s="2"/>
      <c r="G68" s="2"/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SUM(OSRRefD21_13_2x)+IFERROR(SUM(OSRRefE21_13_2x),0)</f>
        <v>0</v>
      </c>
    </row>
    <row r="69" spans="1:17" s="34" customFormat="1" collapsed="1" x14ac:dyDescent="0.25">
      <c r="A69" s="35"/>
      <c r="B69" s="15" t="str">
        <f>CONCATENATE("     ","Supplies                                          ")</f>
        <v xml:space="preserve">     Supplies                                          </v>
      </c>
      <c r="C69" s="15"/>
      <c r="D69" s="1">
        <f>SUM(OSRRefD21_14x_0)</f>
        <v>0</v>
      </c>
      <c r="E69" s="1">
        <f>SUM(OSRRefD21_14x_1)</f>
        <v>57.16</v>
      </c>
      <c r="F69" s="1">
        <f>SUM(OSRRefD21_14x_2)</f>
        <v>0</v>
      </c>
      <c r="G69" s="1">
        <f>SUM(OSRRefD21_14x_3)</f>
        <v>0</v>
      </c>
      <c r="H69" s="1">
        <f>SUM(OSRRefE21_14x_0)</f>
        <v>0</v>
      </c>
      <c r="I69" s="1">
        <f>SUM(OSRRefE21_14x_1)</f>
        <v>0</v>
      </c>
      <c r="J69" s="1">
        <f>SUM(OSRRefE21_14x_2)</f>
        <v>0</v>
      </c>
      <c r="K69" s="1">
        <f>SUM(OSRRefE21_14x_3)</f>
        <v>0</v>
      </c>
      <c r="L69" s="1">
        <f>SUM(OSRRefE21_14x_4)</f>
        <v>0</v>
      </c>
      <c r="M69" s="1">
        <f>SUM(OSRRefE21_14x_5)</f>
        <v>0</v>
      </c>
      <c r="N69" s="1">
        <f>SUM(OSRRefE21_14x_6)</f>
        <v>0</v>
      </c>
      <c r="O69" s="1">
        <f>SUM(OSRRefE21_14x_7)</f>
        <v>0</v>
      </c>
      <c r="Q69" s="2">
        <f>SUM(OSRRefD20_14x)+IFERROR(SUM(OSRRefE20_14x),0)</f>
        <v>57.16</v>
      </c>
    </row>
    <row r="70" spans="1:17" s="34" customFormat="1" hidden="1" outlineLevel="1" x14ac:dyDescent="0.25">
      <c r="A70" s="35"/>
      <c r="B70" s="13" t="str">
        <f>CONCATENATE("          ","6235", " - ","COVID-19 EXPENSES")</f>
        <v xml:space="preserve">          6235 - COVID-19 EXPENSES</v>
      </c>
      <c r="C70" s="15"/>
      <c r="D70" s="2"/>
      <c r="E70" s="2"/>
      <c r="F70" s="2"/>
      <c r="G70" s="2"/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/>
      <c r="P70" s="9"/>
      <c r="Q70" s="2">
        <f>SUM(OSRRefD21_14_0x)+IFERROR(SUM(OSRRefE21_14_0x),0)</f>
        <v>0</v>
      </c>
    </row>
    <row r="71" spans="1:17" s="34" customFormat="1" hidden="1" outlineLevel="1" x14ac:dyDescent="0.25">
      <c r="A71" s="35"/>
      <c r="B71" s="13" t="str">
        <f>CONCATENATE("          ","6237", " - ","JANITORIAL SUPPLIES")</f>
        <v xml:space="preserve">          6237 - JANITORIAL SUPPLIES</v>
      </c>
      <c r="C71" s="15"/>
      <c r="D71" s="2"/>
      <c r="E71" s="2"/>
      <c r="F71" s="2"/>
      <c r="G71" s="2"/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/>
      <c r="P71" s="9"/>
      <c r="Q71" s="2">
        <f>SUM(OSRRefD21_14_1x)+IFERROR(SUM(OSRRefE21_14_1x),0)</f>
        <v>0</v>
      </c>
    </row>
    <row r="72" spans="1:17" s="34" customFormat="1" hidden="1" outlineLevel="1" x14ac:dyDescent="0.25">
      <c r="A72" s="35"/>
      <c r="B72" s="13" t="str">
        <f>CONCATENATE("          ","6239", " - ","KITCHEN SUPPLIES")</f>
        <v xml:space="preserve">          6239 - KITCHEN SUPPLIES</v>
      </c>
      <c r="C72" s="15"/>
      <c r="D72" s="2"/>
      <c r="E72" s="2"/>
      <c r="F72" s="2"/>
      <c r="G72" s="2"/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9"/>
      <c r="Q72" s="2">
        <f>SUM(OSRRefD21_14_2x)+IFERROR(SUM(OSRRefE21_14_2x),0)</f>
        <v>0</v>
      </c>
    </row>
    <row r="73" spans="1:17" s="34" customFormat="1" hidden="1" outlineLevel="1" x14ac:dyDescent="0.25">
      <c r="A73" s="35"/>
      <c r="B73" s="13" t="str">
        <f>CONCATENATE("          ","6241", " - ","OFFICE EXPENSE")</f>
        <v xml:space="preserve">          6241 - OFFICE EXPENSE</v>
      </c>
      <c r="C73" s="15"/>
      <c r="D73" s="2"/>
      <c r="E73" s="2">
        <v>57.16</v>
      </c>
      <c r="F73" s="2"/>
      <c r="G73" s="2"/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/>
      <c r="P73" s="9"/>
      <c r="Q73" s="2">
        <f>SUM(OSRRefD21_14_3x)+IFERROR(SUM(OSRRefE21_14_3x),0)</f>
        <v>57.16</v>
      </c>
    </row>
    <row r="74" spans="1:17" s="34" customFormat="1" hidden="1" outlineLevel="1" x14ac:dyDescent="0.25">
      <c r="A74" s="35"/>
      <c r="B74" s="13" t="str">
        <f>CONCATENATE("          ","6244", " - ","SAFETY SUPPLY EXPENSE")</f>
        <v xml:space="preserve">          6244 - SAFETY SUPPLY EXPENSE</v>
      </c>
      <c r="C74" s="15"/>
      <c r="D74" s="2"/>
      <c r="E74" s="2"/>
      <c r="F74" s="2"/>
      <c r="G74" s="2"/>
      <c r="H74" s="2"/>
      <c r="I74" s="2">
        <v>0</v>
      </c>
      <c r="J74" s="2"/>
      <c r="K74" s="2"/>
      <c r="L74" s="2">
        <v>0</v>
      </c>
      <c r="M74" s="2"/>
      <c r="N74" s="2"/>
      <c r="O74" s="2"/>
      <c r="P74" s="9"/>
      <c r="Q74" s="2">
        <f>SUM(OSRRefD21_14_4x)+IFERROR(SUM(OSRRefE21_14_4x),0)</f>
        <v>0</v>
      </c>
    </row>
    <row r="75" spans="1:17" s="34" customFormat="1" hidden="1" outlineLevel="1" x14ac:dyDescent="0.25">
      <c r="A75" s="35"/>
      <c r="B75" s="13" t="str">
        <f>CONCATENATE("          ","6248", " - ","UNIFORMS")</f>
        <v xml:space="preserve">          6248 - UNIFORMS</v>
      </c>
      <c r="C75" s="15"/>
      <c r="D75" s="2"/>
      <c r="E75" s="2"/>
      <c r="F75" s="2"/>
      <c r="G75" s="2"/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9"/>
      <c r="Q75" s="2">
        <f>SUM(OSRRefD21_14_5x)+IFERROR(SUM(OSRRefE21_14_5x),0)</f>
        <v>0</v>
      </c>
    </row>
    <row r="76" spans="1:17" s="34" customFormat="1" collapsed="1" x14ac:dyDescent="0.25">
      <c r="A76" s="35"/>
      <c r="B76" s="15" t="str">
        <f>CONCATENATE("     ","Telephone/Data Lines                              ")</f>
        <v xml:space="preserve">     Telephone/Data Lines                              </v>
      </c>
      <c r="C76" s="15"/>
      <c r="D76" s="1">
        <f>SUM(OSRRefD21_15x_0)</f>
        <v>109</v>
      </c>
      <c r="E76" s="1">
        <f>SUM(OSRRefD21_15x_1)</f>
        <v>109</v>
      </c>
      <c r="F76" s="1">
        <f>SUM(OSRRefD21_15x_2)</f>
        <v>190</v>
      </c>
      <c r="G76" s="1">
        <f>SUM(OSRRefD21_15x_3)</f>
        <v>71.63</v>
      </c>
      <c r="H76" s="1">
        <f>SUM(OSRRefE21_15x_0)</f>
        <v>140</v>
      </c>
      <c r="I76" s="1">
        <f>SUM(OSRRefE21_15x_1)</f>
        <v>140</v>
      </c>
      <c r="J76" s="1">
        <f>SUM(OSRRefE21_15x_2)</f>
        <v>140</v>
      </c>
      <c r="K76" s="1">
        <f>SUM(OSRRefE21_15x_3)</f>
        <v>140</v>
      </c>
      <c r="L76" s="1">
        <f>SUM(OSRRefE21_15x_4)</f>
        <v>140</v>
      </c>
      <c r="M76" s="1">
        <f>SUM(OSRRefE21_15x_5)</f>
        <v>140</v>
      </c>
      <c r="N76" s="1">
        <f>SUM(OSRRefE21_15x_6)</f>
        <v>140</v>
      </c>
      <c r="O76" s="1">
        <f>SUM(OSRRefE21_15x_7)</f>
        <v>140</v>
      </c>
      <c r="Q76" s="2">
        <f>SUM(OSRRefD20_15x)+IFERROR(SUM(OSRRefE20_15x),0)</f>
        <v>1599.63</v>
      </c>
    </row>
    <row r="77" spans="1:17" s="34" customFormat="1" hidden="1" outlineLevel="1" x14ac:dyDescent="0.25">
      <c r="A77" s="35"/>
      <c r="B77" s="13" t="str">
        <f>CONCATENATE("          ","6303", " - ","DATA PHONE LINES")</f>
        <v xml:space="preserve">          6303 - DATA PHONE LINES</v>
      </c>
      <c r="C77" s="15"/>
      <c r="D77" s="2"/>
      <c r="E77" s="2"/>
      <c r="F77" s="2"/>
      <c r="G77" s="2"/>
      <c r="H77" s="2">
        <v>140</v>
      </c>
      <c r="I77" s="2">
        <v>140</v>
      </c>
      <c r="J77" s="2">
        <v>140</v>
      </c>
      <c r="K77" s="2">
        <v>140</v>
      </c>
      <c r="L77" s="2">
        <v>140</v>
      </c>
      <c r="M77" s="2">
        <v>140</v>
      </c>
      <c r="N77" s="2">
        <v>140</v>
      </c>
      <c r="O77" s="2">
        <v>140</v>
      </c>
      <c r="P77" s="9"/>
      <c r="Q77" s="2">
        <f>SUM(OSRRefD21_15_0x)+IFERROR(SUM(OSRRefE21_15_0x),0)</f>
        <v>1120</v>
      </c>
    </row>
    <row r="78" spans="1:17" s="34" customFormat="1" hidden="1" outlineLevel="1" x14ac:dyDescent="0.25">
      <c r="A78" s="35"/>
      <c r="B78" s="13" t="str">
        <f>CONCATENATE("          ","6309", " - ","TELEPHONE")</f>
        <v xml:space="preserve">          6309 - TELEPHONE</v>
      </c>
      <c r="C78" s="15"/>
      <c r="D78" s="2">
        <v>109</v>
      </c>
      <c r="E78" s="2">
        <v>109</v>
      </c>
      <c r="F78" s="2">
        <v>190</v>
      </c>
      <c r="G78" s="2">
        <v>71.63</v>
      </c>
      <c r="H78" s="2"/>
      <c r="I78" s="2"/>
      <c r="J78" s="2"/>
      <c r="K78" s="2"/>
      <c r="L78" s="2"/>
      <c r="M78" s="2"/>
      <c r="N78" s="2"/>
      <c r="O78" s="2"/>
      <c r="P78" s="9"/>
      <c r="Q78" s="2">
        <f>SUM(OSRRefD21_15_1x)+IFERROR(SUM(OSRRefE21_15_1x),0)</f>
        <v>479.63</v>
      </c>
    </row>
    <row r="79" spans="1:17" s="34" customFormat="1" collapsed="1" x14ac:dyDescent="0.25">
      <c r="A79" s="35"/>
      <c r="B79" s="15" t="str">
        <f>CONCATENATE("     ","Training                                          ")</f>
        <v xml:space="preserve">     Training                                          </v>
      </c>
      <c r="C79" s="15"/>
      <c r="D79" s="1">
        <f>SUM(OSRRefD21_16x_0)</f>
        <v>0</v>
      </c>
      <c r="E79" s="1">
        <f>SUM(OSRRefD21_16x_1)</f>
        <v>0</v>
      </c>
      <c r="F79" s="1">
        <f>SUM(OSRRefD21_16x_2)</f>
        <v>0</v>
      </c>
      <c r="G79" s="1">
        <f>SUM(OSRRefD21_16x_3)</f>
        <v>0</v>
      </c>
      <c r="H79" s="1">
        <f>SUM(OSRRefE21_16x_0)</f>
        <v>0</v>
      </c>
      <c r="I79" s="1">
        <f>SUM(OSRRefE21_16x_1)</f>
        <v>0</v>
      </c>
      <c r="J79" s="1">
        <f>SUM(OSRRefE21_16x_2)</f>
        <v>0</v>
      </c>
      <c r="K79" s="1">
        <f>SUM(OSRRefE21_16x_3)</f>
        <v>0</v>
      </c>
      <c r="L79" s="1">
        <f>SUM(OSRRefE21_16x_4)</f>
        <v>0</v>
      </c>
      <c r="M79" s="1">
        <f>SUM(OSRRefE21_16x_5)</f>
        <v>0</v>
      </c>
      <c r="N79" s="1">
        <f>SUM(OSRRefE21_16x_6)</f>
        <v>0</v>
      </c>
      <c r="O79" s="1">
        <f>SUM(OSRRefE21_16x_7)</f>
        <v>0</v>
      </c>
      <c r="Q79" s="2">
        <f>SUM(OSRRefD20_16x)+IFERROR(SUM(OSRRefE20_16x),0)</f>
        <v>0</v>
      </c>
    </row>
    <row r="80" spans="1:17" s="34" customFormat="1" hidden="1" outlineLevel="1" x14ac:dyDescent="0.25">
      <c r="A80" s="35"/>
      <c r="B80" s="13" t="str">
        <f>CONCATENATE("          ","6376", " - ","TRAINING")</f>
        <v xml:space="preserve">          6376 - TRAINING</v>
      </c>
      <c r="C80" s="15"/>
      <c r="D80" s="2"/>
      <c r="E80" s="2"/>
      <c r="F80" s="2"/>
      <c r="G80" s="2"/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SUM(OSRRefD21_16_0x)+IFERROR(SUM(OSRRefE21_16_0x),0)</f>
        <v>0</v>
      </c>
    </row>
    <row r="81" spans="1:17" s="28" customFormat="1" x14ac:dyDescent="0.25">
      <c r="A81" s="20"/>
      <c r="B81" s="20"/>
      <c r="C81" s="20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Q81" s="1"/>
    </row>
    <row r="82" spans="1:17" s="9" customFormat="1" x14ac:dyDescent="0.25">
      <c r="A82" s="22"/>
      <c r="B82" s="16" t="s">
        <v>0</v>
      </c>
      <c r="C82" s="23"/>
      <c r="D82" s="3">
        <f t="shared" ref="D82:G82" si="4">0</f>
        <v>0</v>
      </c>
      <c r="E82" s="3">
        <f t="shared" si="4"/>
        <v>0</v>
      </c>
      <c r="F82" s="3">
        <f t="shared" si="4"/>
        <v>0</v>
      </c>
      <c r="G82" s="3">
        <f t="shared" si="4"/>
        <v>0</v>
      </c>
      <c r="H82" s="3"/>
      <c r="I82" s="3"/>
      <c r="J82" s="3"/>
      <c r="K82" s="3"/>
      <c r="L82" s="3"/>
      <c r="M82" s="3"/>
      <c r="N82" s="3"/>
      <c r="O82" s="3"/>
      <c r="Q82" s="2">
        <f>SUM(OSRRefD23_0x)+IFERROR(SUM(OSRRefE23_0x),0)</f>
        <v>0</v>
      </c>
    </row>
    <row r="83" spans="1:17" x14ac:dyDescent="0.25">
      <c r="A83" s="5"/>
      <c r="B83" s="8"/>
      <c r="C83" s="8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4" customFormat="1" x14ac:dyDescent="0.25">
      <c r="A84" s="8"/>
      <c r="B84" s="17" t="s">
        <v>3</v>
      </c>
      <c r="C84" s="17"/>
      <c r="D84" s="6">
        <f t="shared" ref="D84:O84" si="5">IFERROR(+D17-D20+D82, 0)</f>
        <v>-40360.14</v>
      </c>
      <c r="E84" s="6">
        <f t="shared" si="5"/>
        <v>-38261.779999999992</v>
      </c>
      <c r="F84" s="6">
        <f t="shared" si="5"/>
        <v>-28479.559999999998</v>
      </c>
      <c r="G84" s="6">
        <f t="shared" si="5"/>
        <v>-62396.42</v>
      </c>
      <c r="H84" s="6">
        <f t="shared" si="5"/>
        <v>-61772.252045587666</v>
      </c>
      <c r="I84" s="6">
        <f t="shared" si="5"/>
        <v>-1228</v>
      </c>
      <c r="J84" s="6">
        <f t="shared" si="5"/>
        <v>-64197.300994484569</v>
      </c>
      <c r="K84" s="6">
        <f t="shared" si="5"/>
        <v>-51999.44079558766</v>
      </c>
      <c r="L84" s="6">
        <f t="shared" si="5"/>
        <v>-51999.44079558766</v>
      </c>
      <c r="M84" s="6">
        <f t="shared" si="5"/>
        <v>-64197.300994484569</v>
      </c>
      <c r="N84" s="6">
        <f t="shared" si="5"/>
        <v>-51990.44079558766</v>
      </c>
      <c r="O84" s="6">
        <f t="shared" si="5"/>
        <v>-51981.44079558766</v>
      </c>
      <c r="Q84" s="6">
        <f>IFERROR(+Q17-Q20+Q82, 0)</f>
        <v>-568863.51721690735</v>
      </c>
    </row>
    <row r="85" spans="1:17" s="8" customFormat="1" x14ac:dyDescent="0.25">
      <c r="B85" s="16"/>
      <c r="C85" s="16"/>
      <c r="D85" s="4">
        <f t="shared" ref="D85:O85" si="6">IFERROR(D84/D10, 0)</f>
        <v>0</v>
      </c>
      <c r="E85" s="4">
        <f t="shared" si="6"/>
        <v>0</v>
      </c>
      <c r="F85" s="4">
        <f t="shared" si="6"/>
        <v>-2.2701685833466851</v>
      </c>
      <c r="G85" s="4">
        <f t="shared" si="6"/>
        <v>4.9737563500736943</v>
      </c>
      <c r="H85" s="4">
        <f t="shared" si="6"/>
        <v>0</v>
      </c>
      <c r="I85" s="4">
        <f t="shared" si="6"/>
        <v>0</v>
      </c>
      <c r="J85" s="4">
        <f t="shared" si="6"/>
        <v>0</v>
      </c>
      <c r="K85" s="4">
        <f t="shared" si="6"/>
        <v>0</v>
      </c>
      <c r="L85" s="4">
        <f t="shared" si="6"/>
        <v>0</v>
      </c>
      <c r="M85" s="4">
        <f t="shared" si="6"/>
        <v>0</v>
      </c>
      <c r="N85" s="4">
        <f t="shared" si="6"/>
        <v>0</v>
      </c>
      <c r="O85" s="4">
        <f t="shared" si="6"/>
        <v>0</v>
      </c>
      <c r="P85" s="18"/>
      <c r="Q85" s="4">
        <f>IFERROR(Q84/Q10, 0)</f>
        <v>0</v>
      </c>
    </row>
    <row r="86" spans="1:17" x14ac:dyDescent="0.25">
      <c r="A86" s="5"/>
      <c r="B86" s="8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4" customFormat="1" x14ac:dyDescent="0.25">
      <c r="A87" s="25"/>
      <c r="B87" s="8" t="s">
        <v>8</v>
      </c>
      <c r="C87" s="8"/>
      <c r="D87" s="3"/>
      <c r="E87" s="3"/>
      <c r="F87" s="3">
        <v>2324.04</v>
      </c>
      <c r="G87" s="3">
        <v>-2324.04</v>
      </c>
      <c r="H87" s="3">
        <v>11963</v>
      </c>
      <c r="I87" s="3">
        <v>10215</v>
      </c>
      <c r="J87" s="3">
        <v>2617</v>
      </c>
      <c r="K87" s="3">
        <v>14236</v>
      </c>
      <c r="L87" s="3">
        <v>13278</v>
      </c>
      <c r="M87" s="3">
        <v>13615</v>
      </c>
      <c r="N87" s="3">
        <v>10263</v>
      </c>
      <c r="O87" s="3">
        <v>-8850</v>
      </c>
      <c r="Q87" s="2">
        <f>SUM(OSRRefD28_0x)+IFERROR(SUM(OSRRefE28_0x),0)</f>
        <v>67337</v>
      </c>
    </row>
    <row r="88" spans="1:17" x14ac:dyDescent="0.25">
      <c r="A88" s="5"/>
      <c r="B88" s="8"/>
      <c r="C88" s="8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4" customFormat="1" ht="15.75" thickBot="1" x14ac:dyDescent="0.3">
      <c r="A89" s="8"/>
      <c r="B89" s="17" t="s">
        <v>4</v>
      </c>
      <c r="C89" s="17"/>
      <c r="D89" s="7">
        <f t="shared" ref="D89:O89" si="7">IFERROR(+D84-D87, 0)</f>
        <v>-40360.14</v>
      </c>
      <c r="E89" s="7">
        <f t="shared" si="7"/>
        <v>-38261.779999999992</v>
      </c>
      <c r="F89" s="7">
        <f t="shared" si="7"/>
        <v>-30803.599999999999</v>
      </c>
      <c r="G89" s="7">
        <f t="shared" si="7"/>
        <v>-60072.38</v>
      </c>
      <c r="H89" s="7">
        <f t="shared" si="7"/>
        <v>-73735.252045587666</v>
      </c>
      <c r="I89" s="7">
        <f t="shared" si="7"/>
        <v>-11443</v>
      </c>
      <c r="J89" s="7">
        <f t="shared" si="7"/>
        <v>-66814.300994484569</v>
      </c>
      <c r="K89" s="7">
        <f t="shared" si="7"/>
        <v>-66235.440795587667</v>
      </c>
      <c r="L89" s="7">
        <f t="shared" si="7"/>
        <v>-65277.44079558766</v>
      </c>
      <c r="M89" s="7">
        <f t="shared" si="7"/>
        <v>-77812.300994484569</v>
      </c>
      <c r="N89" s="7">
        <f t="shared" si="7"/>
        <v>-62253.44079558766</v>
      </c>
      <c r="O89" s="7">
        <f t="shared" si="7"/>
        <v>-43131.44079558766</v>
      </c>
      <c r="Q89" s="7">
        <f>IFERROR(+Q84-Q87, 0)</f>
        <v>-636200.51721690735</v>
      </c>
    </row>
    <row r="90" spans="1:17" ht="15.75" thickTop="1" x14ac:dyDescent="0.25">
      <c r="A90" s="5"/>
      <c r="B90" s="5"/>
      <c r="C90" s="5"/>
      <c r="D90" s="4">
        <f t="shared" ref="D90:O90" si="8">IFERROR(D89/D10, 0)</f>
        <v>0</v>
      </c>
      <c r="E90" s="4">
        <f t="shared" si="8"/>
        <v>0</v>
      </c>
      <c r="F90" s="4">
        <f t="shared" si="8"/>
        <v>-2.4554229410137638</v>
      </c>
      <c r="G90" s="4">
        <f t="shared" si="8"/>
        <v>4.7885019924066157</v>
      </c>
      <c r="H90" s="4">
        <f t="shared" si="8"/>
        <v>0</v>
      </c>
      <c r="I90" s="4">
        <f t="shared" si="8"/>
        <v>0</v>
      </c>
      <c r="J90" s="4">
        <f t="shared" si="8"/>
        <v>0</v>
      </c>
      <c r="K90" s="4">
        <f t="shared" si="8"/>
        <v>0</v>
      </c>
      <c r="L90" s="4">
        <f t="shared" si="8"/>
        <v>0</v>
      </c>
      <c r="M90" s="4">
        <f t="shared" si="8"/>
        <v>0</v>
      </c>
      <c r="N90" s="4">
        <f t="shared" si="8"/>
        <v>0</v>
      </c>
      <c r="O90" s="4">
        <f t="shared" si="8"/>
        <v>0</v>
      </c>
      <c r="P90" s="18"/>
      <c r="Q90" s="4">
        <f>IFERROR(Q89/Q10, 0)</f>
        <v>0</v>
      </c>
    </row>
    <row r="91" spans="1:17" x14ac:dyDescent="0.25">
      <c r="A91" s="5"/>
      <c r="B91" s="5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x14ac:dyDescent="0.25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4" customFormat="1" ht="15.75" thickBot="1" x14ac:dyDescent="0.3">
      <c r="A93" s="8"/>
      <c r="B93" s="17" t="s">
        <v>5</v>
      </c>
      <c r="C93" s="17"/>
      <c r="D93" s="7">
        <f t="shared" ref="D93:O93" si="9">IFERROR(SUM(D89:D92), 0)</f>
        <v>-40360.14</v>
      </c>
      <c r="E93" s="7">
        <f t="shared" si="9"/>
        <v>-38261.779999999992</v>
      </c>
      <c r="F93" s="7">
        <f t="shared" si="9"/>
        <v>-30806.055422941012</v>
      </c>
      <c r="G93" s="7">
        <f t="shared" si="9"/>
        <v>-60067.59149800759</v>
      </c>
      <c r="H93" s="7">
        <f t="shared" si="9"/>
        <v>-73735.252045587666</v>
      </c>
      <c r="I93" s="7">
        <f t="shared" si="9"/>
        <v>-11443</v>
      </c>
      <c r="J93" s="7">
        <f t="shared" si="9"/>
        <v>-66814.300994484569</v>
      </c>
      <c r="K93" s="7">
        <f t="shared" si="9"/>
        <v>-66235.440795587667</v>
      </c>
      <c r="L93" s="7">
        <f t="shared" si="9"/>
        <v>-65277.44079558766</v>
      </c>
      <c r="M93" s="7">
        <f t="shared" si="9"/>
        <v>-77812.300994484569</v>
      </c>
      <c r="N93" s="7">
        <f t="shared" si="9"/>
        <v>-62253.44079558766</v>
      </c>
      <c r="O93" s="7">
        <f t="shared" si="9"/>
        <v>-43131.44079558766</v>
      </c>
      <c r="Q93" s="7">
        <f>IFERROR(SUM(Q89:Q92), 0)</f>
        <v>-636200.51721690735</v>
      </c>
    </row>
    <row r="94" spans="1:17" ht="15.75" thickTop="1" x14ac:dyDescent="0.25">
      <c r="A94" s="5"/>
      <c r="C94" s="5"/>
      <c r="D94" s="4">
        <f t="shared" ref="D94:O94" si="10">IFERROR(D93/D10, 0)</f>
        <v>0</v>
      </c>
      <c r="E94" s="4">
        <f t="shared" si="10"/>
        <v>0</v>
      </c>
      <c r="F94" s="4">
        <f t="shared" si="10"/>
        <v>-2.4556186681956276</v>
      </c>
      <c r="G94" s="4">
        <f t="shared" si="10"/>
        <v>4.7881202903443487</v>
      </c>
      <c r="H94" s="4">
        <f t="shared" si="10"/>
        <v>0</v>
      </c>
      <c r="I94" s="4">
        <f t="shared" si="10"/>
        <v>0</v>
      </c>
      <c r="J94" s="4">
        <f t="shared" si="10"/>
        <v>0</v>
      </c>
      <c r="K94" s="4">
        <f t="shared" si="10"/>
        <v>0</v>
      </c>
      <c r="L94" s="4">
        <f t="shared" si="10"/>
        <v>0</v>
      </c>
      <c r="M94" s="4">
        <f t="shared" si="10"/>
        <v>0</v>
      </c>
      <c r="N94" s="4">
        <f t="shared" si="10"/>
        <v>0</v>
      </c>
      <c r="O94" s="4">
        <f t="shared" si="10"/>
        <v>0</v>
      </c>
      <c r="P94" s="18"/>
      <c r="Q94" s="4">
        <f>IFERROR(Q93/Q10, 0)</f>
        <v>0</v>
      </c>
    </row>
    <row r="95" spans="1:17" x14ac:dyDescent="0.25">
      <c r="A95" s="5"/>
      <c r="B95" s="26">
        <v>44151.565108796298</v>
      </c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Q95" s="12"/>
    </row>
    <row r="96" spans="1:17" x14ac:dyDescent="0.25">
      <c r="A96" s="5"/>
      <c r="B96" s="30" t="s">
        <v>311</v>
      </c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Q96" s="12"/>
    </row>
    <row r="97" spans="1:17" x14ac:dyDescent="0.25">
      <c r="A97" s="5"/>
      <c r="B97" s="3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Q97" s="12"/>
    </row>
    <row r="98" spans="1:17" x14ac:dyDescent="0.25"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Q98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8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">
        <v>307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20971</v>
      </c>
      <c r="E10" s="3">
        <f>SUM(OSRRefD11x_1)</f>
        <v>66861</v>
      </c>
      <c r="F10" s="3">
        <f>SUM(OSRRefD11x_2)</f>
        <v>30210</v>
      </c>
      <c r="G10" s="3">
        <f>SUM(OSRRefD11x_3)</f>
        <v>151563</v>
      </c>
      <c r="H10" s="3">
        <f>SUM(OSRRefE11x_0)</f>
        <v>35101</v>
      </c>
      <c r="I10" s="3">
        <f>SUM(OSRRefE11x_1)</f>
        <v>36332</v>
      </c>
      <c r="J10" s="3">
        <f>SUM(OSRRefE11x_2)</f>
        <v>34931</v>
      </c>
      <c r="K10" s="3">
        <f>SUM(OSRRefE11x_3)</f>
        <v>33871</v>
      </c>
      <c r="L10" s="3">
        <f>SUM(OSRRefE11x_4)</f>
        <v>37495</v>
      </c>
      <c r="M10" s="3">
        <f>SUM(OSRRefE11x_5)</f>
        <v>41689</v>
      </c>
      <c r="N10" s="3">
        <f>SUM(OSRRefE11x_6)</f>
        <v>33686</v>
      </c>
      <c r="O10" s="3">
        <f>SUM(OSRRefE11x_7)</f>
        <v>44084</v>
      </c>
      <c r="P10" s="24"/>
      <c r="Q10" s="3">
        <f>SUM(OSRRefG11x)</f>
        <v>566794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G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/>
      <c r="I11" s="2"/>
      <c r="J11" s="2"/>
      <c r="K11" s="2"/>
      <c r="L11" s="2"/>
      <c r="M11" s="2"/>
      <c r="N11" s="2"/>
      <c r="O11" s="2">
        <v>1243</v>
      </c>
      <c r="Q11" s="2">
        <f>SUM(OSRRefD11_0x)+IFERROR(SUM(OSRRefE11_0x),0)</f>
        <v>1243</v>
      </c>
    </row>
    <row r="12" spans="1:18" s="9" customFormat="1" hidden="1" outlineLevel="1" x14ac:dyDescent="0.2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>--20971</f>
        <v>20971</v>
      </c>
      <c r="E12" s="2">
        <f>--66861</f>
        <v>66861</v>
      </c>
      <c r="F12" s="2">
        <f>--30210</f>
        <v>30210</v>
      </c>
      <c r="G12" s="2">
        <f>--151563</f>
        <v>151563</v>
      </c>
      <c r="H12" s="2">
        <v>35101</v>
      </c>
      <c r="I12" s="2">
        <v>36332</v>
      </c>
      <c r="J12" s="2">
        <v>34931</v>
      </c>
      <c r="K12" s="2">
        <v>33871</v>
      </c>
      <c r="L12" s="2">
        <v>37495</v>
      </c>
      <c r="M12" s="2">
        <v>41689</v>
      </c>
      <c r="N12" s="2">
        <v>33686</v>
      </c>
      <c r="O12" s="2">
        <v>42841</v>
      </c>
      <c r="Q12" s="2">
        <f>SUM(OSRRefD11_1x)+IFERROR(SUM(OSRRefE11_1x),0)</f>
        <v>565551</v>
      </c>
    </row>
    <row r="13" spans="1:18" x14ac:dyDescent="0.2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x14ac:dyDescent="0.25">
      <c r="A14" s="22"/>
      <c r="B14" s="16" t="s">
        <v>290</v>
      </c>
      <c r="C14" s="23"/>
      <c r="D14" s="3">
        <f t="shared" ref="D14:O14" si="1">SUM(0)</f>
        <v>0</v>
      </c>
      <c r="E14" s="3">
        <f t="shared" si="1"/>
        <v>0</v>
      </c>
      <c r="F14" s="3">
        <f t="shared" si="1"/>
        <v>0</v>
      </c>
      <c r="G14" s="3">
        <f t="shared" si="1"/>
        <v>0</v>
      </c>
      <c r="H14" s="3">
        <f t="shared" si="1"/>
        <v>0</v>
      </c>
      <c r="I14" s="3">
        <f t="shared" si="1"/>
        <v>0</v>
      </c>
      <c r="J14" s="3">
        <f t="shared" si="1"/>
        <v>0</v>
      </c>
      <c r="K14" s="3">
        <f t="shared" si="1"/>
        <v>0</v>
      </c>
      <c r="L14" s="3">
        <f t="shared" si="1"/>
        <v>0</v>
      </c>
      <c r="M14" s="3">
        <f t="shared" si="1"/>
        <v>0</v>
      </c>
      <c r="N14" s="3">
        <f t="shared" si="1"/>
        <v>0</v>
      </c>
      <c r="O14" s="3">
        <f t="shared" si="1"/>
        <v>0</v>
      </c>
      <c r="Q14" s="3">
        <f>SUM(0)</f>
        <v>0</v>
      </c>
    </row>
    <row r="15" spans="1:18" x14ac:dyDescent="0.25">
      <c r="A15" s="5"/>
      <c r="B15" s="8"/>
      <c r="C15" s="8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4" customFormat="1" x14ac:dyDescent="0.25">
      <c r="A16" s="8"/>
      <c r="B16" s="17" t="s">
        <v>6</v>
      </c>
      <c r="C16" s="17"/>
      <c r="D16" s="6">
        <f t="shared" ref="D16:O16" si="2">IFERROR(+D10-D14, 0)</f>
        <v>20971</v>
      </c>
      <c r="E16" s="6">
        <f t="shared" si="2"/>
        <v>66861</v>
      </c>
      <c r="F16" s="6">
        <f t="shared" si="2"/>
        <v>30210</v>
      </c>
      <c r="G16" s="6">
        <f t="shared" si="2"/>
        <v>151563</v>
      </c>
      <c r="H16" s="6">
        <f t="shared" si="2"/>
        <v>35101</v>
      </c>
      <c r="I16" s="6">
        <f t="shared" si="2"/>
        <v>36332</v>
      </c>
      <c r="J16" s="6">
        <f t="shared" si="2"/>
        <v>34931</v>
      </c>
      <c r="K16" s="6">
        <f t="shared" si="2"/>
        <v>33871</v>
      </c>
      <c r="L16" s="6">
        <f t="shared" si="2"/>
        <v>37495</v>
      </c>
      <c r="M16" s="6">
        <f t="shared" si="2"/>
        <v>41689</v>
      </c>
      <c r="N16" s="6">
        <f t="shared" si="2"/>
        <v>33686</v>
      </c>
      <c r="O16" s="6">
        <f t="shared" si="2"/>
        <v>44084</v>
      </c>
      <c r="Q16" s="6">
        <f>IFERROR(+Q10-Q14, 0)</f>
        <v>566794</v>
      </c>
    </row>
    <row r="17" spans="1:17" s="8" customFormat="1" x14ac:dyDescent="0.25">
      <c r="B17" s="16"/>
      <c r="C17" s="16"/>
      <c r="D17" s="4">
        <f t="shared" ref="D17:O17" si="3">IFERROR(D16/D10, 0)</f>
        <v>1</v>
      </c>
      <c r="E17" s="4">
        <f t="shared" si="3"/>
        <v>1</v>
      </c>
      <c r="F17" s="4">
        <f t="shared" si="3"/>
        <v>1</v>
      </c>
      <c r="G17" s="4">
        <f t="shared" si="3"/>
        <v>1</v>
      </c>
      <c r="H17" s="4">
        <f t="shared" si="3"/>
        <v>1</v>
      </c>
      <c r="I17" s="4">
        <f t="shared" si="3"/>
        <v>1</v>
      </c>
      <c r="J17" s="4">
        <f t="shared" si="3"/>
        <v>1</v>
      </c>
      <c r="K17" s="4">
        <f t="shared" si="3"/>
        <v>1</v>
      </c>
      <c r="L17" s="4">
        <f t="shared" si="3"/>
        <v>1</v>
      </c>
      <c r="M17" s="4">
        <f t="shared" si="3"/>
        <v>1</v>
      </c>
      <c r="N17" s="4">
        <f t="shared" si="3"/>
        <v>1</v>
      </c>
      <c r="O17" s="4">
        <f t="shared" si="3"/>
        <v>1</v>
      </c>
      <c r="P17" s="18"/>
      <c r="Q17" s="4">
        <f>IFERROR(Q16/Q10, 0)</f>
        <v>1</v>
      </c>
    </row>
    <row r="18" spans="1:17" x14ac:dyDescent="0.25">
      <c r="A18" s="5"/>
      <c r="B18" s="8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4" customFormat="1" x14ac:dyDescent="0.25">
      <c r="A19" s="8"/>
      <c r="B19" s="16" t="s">
        <v>291</v>
      </c>
      <c r="C19" s="8"/>
      <c r="D19" s="10">
        <f>SUM(OSRRefD20x_0)</f>
        <v>21135.86</v>
      </c>
      <c r="E19" s="10">
        <f>SUM(OSRRefD20x_1)</f>
        <v>57099.96</v>
      </c>
      <c r="F19" s="10">
        <f>SUM(OSRRefD20x_2)</f>
        <v>25727.17</v>
      </c>
      <c r="G19" s="10">
        <f>SUM(OSRRefD20x_3)</f>
        <v>144748.99</v>
      </c>
      <c r="H19" s="10">
        <f>SUM(OSRRefE20x_0)</f>
        <v>31539.906033615385</v>
      </c>
      <c r="I19" s="10">
        <f>SUM(OSRRefE20x_1)</f>
        <v>32729.148533615386</v>
      </c>
      <c r="J19" s="10">
        <f>SUM(OSRRefE20x_2)</f>
        <v>33726.490498519226</v>
      </c>
      <c r="K19" s="10">
        <f>SUM(OSRRefE20x_3)</f>
        <v>32552.256348815386</v>
      </c>
      <c r="L19" s="10">
        <f>SUM(OSRRefE20x_4)</f>
        <v>35409.583151315383</v>
      </c>
      <c r="M19" s="10">
        <f>SUM(OSRRefE20x_5)</f>
        <v>38929.954448519231</v>
      </c>
      <c r="N19" s="10">
        <f>SUM(OSRRefE20x_6)</f>
        <v>31696.217163815385</v>
      </c>
      <c r="O19" s="10">
        <f>SUM(OSRRefE20x_7)</f>
        <v>38922.340180865387</v>
      </c>
      <c r="Q19" s="10">
        <f>SUM(OSRRefG20x)</f>
        <v>524217.87635908072</v>
      </c>
    </row>
    <row r="20" spans="1:17" s="34" customFormat="1" collapsed="1" x14ac:dyDescent="0.25">
      <c r="A20" s="35"/>
      <c r="B20" s="15" t="str">
        <f>CONCATENATE("     ","*Benefits                                         ")</f>
        <v xml:space="preserve">     *Benefits                                         </v>
      </c>
      <c r="C20" s="15"/>
      <c r="D20" s="1">
        <f>SUM(OSRRefD21_0x_0)</f>
        <v>4207.82</v>
      </c>
      <c r="E20" s="1">
        <f>SUM(OSRRefD21_0x_1)</f>
        <v>4075.21</v>
      </c>
      <c r="F20" s="1">
        <f>SUM(OSRRefD21_0x_2)</f>
        <v>3893.62</v>
      </c>
      <c r="G20" s="1">
        <f>SUM(OSRRefD21_0x_3)</f>
        <v>4682.09</v>
      </c>
      <c r="H20" s="1">
        <f>SUM(OSRRefE21_0x_0)</f>
        <v>3643.6402643846163</v>
      </c>
      <c r="I20" s="1">
        <f>SUM(OSRRefE21_0x_1)</f>
        <v>3678.1327643846166</v>
      </c>
      <c r="J20" s="1">
        <f>SUM(OSRRefE21_0x_2)</f>
        <v>4072.9885369807685</v>
      </c>
      <c r="K20" s="1">
        <f>SUM(OSRRefE21_0x_3)</f>
        <v>3676.1897795846162</v>
      </c>
      <c r="L20" s="1">
        <f>SUM(OSRRefE21_0x_4)</f>
        <v>3669.0498320846164</v>
      </c>
      <c r="M20" s="1">
        <f>SUM(OSRRefE21_0x_5)</f>
        <v>4215.7874869807692</v>
      </c>
      <c r="N20" s="1">
        <f>SUM(OSRRefE21_0x_6)</f>
        <v>3633.3500945846163</v>
      </c>
      <c r="O20" s="1">
        <f>SUM(OSRRefE21_0x_7)</f>
        <v>4946.0766616346173</v>
      </c>
      <c r="Q20" s="2">
        <f>SUM(OSRRefD20_0x)+IFERROR(SUM(OSRRefE20_0x),0)</f>
        <v>48393.955420619233</v>
      </c>
    </row>
    <row r="21" spans="1:17" s="34" customFormat="1" hidden="1" outlineLevel="1" x14ac:dyDescent="0.25">
      <c r="A21" s="35"/>
      <c r="B21" s="13" t="str">
        <f>CONCATENATE("          ","6111", " - ","F.I.C.A.")</f>
        <v xml:space="preserve">          6111 - F.I.C.A.</v>
      </c>
      <c r="C21" s="15"/>
      <c r="D21" s="2">
        <v>1006.58</v>
      </c>
      <c r="E21" s="2">
        <v>1161.71</v>
      </c>
      <c r="F21" s="2">
        <v>977.97</v>
      </c>
      <c r="G21" s="2">
        <v>1375.38</v>
      </c>
      <c r="H21" s="2">
        <v>718.85158823076904</v>
      </c>
      <c r="I21" s="2">
        <v>718.85158823076904</v>
      </c>
      <c r="J21" s="2">
        <v>907.65624928846103</v>
      </c>
      <c r="K21" s="2">
        <v>726.12499943076909</v>
      </c>
      <c r="L21" s="2">
        <v>726.12499943076909</v>
      </c>
      <c r="M21" s="2">
        <v>907.65624928846103</v>
      </c>
      <c r="N21" s="2">
        <v>726.12499943076909</v>
      </c>
      <c r="O21" s="2">
        <v>1727.33140298077</v>
      </c>
      <c r="P21" s="9"/>
      <c r="Q21" s="2">
        <f>SUM(OSRRefD21_0_0x)+IFERROR(SUM(OSRRefE21_0_0x),0)</f>
        <v>11680.362076311538</v>
      </c>
    </row>
    <row r="22" spans="1:17" s="34" customFormat="1" hidden="1" outlineLevel="1" x14ac:dyDescent="0.25">
      <c r="A22" s="35"/>
      <c r="B22" s="13" t="str">
        <f>CONCATENATE("          ","6112", " - ","COMPENSATION INSURANCE")</f>
        <v xml:space="preserve">          6112 - COMPENSATION INSURANCE</v>
      </c>
      <c r="C22" s="15"/>
      <c r="D22" s="2">
        <v>77.87</v>
      </c>
      <c r="E22" s="2">
        <v>84.22</v>
      </c>
      <c r="F22" s="2">
        <v>82.4</v>
      </c>
      <c r="G22" s="2">
        <v>79.05</v>
      </c>
      <c r="H22" s="2">
        <v>311.134280769231</v>
      </c>
      <c r="I22" s="2">
        <v>323.62178076923101</v>
      </c>
      <c r="J22" s="2">
        <v>335.73358846153798</v>
      </c>
      <c r="K22" s="2">
        <v>320.28512076923101</v>
      </c>
      <c r="L22" s="2">
        <v>317.70020826923098</v>
      </c>
      <c r="M22" s="2">
        <v>387.43183846153903</v>
      </c>
      <c r="N22" s="2">
        <v>304.77564576923101</v>
      </c>
      <c r="O22" s="2">
        <v>417.55691826923101</v>
      </c>
      <c r="P22" s="9"/>
      <c r="Q22" s="2">
        <f>SUM(OSRRefD21_0_1x)+IFERROR(SUM(OSRRefE21_0_1x),0)</f>
        <v>3041.7793815384634</v>
      </c>
    </row>
    <row r="23" spans="1:17" s="34" customFormat="1" hidden="1" outlineLevel="1" x14ac:dyDescent="0.25">
      <c r="A23" s="35"/>
      <c r="B23" s="13" t="str">
        <f>CONCATENATE("          ","6113", " - ","GROUP INSURANCE")</f>
        <v xml:space="preserve">          6113 - GROUP INSURANCE</v>
      </c>
      <c r="C23" s="15"/>
      <c r="D23" s="2">
        <v>1230.45</v>
      </c>
      <c r="E23" s="2">
        <v>1230.45</v>
      </c>
      <c r="F23" s="2">
        <v>1250.75</v>
      </c>
      <c r="G23" s="2">
        <v>1230.45</v>
      </c>
      <c r="H23" s="2">
        <v>1025</v>
      </c>
      <c r="I23" s="2">
        <v>1025</v>
      </c>
      <c r="J23" s="2">
        <v>1025</v>
      </c>
      <c r="K23" s="2">
        <v>1025</v>
      </c>
      <c r="L23" s="2">
        <v>1025</v>
      </c>
      <c r="M23" s="2">
        <v>1025</v>
      </c>
      <c r="N23" s="2">
        <v>1025</v>
      </c>
      <c r="O23" s="2">
        <v>1025</v>
      </c>
      <c r="P23" s="9"/>
      <c r="Q23" s="2">
        <f>SUM(OSRRefD21_0_2x)+IFERROR(SUM(OSRRefE21_0_2x),0)</f>
        <v>13142.1</v>
      </c>
    </row>
    <row r="24" spans="1:17" s="34" customFormat="1" hidden="1" outlineLevel="1" x14ac:dyDescent="0.25">
      <c r="A24" s="35"/>
      <c r="B24" s="13" t="str">
        <f>CONCATENATE("          ","6114", " - ","STATE UNEMPLOYMENT INSURANCE")</f>
        <v xml:space="preserve">          6114 - STATE UNEMPLOYMENT INSURANCE</v>
      </c>
      <c r="C24" s="15"/>
      <c r="D24" s="2">
        <v>34.200000000000003</v>
      </c>
      <c r="E24" s="2">
        <v>39.200000000000003</v>
      </c>
      <c r="F24" s="2">
        <v>37.770000000000003</v>
      </c>
      <c r="G24" s="2">
        <v>35.130000000000003</v>
      </c>
      <c r="H24" s="2">
        <v>43.726979999999998</v>
      </c>
      <c r="I24" s="2">
        <v>45.48198</v>
      </c>
      <c r="J24" s="2">
        <v>47.184179999999998</v>
      </c>
      <c r="K24" s="2">
        <v>45.013044000000001</v>
      </c>
      <c r="L24" s="2">
        <v>44.649759000000003</v>
      </c>
      <c r="M24" s="2">
        <v>54.44988</v>
      </c>
      <c r="N24" s="2">
        <v>42.833334000000001</v>
      </c>
      <c r="O24" s="2">
        <v>58.683675000000001</v>
      </c>
      <c r="P24" s="9"/>
      <c r="Q24" s="2">
        <f>SUM(OSRRefD21_0_3x)+IFERROR(SUM(OSRRefE21_0_3x),0)</f>
        <v>528.32283200000006</v>
      </c>
    </row>
    <row r="25" spans="1:17" s="34" customFormat="1" hidden="1" outlineLevel="1" x14ac:dyDescent="0.25">
      <c r="A25" s="35"/>
      <c r="B25" s="13" t="str">
        <f>CONCATENATE("          ","6115", " - ","P.E.R.S.")</f>
        <v xml:space="preserve">          6115 - P.E.R.S.</v>
      </c>
      <c r="C25" s="15"/>
      <c r="D25" s="2">
        <v>939.44</v>
      </c>
      <c r="E25" s="2">
        <v>640.35</v>
      </c>
      <c r="F25" s="2">
        <v>640.35</v>
      </c>
      <c r="G25" s="2">
        <v>640.35</v>
      </c>
      <c r="H25" s="2">
        <v>560.123953846154</v>
      </c>
      <c r="I25" s="2">
        <v>560.123953846154</v>
      </c>
      <c r="J25" s="2">
        <v>700.15494230769207</v>
      </c>
      <c r="K25" s="2">
        <v>560.123953846154</v>
      </c>
      <c r="L25" s="2">
        <v>560.123953846154</v>
      </c>
      <c r="M25" s="2">
        <v>700.15494230769207</v>
      </c>
      <c r="N25" s="2">
        <v>560.123953846154</v>
      </c>
      <c r="O25" s="2">
        <v>560.123953846154</v>
      </c>
      <c r="P25" s="9"/>
      <c r="Q25" s="2">
        <f>SUM(OSRRefD21_0_4x)+IFERROR(SUM(OSRRefE21_0_4x),0)</f>
        <v>7621.5436076923079</v>
      </c>
    </row>
    <row r="26" spans="1:17" s="34" customFormat="1" hidden="1" outlineLevel="1" x14ac:dyDescent="0.25">
      <c r="A26" s="35"/>
      <c r="B26" s="13" t="str">
        <f>CONCATENATE("          ","6116", " - ","EDUCATIONAL BENEFITS")</f>
        <v xml:space="preserve">          6116 - EDUCATIONAL BENEFITS</v>
      </c>
      <c r="C26" s="15"/>
      <c r="D26" s="2"/>
      <c r="E26" s="2"/>
      <c r="F26" s="2"/>
      <c r="G26" s="2"/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4" customFormat="1" hidden="1" outlineLevel="1" x14ac:dyDescent="0.25">
      <c r="A27" s="35"/>
      <c r="B27" s="13" t="str">
        <f>CONCATENATE("          ","6117", " - ","RETIREMENT STAFF HOURLY")</f>
        <v xml:space="preserve">          6117 - RETIREMENT STAFF HOURLY</v>
      </c>
      <c r="C27" s="15"/>
      <c r="D27" s="2">
        <v>100</v>
      </c>
      <c r="E27" s="2">
        <v>100</v>
      </c>
      <c r="F27" s="2">
        <v>85.1</v>
      </c>
      <c r="G27" s="2">
        <v>92.8</v>
      </c>
      <c r="H27" s="2"/>
      <c r="I27" s="2"/>
      <c r="J27" s="2"/>
      <c r="K27" s="2"/>
      <c r="L27" s="2"/>
      <c r="M27" s="2"/>
      <c r="N27" s="2"/>
      <c r="O27" s="2"/>
      <c r="P27" s="9"/>
      <c r="Q27" s="2">
        <f>SUM(OSRRefD21_0_6x)+IFERROR(SUM(OSRRefE21_0_6x),0)</f>
        <v>377.90000000000003</v>
      </c>
    </row>
    <row r="28" spans="1:17" s="34" customFormat="1" hidden="1" outlineLevel="1" x14ac:dyDescent="0.25">
      <c r="A28" s="35"/>
      <c r="B28" s="13" t="str">
        <f>CONCATENATE("          ","6118", " - ","VACATION")</f>
        <v xml:space="preserve">          6118 - VACATION</v>
      </c>
      <c r="C28" s="15"/>
      <c r="D28" s="2">
        <v>520.02</v>
      </c>
      <c r="E28" s="2">
        <v>520.02</v>
      </c>
      <c r="F28" s="2">
        <v>520.02</v>
      </c>
      <c r="G28" s="2">
        <v>780.03</v>
      </c>
      <c r="H28" s="2">
        <v>195.39207692307698</v>
      </c>
      <c r="I28" s="2">
        <v>195.39207692307698</v>
      </c>
      <c r="J28" s="2">
        <v>244.24009615384603</v>
      </c>
      <c r="K28" s="2">
        <v>195.39207692307698</v>
      </c>
      <c r="L28" s="2">
        <v>195.39207692307698</v>
      </c>
      <c r="M28" s="2">
        <v>244.24009615384603</v>
      </c>
      <c r="N28" s="2">
        <v>195.39207692307698</v>
      </c>
      <c r="O28" s="2">
        <v>195.39207692307698</v>
      </c>
      <c r="P28" s="9"/>
      <c r="Q28" s="2">
        <f>SUM(OSRRefD21_0_7x)+IFERROR(SUM(OSRRefE21_0_7x),0)</f>
        <v>4000.9226538461539</v>
      </c>
    </row>
    <row r="29" spans="1:17" s="34" customFormat="1" hidden="1" outlineLevel="1" x14ac:dyDescent="0.25">
      <c r="A29" s="35"/>
      <c r="B29" s="13" t="str">
        <f>CONCATENATE("          ","6119", " - ","SICK LEAVE")</f>
        <v xml:space="preserve">          6119 - SICK LEAVE</v>
      </c>
      <c r="C29" s="15"/>
      <c r="D29" s="2">
        <v>299.26</v>
      </c>
      <c r="E29" s="2">
        <v>299.26</v>
      </c>
      <c r="F29" s="2">
        <v>299.26</v>
      </c>
      <c r="G29" s="2">
        <v>448.9</v>
      </c>
      <c r="H29" s="2">
        <v>439.41138461538497</v>
      </c>
      <c r="I29" s="2">
        <v>459.66138461538497</v>
      </c>
      <c r="J29" s="2">
        <v>463.01948076923094</v>
      </c>
      <c r="K29" s="2">
        <v>454.25058461538498</v>
      </c>
      <c r="L29" s="2">
        <v>450.05883461538497</v>
      </c>
      <c r="M29" s="2">
        <v>546.85448076923092</v>
      </c>
      <c r="N29" s="2">
        <v>429.10008461538496</v>
      </c>
      <c r="O29" s="2">
        <v>611.98863461538497</v>
      </c>
      <c r="P29" s="9"/>
      <c r="Q29" s="2">
        <f>SUM(OSRRefD21_0_8x)+IFERROR(SUM(OSRRefE21_0_8x),0)</f>
        <v>5201.0248692307714</v>
      </c>
    </row>
    <row r="30" spans="1:17" s="34" customFormat="1" hidden="1" outlineLevel="1" x14ac:dyDescent="0.25">
      <c r="A30" s="35"/>
      <c r="B30" s="13" t="str">
        <f>CONCATENATE("          ","6156", " - ","EMPLOYEE MEALS")</f>
        <v xml:space="preserve">          6156 - EMPLOYEE MEALS</v>
      </c>
      <c r="C30" s="15"/>
      <c r="D30" s="2"/>
      <c r="E30" s="2"/>
      <c r="F30" s="2"/>
      <c r="G30" s="2"/>
      <c r="H30" s="2">
        <v>350</v>
      </c>
      <c r="I30" s="2">
        <v>350</v>
      </c>
      <c r="J30" s="2">
        <v>350</v>
      </c>
      <c r="K30" s="2">
        <v>350</v>
      </c>
      <c r="L30" s="2">
        <v>350</v>
      </c>
      <c r="M30" s="2">
        <v>350</v>
      </c>
      <c r="N30" s="2">
        <v>350</v>
      </c>
      <c r="O30" s="2">
        <v>350</v>
      </c>
      <c r="P30" s="9"/>
      <c r="Q30" s="2">
        <f>SUM(OSRRefD21_0_9x)+IFERROR(SUM(OSRRefE21_0_9x),0)</f>
        <v>2800</v>
      </c>
    </row>
    <row r="31" spans="1:17" s="34" customFormat="1" collapsed="1" x14ac:dyDescent="0.25">
      <c r="A31" s="35"/>
      <c r="B31" s="15" t="str">
        <f>CONCATENATE("     ","*Payroll                                          ")</f>
        <v xml:space="preserve">     *Payroll                                          </v>
      </c>
      <c r="C31" s="15"/>
      <c r="D31" s="1">
        <f>SUM(OSRRefD21_1x_0)</f>
        <v>15605.18</v>
      </c>
      <c r="E31" s="1">
        <f>SUM(OSRRefD21_1x_1)</f>
        <v>16843.640000000003</v>
      </c>
      <c r="F31" s="1">
        <f>SUM(OSRRefD21_1x_2)</f>
        <v>13598.04</v>
      </c>
      <c r="G31" s="1">
        <f>SUM(OSRRefD21_1x_3)</f>
        <v>15690.42</v>
      </c>
      <c r="H31" s="1">
        <f>SUM(OSRRefE21_1x_0)</f>
        <v>16183.265769230769</v>
      </c>
      <c r="I31" s="1">
        <f>SUM(OSRRefE21_1x_1)</f>
        <v>16838.015769230769</v>
      </c>
      <c r="J31" s="1">
        <f>SUM(OSRRefE21_1x_2)</f>
        <v>17440.501961538459</v>
      </c>
      <c r="K31" s="1">
        <f>SUM(OSRRefE21_1x_3)</f>
        <v>16663.06656923077</v>
      </c>
      <c r="L31" s="1">
        <f>SUM(OSRRefE21_1x_4)</f>
        <v>16527.53331923077</v>
      </c>
      <c r="M31" s="1">
        <f>SUM(OSRRefE21_1x_5)</f>
        <v>20151.16696153846</v>
      </c>
      <c r="N31" s="1">
        <f>SUM(OSRRefE21_1x_6)</f>
        <v>15849.867069230768</v>
      </c>
      <c r="O31" s="1">
        <f>SUM(OSRRefE21_1x_7)</f>
        <v>21763.263519230772</v>
      </c>
      <c r="Q31" s="2">
        <f>SUM(OSRRefD20_1x)+IFERROR(SUM(OSRRefE20_1x),0)</f>
        <v>203153.96093846153</v>
      </c>
    </row>
    <row r="32" spans="1:17" s="34" customFormat="1" hidden="1" outlineLevel="1" x14ac:dyDescent="0.25">
      <c r="A32" s="35"/>
      <c r="B32" s="13" t="str">
        <f>CONCATENATE("          ","6001", " - ","ADMINISTRATIVE SALARIES")</f>
        <v xml:space="preserve">          6001 - ADMINISTRATIVE SALARIES</v>
      </c>
      <c r="C32" s="15"/>
      <c r="D32" s="2">
        <v>5257.72</v>
      </c>
      <c r="E32" s="2">
        <v>4205.72</v>
      </c>
      <c r="F32" s="2">
        <v>4205.72</v>
      </c>
      <c r="G32" s="2">
        <v>4205.1400000000003</v>
      </c>
      <c r="H32" s="2">
        <v>4019.23076923077</v>
      </c>
      <c r="I32" s="2">
        <v>4019.23076923077</v>
      </c>
      <c r="J32" s="2">
        <v>5024.0384615384601</v>
      </c>
      <c r="K32" s="2">
        <v>4019.23076923077</v>
      </c>
      <c r="L32" s="2">
        <v>4019.23076923077</v>
      </c>
      <c r="M32" s="2">
        <v>5024.0384615384601</v>
      </c>
      <c r="N32" s="2">
        <v>4019.23076923077</v>
      </c>
      <c r="O32" s="2">
        <v>4019.23076923077</v>
      </c>
      <c r="P32" s="9"/>
      <c r="Q32" s="2">
        <f>SUM(OSRRefD21_1_0x)+IFERROR(SUM(OSRRefE21_1_0x),0)</f>
        <v>52037.761538461535</v>
      </c>
    </row>
    <row r="33" spans="1:17" s="34" customFormat="1" hidden="1" outlineLevel="1" x14ac:dyDescent="0.25">
      <c r="A33" s="35"/>
      <c r="B33" s="13" t="str">
        <f>CONCATENATE("          ","6002", " - ","STAFF SALARIES")</f>
        <v xml:space="preserve">          6002 - STAFF SALARIES</v>
      </c>
      <c r="C33" s="15"/>
      <c r="D33" s="2">
        <v>2054.0700000000002</v>
      </c>
      <c r="E33" s="2">
        <v>2625.07</v>
      </c>
      <c r="F33" s="2">
        <v>2282.3000000000002</v>
      </c>
      <c r="G33" s="2">
        <v>2852.45</v>
      </c>
      <c r="H33" s="2">
        <v>2168.1849999999999</v>
      </c>
      <c r="I33" s="2">
        <v>2168.1849999999999</v>
      </c>
      <c r="J33" s="2">
        <v>2710.2312499999998</v>
      </c>
      <c r="K33" s="2">
        <v>2168.1849999999999</v>
      </c>
      <c r="L33" s="2">
        <v>2168.1849999999999</v>
      </c>
      <c r="M33" s="2">
        <v>2710.2312499999998</v>
      </c>
      <c r="N33" s="2">
        <v>2168.1849999999999</v>
      </c>
      <c r="O33" s="2">
        <v>2168.1849999999999</v>
      </c>
      <c r="P33" s="9"/>
      <c r="Q33" s="2">
        <f>SUM(OSRRefD21_1_1x)+IFERROR(SUM(OSRRefE21_1_1x),0)</f>
        <v>28243.462499999998</v>
      </c>
    </row>
    <row r="34" spans="1:17" s="34" customFormat="1" hidden="1" outlineLevel="1" x14ac:dyDescent="0.25">
      <c r="A34" s="35"/>
      <c r="B34" s="13" t="str">
        <f>CONCATENATE("          ","6003", " - ","STAFF HOURLY-9 MONTH")</f>
        <v xml:space="preserve">          6003 - STAFF HOURLY-9 MONTH</v>
      </c>
      <c r="C34" s="15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4" customFormat="1" hidden="1" outlineLevel="1" x14ac:dyDescent="0.25">
      <c r="A35" s="35"/>
      <c r="B35" s="13" t="str">
        <f>CONCATENATE("          ","6004", " - ","STAFF HOURLY")</f>
        <v xml:space="preserve">          6004 - STAFF HOURLY</v>
      </c>
      <c r="C35" s="15"/>
      <c r="D35" s="2"/>
      <c r="E35" s="2"/>
      <c r="F35" s="2"/>
      <c r="G35" s="2"/>
      <c r="H35" s="2">
        <v>2793.6</v>
      </c>
      <c r="I35" s="2">
        <v>2793.6</v>
      </c>
      <c r="J35" s="2">
        <v>3607.2359999999999</v>
      </c>
      <c r="K35" s="2">
        <v>2885.7887999999998</v>
      </c>
      <c r="L35" s="2">
        <v>2885.7887999999998</v>
      </c>
      <c r="M35" s="2">
        <v>3607.2359999999999</v>
      </c>
      <c r="N35" s="2">
        <v>2885.7887999999998</v>
      </c>
      <c r="O35" s="2">
        <v>5410.8540000000003</v>
      </c>
      <c r="P35" s="9"/>
      <c r="Q35" s="2">
        <f>SUM(OSRRefD21_1_3x)+IFERROR(SUM(OSRRefE21_1_3x),0)</f>
        <v>26869.892399999997</v>
      </c>
    </row>
    <row r="36" spans="1:17" s="34" customFormat="1" hidden="1" outlineLevel="1" x14ac:dyDescent="0.25">
      <c r="A36" s="35"/>
      <c r="B36" s="13" t="str">
        <f>CONCATENATE("          ","6005", " - ","TEMPORARY WAGES-HOURLY")</f>
        <v xml:space="preserve">          6005 - TEMPORARY WAGES-HOURLY</v>
      </c>
      <c r="C36" s="15"/>
      <c r="D36" s="2">
        <v>6737.39</v>
      </c>
      <c r="E36" s="2">
        <v>7904.97</v>
      </c>
      <c r="F36" s="2">
        <v>6363.16</v>
      </c>
      <c r="G36" s="2">
        <v>8347.7999999999993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SUM(OSRRefD21_1_4x)+IFERROR(SUM(OSRRefE21_1_4x),0)</f>
        <v>29353.32</v>
      </c>
    </row>
    <row r="37" spans="1:17" s="34" customFormat="1" hidden="1" outlineLevel="1" x14ac:dyDescent="0.25">
      <c r="A37" s="35"/>
      <c r="B37" s="13" t="str">
        <f>CONCATENATE("          ","6006", " - ","TEMPORARY PART TIME")</f>
        <v xml:space="preserve">          6006 - TEMPORARY PART TIME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4" customFormat="1" hidden="1" outlineLevel="1" x14ac:dyDescent="0.25">
      <c r="A38" s="35"/>
      <c r="B38" s="13" t="str">
        <f>CONCATENATE("          ","6007", " - ","STUDENT HOURLY")</f>
        <v xml:space="preserve">          6007 - STUDENT HOURLY</v>
      </c>
      <c r="C38" s="15"/>
      <c r="D38" s="2">
        <v>1556</v>
      </c>
      <c r="E38" s="2">
        <v>2107.88</v>
      </c>
      <c r="F38" s="2">
        <v>-96.5</v>
      </c>
      <c r="G38" s="2">
        <v>-756.15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10164.99375</v>
      </c>
      <c r="P38" s="9"/>
      <c r="Q38" s="2">
        <f>SUM(OSRRefD21_1_6x)+IFERROR(SUM(OSRRefE21_1_6x),0)</f>
        <v>12976.223749999999</v>
      </c>
    </row>
    <row r="39" spans="1:17" s="34" customFormat="1" hidden="1" outlineLevel="1" x14ac:dyDescent="0.25">
      <c r="A39" s="35"/>
      <c r="B39" s="13" t="str">
        <f>CONCATENATE("          ","6008", " - ","STUDENT HOURLY-FICA EXEMPT")</f>
        <v xml:space="preserve">          6008 - STUDENT HOURLY-FICA EXEMPT</v>
      </c>
      <c r="C39" s="15"/>
      <c r="D39" s="2"/>
      <c r="E39" s="2"/>
      <c r="F39" s="2">
        <v>843.36</v>
      </c>
      <c r="G39" s="2">
        <v>1041.18</v>
      </c>
      <c r="H39" s="2">
        <v>7202.25</v>
      </c>
      <c r="I39" s="2">
        <v>7857</v>
      </c>
      <c r="J39" s="2">
        <v>6098.9962500000001</v>
      </c>
      <c r="K39" s="2">
        <v>7589.8620000000001</v>
      </c>
      <c r="L39" s="2">
        <v>7454.3287500000006</v>
      </c>
      <c r="M39" s="2">
        <v>8809.6612499999992</v>
      </c>
      <c r="N39" s="2">
        <v>6776.6624999999995</v>
      </c>
      <c r="O39" s="2">
        <v>0</v>
      </c>
      <c r="P39" s="9"/>
      <c r="Q39" s="2">
        <f>SUM(OSRRefD21_1_7x)+IFERROR(SUM(OSRRefE21_1_7x),0)</f>
        <v>53673.300750000002</v>
      </c>
    </row>
    <row r="40" spans="1:17" s="34" customFormat="1" hidden="1" outlineLevel="1" x14ac:dyDescent="0.25">
      <c r="A40" s="35"/>
      <c r="B40" s="13" t="str">
        <f>CONCATENATE("          ","6009", " - ","TEMPORARY-SEASONAL")</f>
        <v xml:space="preserve">          6009 - TEMPORARY-SEASONAL</v>
      </c>
      <c r="C40" s="15"/>
      <c r="D40" s="2"/>
      <c r="E40" s="2"/>
      <c r="F40" s="2"/>
      <c r="G40" s="2"/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4" customFormat="1" hidden="1" outlineLevel="1" x14ac:dyDescent="0.25">
      <c r="A41" s="35"/>
      <c r="B41" s="13" t="str">
        <f>CONCATENATE("          ","6010", " - ","GRATUITY")</f>
        <v xml:space="preserve">          6010 - GRATUITY</v>
      </c>
      <c r="C41" s="15"/>
      <c r="D41" s="2"/>
      <c r="E41" s="2"/>
      <c r="F41" s="2"/>
      <c r="G41" s="2"/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4" customFormat="1" collapsed="1" x14ac:dyDescent="0.25">
      <c r="A42" s="35"/>
      <c r="B42" s="15" t="str">
        <f>CONCATENATE("     ","Advertising/Promo                                 ")</f>
        <v xml:space="preserve">     Advertising/Promo                                 </v>
      </c>
      <c r="C42" s="15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SUM(OSRRefE21_2x_0)</f>
        <v>100</v>
      </c>
      <c r="I42" s="1">
        <f>SUM(OSRRefE21_2x_1)</f>
        <v>100</v>
      </c>
      <c r="J42" s="1">
        <f>SUM(OSRRefE21_2x_2)</f>
        <v>100</v>
      </c>
      <c r="K42" s="1">
        <f>SUM(OSRRefE21_2x_3)</f>
        <v>100</v>
      </c>
      <c r="L42" s="1">
        <f>SUM(OSRRefE21_2x_4)</f>
        <v>100</v>
      </c>
      <c r="M42" s="1">
        <f>SUM(OSRRefE21_2x_5)</f>
        <v>100</v>
      </c>
      <c r="N42" s="1">
        <f>SUM(OSRRefE21_2x_6)</f>
        <v>100</v>
      </c>
      <c r="O42" s="1">
        <f>SUM(OSRRefE21_2x_7)</f>
        <v>100</v>
      </c>
      <c r="Q42" s="2">
        <f>SUM(OSRRefD20_2x)+IFERROR(SUM(OSRRefE20_2x),0)</f>
        <v>800</v>
      </c>
    </row>
    <row r="43" spans="1:17" s="34" customFormat="1" hidden="1" outlineLevel="1" x14ac:dyDescent="0.25">
      <c r="A43" s="35"/>
      <c r="B43" s="13" t="str">
        <f>CONCATENATE("          ","6362", " - ","ADVERTISING EXPENSE")</f>
        <v xml:space="preserve">          6362 - ADVERTISING EXPENSE</v>
      </c>
      <c r="C43" s="15"/>
      <c r="D43" s="2"/>
      <c r="E43" s="2"/>
      <c r="F43" s="2"/>
      <c r="G43" s="2"/>
      <c r="H43" s="2">
        <v>100</v>
      </c>
      <c r="I43" s="2">
        <v>100</v>
      </c>
      <c r="J43" s="2">
        <v>100</v>
      </c>
      <c r="K43" s="2">
        <v>100</v>
      </c>
      <c r="L43" s="2">
        <v>100</v>
      </c>
      <c r="M43" s="2">
        <v>100</v>
      </c>
      <c r="N43" s="2">
        <v>100</v>
      </c>
      <c r="O43" s="2">
        <v>100</v>
      </c>
      <c r="P43" s="9"/>
      <c r="Q43" s="2">
        <f>SUM(OSRRefD21_2_0x)+IFERROR(SUM(OSRRefE21_2_0x),0)</f>
        <v>800</v>
      </c>
    </row>
    <row r="44" spans="1:17" s="34" customFormat="1" collapsed="1" x14ac:dyDescent="0.25">
      <c r="A44" s="35"/>
      <c r="B44" s="15" t="str">
        <f>CONCATENATE("     ","Bank/card Fees                                    ")</f>
        <v xml:space="preserve">     Bank/card Fees                                    </v>
      </c>
      <c r="C44" s="15"/>
      <c r="D44" s="1">
        <f>SUM(OSRRefD21_3x_0)</f>
        <v>246.33</v>
      </c>
      <c r="E44" s="1">
        <f>SUM(OSRRefD21_3x_1)</f>
        <v>124.1</v>
      </c>
      <c r="F44" s="1">
        <f>SUM(OSRRefD21_3x_2)</f>
        <v>94</v>
      </c>
      <c r="G44" s="1">
        <f>SUM(OSRRefD21_3x_3)</f>
        <v>55.04</v>
      </c>
      <c r="H44" s="1">
        <f>SUM(OSRRefE21_3x_0)</f>
        <v>1500</v>
      </c>
      <c r="I44" s="1">
        <f>SUM(OSRRefE21_3x_1)</f>
        <v>2000</v>
      </c>
      <c r="J44" s="1">
        <f>SUM(OSRRefE21_3x_2)</f>
        <v>2000</v>
      </c>
      <c r="K44" s="1">
        <f>SUM(OSRRefE21_3x_3)</f>
        <v>2000</v>
      </c>
      <c r="L44" s="1">
        <f>SUM(OSRRefE21_3x_4)</f>
        <v>2000</v>
      </c>
      <c r="M44" s="1">
        <f>SUM(OSRRefE21_3x_5)</f>
        <v>2000</v>
      </c>
      <c r="N44" s="1">
        <f>SUM(OSRRefE21_3x_6)</f>
        <v>2000</v>
      </c>
      <c r="O44" s="1">
        <f>SUM(OSRRefE21_3x_7)</f>
        <v>2000</v>
      </c>
      <c r="Q44" s="2">
        <f>SUM(OSRRefD20_3x)+IFERROR(SUM(OSRRefE20_3x),0)</f>
        <v>16019.47</v>
      </c>
    </row>
    <row r="45" spans="1:17" s="34" customFormat="1" hidden="1" outlineLevel="1" x14ac:dyDescent="0.25">
      <c r="A45" s="35"/>
      <c r="B45" s="13" t="str">
        <f>CONCATENATE("          ","6381", " - ","BANK/CREDIT CARD FEES")</f>
        <v xml:space="preserve">          6381 - BANK/CREDIT CARD FEES</v>
      </c>
      <c r="C45" s="15"/>
      <c r="D45" s="2">
        <v>246.33</v>
      </c>
      <c r="E45" s="2">
        <v>124.1</v>
      </c>
      <c r="F45" s="2">
        <v>94</v>
      </c>
      <c r="G45" s="2">
        <v>55.04</v>
      </c>
      <c r="H45" s="2">
        <v>1500</v>
      </c>
      <c r="I45" s="2">
        <v>2000</v>
      </c>
      <c r="J45" s="2">
        <v>2000</v>
      </c>
      <c r="K45" s="2">
        <v>2000</v>
      </c>
      <c r="L45" s="2">
        <v>2000</v>
      </c>
      <c r="M45" s="2">
        <v>2000</v>
      </c>
      <c r="N45" s="2">
        <v>2000</v>
      </c>
      <c r="O45" s="2">
        <v>2000</v>
      </c>
      <c r="P45" s="9"/>
      <c r="Q45" s="2">
        <f>SUM(OSRRefD21_3_0x)+IFERROR(SUM(OSRRefE21_3_0x),0)</f>
        <v>16019.47</v>
      </c>
    </row>
    <row r="46" spans="1:17" s="34" customFormat="1" collapsed="1" x14ac:dyDescent="0.25">
      <c r="A46" s="35"/>
      <c r="B46" s="15" t="str">
        <f>CONCATENATE("     ","Employees' Appreciation                           ")</f>
        <v xml:space="preserve">     Employees' Appreciation                           </v>
      </c>
      <c r="C46" s="15"/>
      <c r="D46" s="1">
        <f>SUM(OSRRefD21_4x_0)</f>
        <v>0</v>
      </c>
      <c r="E46" s="1">
        <f>SUM(OSRRefD21_4x_1)</f>
        <v>0</v>
      </c>
      <c r="F46" s="1">
        <f>SUM(OSRRefD21_4x_2)</f>
        <v>0</v>
      </c>
      <c r="G46" s="1">
        <f>SUM(OSRRefD21_4x_3)</f>
        <v>0</v>
      </c>
      <c r="H46" s="1">
        <f>SUM(OSRRefE21_4x_0)</f>
        <v>20</v>
      </c>
      <c r="I46" s="1">
        <f>SUM(OSRRefE21_4x_1)</f>
        <v>20</v>
      </c>
      <c r="J46" s="1">
        <f>SUM(OSRRefE21_4x_2)</f>
        <v>20</v>
      </c>
      <c r="K46" s="1">
        <f>SUM(OSRRefE21_4x_3)</f>
        <v>20</v>
      </c>
      <c r="L46" s="1">
        <f>SUM(OSRRefE21_4x_4)</f>
        <v>20</v>
      </c>
      <c r="M46" s="1">
        <f>SUM(OSRRefE21_4x_5)</f>
        <v>20</v>
      </c>
      <c r="N46" s="1">
        <f>SUM(OSRRefE21_4x_6)</f>
        <v>20</v>
      </c>
      <c r="O46" s="1">
        <f>SUM(OSRRefE21_4x_7)</f>
        <v>20</v>
      </c>
      <c r="Q46" s="2">
        <f>SUM(OSRRefD20_4x)+IFERROR(SUM(OSRRefE20_4x),0)</f>
        <v>160</v>
      </c>
    </row>
    <row r="47" spans="1:17" s="34" customFormat="1" hidden="1" outlineLevel="1" x14ac:dyDescent="0.25">
      <c r="A47" s="35"/>
      <c r="B47" s="13" t="str">
        <f>CONCATENATE("          ","6277", " - ","EMPLOYEE APPRECIATION")</f>
        <v xml:space="preserve">          6277 - EMPLOYEE APPRECIATION</v>
      </c>
      <c r="C47" s="15"/>
      <c r="D47" s="2"/>
      <c r="E47" s="2"/>
      <c r="F47" s="2"/>
      <c r="G47" s="2"/>
      <c r="H47" s="2">
        <v>20</v>
      </c>
      <c r="I47" s="2">
        <v>20</v>
      </c>
      <c r="J47" s="2">
        <v>20</v>
      </c>
      <c r="K47" s="2">
        <v>20</v>
      </c>
      <c r="L47" s="2">
        <v>20</v>
      </c>
      <c r="M47" s="2">
        <v>20</v>
      </c>
      <c r="N47" s="2">
        <v>20</v>
      </c>
      <c r="O47" s="2">
        <v>20</v>
      </c>
      <c r="P47" s="9"/>
      <c r="Q47" s="2">
        <f>SUM(OSRRefD21_4_0x)+IFERROR(SUM(OSRRefE21_4_0x),0)</f>
        <v>160</v>
      </c>
    </row>
    <row r="48" spans="1:17" s="34" customFormat="1" collapsed="1" x14ac:dyDescent="0.25">
      <c r="A48" s="35"/>
      <c r="B48" s="15" t="str">
        <f>CONCATENATE("     ","Freight out/Postage                               ")</f>
        <v xml:space="preserve">     Freight out/Postage                               </v>
      </c>
      <c r="C48" s="15"/>
      <c r="D48" s="1">
        <f>SUM(OSRRefD21_5x_0)</f>
        <v>0</v>
      </c>
      <c r="E48" s="1">
        <f>SUM(OSRRefD21_5x_1)</f>
        <v>0.28999999999999998</v>
      </c>
      <c r="F48" s="1">
        <f>SUM(OSRRefD21_5x_2)</f>
        <v>0.5</v>
      </c>
      <c r="G48" s="1">
        <f>SUM(OSRRefD21_5x_3)</f>
        <v>1.33</v>
      </c>
      <c r="H48" s="1">
        <f>SUM(OSRRefE21_5x_0)</f>
        <v>10</v>
      </c>
      <c r="I48" s="1">
        <f>SUM(OSRRefE21_5x_1)</f>
        <v>10</v>
      </c>
      <c r="J48" s="1">
        <f>SUM(OSRRefE21_5x_2)</f>
        <v>10</v>
      </c>
      <c r="K48" s="1">
        <f>SUM(OSRRefE21_5x_3)</f>
        <v>10</v>
      </c>
      <c r="L48" s="1">
        <f>SUM(OSRRefE21_5x_4)</f>
        <v>10</v>
      </c>
      <c r="M48" s="1">
        <f>SUM(OSRRefE21_5x_5)</f>
        <v>10</v>
      </c>
      <c r="N48" s="1">
        <f>SUM(OSRRefE21_5x_6)</f>
        <v>10</v>
      </c>
      <c r="O48" s="1">
        <f>SUM(OSRRefE21_5x_7)</f>
        <v>10</v>
      </c>
      <c r="Q48" s="2">
        <f>SUM(OSRRefD20_5x)+IFERROR(SUM(OSRRefE20_5x),0)</f>
        <v>82.12</v>
      </c>
    </row>
    <row r="49" spans="1:17" s="34" customFormat="1" hidden="1" outlineLevel="1" x14ac:dyDescent="0.25">
      <c r="A49" s="35"/>
      <c r="B49" s="13" t="str">
        <f>CONCATENATE("          ","6305", " - ","FREIGHT OUT")</f>
        <v xml:space="preserve">          6305 - FREIGHT OUT</v>
      </c>
      <c r="C49" s="15"/>
      <c r="D49" s="2"/>
      <c r="E49" s="2">
        <v>0.28999999999999998</v>
      </c>
      <c r="F49" s="2"/>
      <c r="G49" s="2">
        <v>1.33</v>
      </c>
      <c r="H49" s="2"/>
      <c r="I49" s="2"/>
      <c r="J49" s="2"/>
      <c r="K49" s="2"/>
      <c r="L49" s="2"/>
      <c r="M49" s="2"/>
      <c r="N49" s="2"/>
      <c r="O49" s="2"/>
      <c r="P49" s="9"/>
      <c r="Q49" s="2">
        <f>SUM(OSRRefD21_5_0x)+IFERROR(SUM(OSRRefE21_5_0x),0)</f>
        <v>1.62</v>
      </c>
    </row>
    <row r="50" spans="1:17" s="34" customFormat="1" hidden="1" outlineLevel="1" x14ac:dyDescent="0.25">
      <c r="A50" s="35"/>
      <c r="B50" s="13" t="str">
        <f>CONCATENATE("          ","6307", " - ","POSTAGE")</f>
        <v xml:space="preserve">          6307 - POSTAGE</v>
      </c>
      <c r="C50" s="15"/>
      <c r="D50" s="2"/>
      <c r="E50" s="2"/>
      <c r="F50" s="2">
        <v>0.5</v>
      </c>
      <c r="G50" s="2"/>
      <c r="H50" s="2">
        <v>10</v>
      </c>
      <c r="I50" s="2">
        <v>10</v>
      </c>
      <c r="J50" s="2">
        <v>10</v>
      </c>
      <c r="K50" s="2">
        <v>10</v>
      </c>
      <c r="L50" s="2">
        <v>10</v>
      </c>
      <c r="M50" s="2">
        <v>10</v>
      </c>
      <c r="N50" s="2">
        <v>10</v>
      </c>
      <c r="O50" s="2">
        <v>10</v>
      </c>
      <c r="P50" s="9"/>
      <c r="Q50" s="2">
        <f>SUM(OSRRefD21_5_1x)+IFERROR(SUM(OSRRefE21_5_1x),0)</f>
        <v>80.5</v>
      </c>
    </row>
    <row r="51" spans="1:17" s="34" customFormat="1" collapsed="1" x14ac:dyDescent="0.25">
      <c r="A51" s="35"/>
      <c r="B51" s="15" t="str">
        <f>CONCATENATE("     ","General                                           ")</f>
        <v xml:space="preserve">     General                                           </v>
      </c>
      <c r="C51" s="15"/>
      <c r="D51" s="1">
        <f>SUM(OSRRefD21_6x_0)</f>
        <v>0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SUM(OSRRefE21_6x_0)</f>
        <v>50</v>
      </c>
      <c r="I51" s="1">
        <f>SUM(OSRRefE21_6x_1)</f>
        <v>50</v>
      </c>
      <c r="J51" s="1">
        <f>SUM(OSRRefE21_6x_2)</f>
        <v>50</v>
      </c>
      <c r="K51" s="1">
        <f>SUM(OSRRefE21_6x_3)</f>
        <v>50</v>
      </c>
      <c r="L51" s="1">
        <f>SUM(OSRRefE21_6x_4)</f>
        <v>50</v>
      </c>
      <c r="M51" s="1">
        <f>SUM(OSRRefE21_6x_5)</f>
        <v>50</v>
      </c>
      <c r="N51" s="1">
        <f>SUM(OSRRefE21_6x_6)</f>
        <v>50</v>
      </c>
      <c r="O51" s="1">
        <f>SUM(OSRRefE21_6x_7)</f>
        <v>50</v>
      </c>
      <c r="Q51" s="2">
        <f>SUM(OSRRefD20_6x)+IFERROR(SUM(OSRRefE20_6x),0)</f>
        <v>400</v>
      </c>
    </row>
    <row r="52" spans="1:17" s="34" customFormat="1" hidden="1" outlineLevel="1" x14ac:dyDescent="0.25">
      <c r="A52" s="35"/>
      <c r="B52" s="13" t="str">
        <f>CONCATENATE("          ","6279", " - ","GENERAL EXPENSE")</f>
        <v xml:space="preserve">          6279 - GENERAL EXPENSE</v>
      </c>
      <c r="C52" s="15"/>
      <c r="D52" s="2"/>
      <c r="E52" s="2"/>
      <c r="F52" s="2"/>
      <c r="G52" s="2"/>
      <c r="H52" s="2">
        <v>50</v>
      </c>
      <c r="I52" s="2">
        <v>50</v>
      </c>
      <c r="J52" s="2">
        <v>50</v>
      </c>
      <c r="K52" s="2">
        <v>50</v>
      </c>
      <c r="L52" s="2">
        <v>50</v>
      </c>
      <c r="M52" s="2">
        <v>50</v>
      </c>
      <c r="N52" s="2">
        <v>50</v>
      </c>
      <c r="O52" s="2">
        <v>50</v>
      </c>
      <c r="P52" s="9"/>
      <c r="Q52" s="2">
        <f>SUM(OSRRefD21_6_0x)+IFERROR(SUM(OSRRefE21_6_0x),0)</f>
        <v>400</v>
      </c>
    </row>
    <row r="53" spans="1:17" s="34" customFormat="1" collapsed="1" x14ac:dyDescent="0.25">
      <c r="A53" s="35"/>
      <c r="B53" s="15" t="str">
        <f>CONCATENATE("     ","Insurance                                         ")</f>
        <v xml:space="preserve">     Insurance                                         </v>
      </c>
      <c r="C53" s="15"/>
      <c r="D53" s="1">
        <f>SUM(OSRRefD21_7x_0)</f>
        <v>29.01</v>
      </c>
      <c r="E53" s="1">
        <f>SUM(OSRRefD21_7x_1)</f>
        <v>29.01</v>
      </c>
      <c r="F53" s="1">
        <f>SUM(OSRRefD21_7x_2)</f>
        <v>29.01</v>
      </c>
      <c r="G53" s="1">
        <f>SUM(OSRRefD21_7x_3)</f>
        <v>29.01</v>
      </c>
      <c r="H53" s="1">
        <f>SUM(OSRRefE21_7x_0)</f>
        <v>33</v>
      </c>
      <c r="I53" s="1">
        <f>SUM(OSRRefE21_7x_1)</f>
        <v>33</v>
      </c>
      <c r="J53" s="1">
        <f>SUM(OSRRefE21_7x_2)</f>
        <v>33</v>
      </c>
      <c r="K53" s="1">
        <f>SUM(OSRRefE21_7x_3)</f>
        <v>33</v>
      </c>
      <c r="L53" s="1">
        <f>SUM(OSRRefE21_7x_4)</f>
        <v>33</v>
      </c>
      <c r="M53" s="1">
        <f>SUM(OSRRefE21_7x_5)</f>
        <v>33</v>
      </c>
      <c r="N53" s="1">
        <f>SUM(OSRRefE21_7x_6)</f>
        <v>33</v>
      </c>
      <c r="O53" s="1">
        <f>SUM(OSRRefE21_7x_7)</f>
        <v>33</v>
      </c>
      <c r="Q53" s="2">
        <f>SUM(OSRRefD20_7x)+IFERROR(SUM(OSRRefE20_7x),0)</f>
        <v>380.04</v>
      </c>
    </row>
    <row r="54" spans="1:17" s="34" customFormat="1" hidden="1" outlineLevel="1" x14ac:dyDescent="0.25">
      <c r="A54" s="35"/>
      <c r="B54" s="13" t="str">
        <f>CONCATENATE("          ","6314", " - ","LIABILITY INSURANCE")</f>
        <v xml:space="preserve">          6314 - LIABILITY INSURANCE</v>
      </c>
      <c r="C54" s="15"/>
      <c r="D54" s="2">
        <v>29.01</v>
      </c>
      <c r="E54" s="2">
        <v>29.01</v>
      </c>
      <c r="F54" s="2">
        <v>29.01</v>
      </c>
      <c r="G54" s="2">
        <v>29.01</v>
      </c>
      <c r="H54" s="2">
        <v>33</v>
      </c>
      <c r="I54" s="2">
        <v>33</v>
      </c>
      <c r="J54" s="2">
        <v>33</v>
      </c>
      <c r="K54" s="2">
        <v>33</v>
      </c>
      <c r="L54" s="2">
        <v>33</v>
      </c>
      <c r="M54" s="2">
        <v>33</v>
      </c>
      <c r="N54" s="2">
        <v>33</v>
      </c>
      <c r="O54" s="2">
        <v>33</v>
      </c>
      <c r="P54" s="9"/>
      <c r="Q54" s="2">
        <f>SUM(OSRRefD21_7_0x)+IFERROR(SUM(OSRRefE21_7_0x),0)</f>
        <v>380.04</v>
      </c>
    </row>
    <row r="55" spans="1:17" s="34" customFormat="1" collapsed="1" x14ac:dyDescent="0.25">
      <c r="A55" s="35"/>
      <c r="B55" s="15" t="str">
        <f>CONCATENATE("     ","Rent                                              ")</f>
        <v xml:space="preserve">     Rent                                              </v>
      </c>
      <c r="C55" s="15"/>
      <c r="D55" s="1">
        <f>SUM(OSRRefD21_8x_0)</f>
        <v>800</v>
      </c>
      <c r="E55" s="1">
        <f>SUM(OSRRefD21_8x_1)</f>
        <v>800</v>
      </c>
      <c r="F55" s="1">
        <f>SUM(OSRRefD21_8x_2)</f>
        <v>800</v>
      </c>
      <c r="G55" s="1">
        <f>SUM(OSRRefD21_8x_3)</f>
        <v>800</v>
      </c>
      <c r="H55" s="1">
        <f>SUM(OSRRefE21_8x_0)</f>
        <v>800</v>
      </c>
      <c r="I55" s="1">
        <f>SUM(OSRRefE21_8x_1)</f>
        <v>800</v>
      </c>
      <c r="J55" s="1">
        <f>SUM(OSRRefE21_8x_2)</f>
        <v>800</v>
      </c>
      <c r="K55" s="1">
        <f>SUM(OSRRefE21_8x_3)</f>
        <v>800</v>
      </c>
      <c r="L55" s="1">
        <f>SUM(OSRRefE21_8x_4)</f>
        <v>800</v>
      </c>
      <c r="M55" s="1">
        <f>SUM(OSRRefE21_8x_5)</f>
        <v>800</v>
      </c>
      <c r="N55" s="1">
        <f>SUM(OSRRefE21_8x_6)</f>
        <v>800</v>
      </c>
      <c r="O55" s="1">
        <f>SUM(OSRRefE21_8x_7)</f>
        <v>800</v>
      </c>
      <c r="Q55" s="2">
        <f>SUM(OSRRefD20_8x)+IFERROR(SUM(OSRRefE20_8x),0)</f>
        <v>9600</v>
      </c>
    </row>
    <row r="56" spans="1:17" s="34" customFormat="1" hidden="1" outlineLevel="1" x14ac:dyDescent="0.25">
      <c r="A56" s="35"/>
      <c r="B56" s="13" t="str">
        <f>CONCATENATE("          ","6273", " - ","RENT")</f>
        <v xml:space="preserve">          6273 - RENT</v>
      </c>
      <c r="C56" s="15"/>
      <c r="D56" s="2">
        <v>800</v>
      </c>
      <c r="E56" s="2">
        <v>800</v>
      </c>
      <c r="F56" s="2">
        <v>800</v>
      </c>
      <c r="G56" s="2">
        <v>800</v>
      </c>
      <c r="H56" s="2">
        <v>800</v>
      </c>
      <c r="I56" s="2">
        <v>800</v>
      </c>
      <c r="J56" s="2">
        <v>800</v>
      </c>
      <c r="K56" s="2">
        <v>800</v>
      </c>
      <c r="L56" s="2">
        <v>800</v>
      </c>
      <c r="M56" s="2">
        <v>800</v>
      </c>
      <c r="N56" s="2">
        <v>800</v>
      </c>
      <c r="O56" s="2">
        <v>800</v>
      </c>
      <c r="P56" s="9"/>
      <c r="Q56" s="2">
        <f>SUM(OSRRefD21_8_0x)+IFERROR(SUM(OSRRefE21_8_0x),0)</f>
        <v>9600</v>
      </c>
    </row>
    <row r="57" spans="1:17" s="34" customFormat="1" collapsed="1" x14ac:dyDescent="0.25">
      <c r="A57" s="35"/>
      <c r="B57" s="15" t="str">
        <f>CONCATENATE("     ","Repair and Maintenance                            ")</f>
        <v xml:space="preserve">     Repair and Maintenance                            </v>
      </c>
      <c r="C57" s="15"/>
      <c r="D57" s="1">
        <f>SUM(OSRRefD21_9x_0)</f>
        <v>0</v>
      </c>
      <c r="E57" s="1">
        <f>SUM(OSRRefD21_9x_1)</f>
        <v>0</v>
      </c>
      <c r="F57" s="1">
        <f>SUM(OSRRefD21_9x_2)</f>
        <v>6562</v>
      </c>
      <c r="G57" s="1">
        <f>SUM(OSRRefD21_9x_3)</f>
        <v>117265.90000000001</v>
      </c>
      <c r="H57" s="1">
        <f>SUM(OSRRefE21_9x_0)</f>
        <v>1500</v>
      </c>
      <c r="I57" s="1">
        <f>SUM(OSRRefE21_9x_1)</f>
        <v>1500</v>
      </c>
      <c r="J57" s="1">
        <f>SUM(OSRRefE21_9x_2)</f>
        <v>1500</v>
      </c>
      <c r="K57" s="1">
        <f>SUM(OSRRefE21_9x_3)</f>
        <v>1500</v>
      </c>
      <c r="L57" s="1">
        <f>SUM(OSRRefE21_9x_4)</f>
        <v>1500</v>
      </c>
      <c r="M57" s="1">
        <f>SUM(OSRRefE21_9x_5)</f>
        <v>1500</v>
      </c>
      <c r="N57" s="1">
        <f>SUM(OSRRefE21_9x_6)</f>
        <v>1500</v>
      </c>
      <c r="O57" s="1">
        <f>SUM(OSRRefE21_9x_7)</f>
        <v>1500</v>
      </c>
      <c r="Q57" s="2">
        <f>SUM(OSRRefD20_9x)+IFERROR(SUM(OSRRefE20_9x),0)</f>
        <v>135827.90000000002</v>
      </c>
    </row>
    <row r="58" spans="1:17" s="34" customFormat="1" hidden="1" outlineLevel="1" x14ac:dyDescent="0.25">
      <c r="A58" s="35"/>
      <c r="B58" s="13" t="str">
        <f>CONCATENATE("          ","6372", " - ","COMPUTER HARDWARE MAINTENANCE")</f>
        <v xml:space="preserve">          6372 - COMPUTER HARDWARE MAINTENANCE</v>
      </c>
      <c r="C58" s="15"/>
      <c r="D58" s="2"/>
      <c r="E58" s="2"/>
      <c r="F58" s="2"/>
      <c r="G58" s="2"/>
      <c r="H58" s="2">
        <v>1500</v>
      </c>
      <c r="I58" s="2">
        <v>1500</v>
      </c>
      <c r="J58" s="2">
        <v>1500</v>
      </c>
      <c r="K58" s="2">
        <v>1500</v>
      </c>
      <c r="L58" s="2">
        <v>1500</v>
      </c>
      <c r="M58" s="2">
        <v>1500</v>
      </c>
      <c r="N58" s="2">
        <v>1500</v>
      </c>
      <c r="O58" s="2">
        <v>1500</v>
      </c>
      <c r="P58" s="9"/>
      <c r="Q58" s="2">
        <f>SUM(OSRRefD21_9_0x)+IFERROR(SUM(OSRRefE21_9_0x),0)</f>
        <v>12000</v>
      </c>
    </row>
    <row r="59" spans="1:17" s="34" customFormat="1" hidden="1" outlineLevel="1" x14ac:dyDescent="0.25">
      <c r="A59" s="35"/>
      <c r="B59" s="13" t="str">
        <f>CONCATENATE("          ","6373", " - ","MAINTENANCE CONTRACTS")</f>
        <v xml:space="preserve">          6373 - MAINTENANCE CONTRACTS</v>
      </c>
      <c r="C59" s="15"/>
      <c r="D59" s="2"/>
      <c r="E59" s="2"/>
      <c r="F59" s="2"/>
      <c r="G59" s="2">
        <v>117265.90000000001</v>
      </c>
      <c r="H59" s="2"/>
      <c r="I59" s="2"/>
      <c r="J59" s="2"/>
      <c r="K59" s="2"/>
      <c r="L59" s="2"/>
      <c r="M59" s="2"/>
      <c r="N59" s="2"/>
      <c r="O59" s="2"/>
      <c r="P59" s="9"/>
      <c r="Q59" s="2">
        <f>SUM(OSRRefD21_9_1x)+IFERROR(SUM(OSRRefE21_9_1x),0)</f>
        <v>117265.90000000001</v>
      </c>
    </row>
    <row r="60" spans="1:17" s="34" customFormat="1" hidden="1" outlineLevel="1" x14ac:dyDescent="0.25">
      <c r="A60" s="35"/>
      <c r="B60" s="13" t="str">
        <f>CONCATENATE("          ","6375", " - ","OUTSIDE REPAIRS &amp; MAINTENANCE")</f>
        <v xml:space="preserve">          6375 - OUTSIDE REPAIRS &amp; MAINTENANCE</v>
      </c>
      <c r="C60" s="15"/>
      <c r="D60" s="2"/>
      <c r="E60" s="2"/>
      <c r="F60" s="2">
        <v>6562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SUM(OSRRefD21_9_2x)+IFERROR(SUM(OSRRefE21_9_2x),0)</f>
        <v>6562</v>
      </c>
    </row>
    <row r="61" spans="1:17" s="34" customFormat="1" collapsed="1" x14ac:dyDescent="0.25">
      <c r="A61" s="35"/>
      <c r="B61" s="15" t="str">
        <f>CONCATENATE("     ","Subscriptions &amp; Dues                              ")</f>
        <v xml:space="preserve">     Subscriptions &amp; Dues                              </v>
      </c>
      <c r="C61" s="15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0</v>
      </c>
      <c r="H61" s="1">
        <f>SUM(OSRRefE21_10x_0)</f>
        <v>0</v>
      </c>
      <c r="I61" s="1">
        <f>SUM(OSRRefE21_10x_1)</f>
        <v>0</v>
      </c>
      <c r="J61" s="1">
        <f>SUM(OSRRefE21_10x_2)</f>
        <v>0</v>
      </c>
      <c r="K61" s="1">
        <f>SUM(OSRRefE21_10x_3)</f>
        <v>0</v>
      </c>
      <c r="L61" s="1">
        <f>SUM(OSRRefE21_10x_4)</f>
        <v>0</v>
      </c>
      <c r="M61" s="1">
        <f>SUM(OSRRefE21_10x_5)</f>
        <v>850</v>
      </c>
      <c r="N61" s="1">
        <f>SUM(OSRRefE21_10x_6)</f>
        <v>0</v>
      </c>
      <c r="O61" s="1">
        <f>SUM(OSRRefE21_10x_7)</f>
        <v>0</v>
      </c>
      <c r="Q61" s="2">
        <f>SUM(OSRRefD20_10x)+IFERROR(SUM(OSRRefE20_10x),0)</f>
        <v>850</v>
      </c>
    </row>
    <row r="62" spans="1:17" s="34" customFormat="1" hidden="1" outlineLevel="1" x14ac:dyDescent="0.25">
      <c r="A62" s="35"/>
      <c r="B62" s="13" t="str">
        <f>CONCATENATE("          ","6258", " - ","MEMBERSHIP DUES")</f>
        <v xml:space="preserve">          6258 - MEMBERSHIP DUES</v>
      </c>
      <c r="C62" s="15"/>
      <c r="D62" s="2"/>
      <c r="E62" s="2"/>
      <c r="F62" s="2"/>
      <c r="G62" s="2"/>
      <c r="H62" s="2"/>
      <c r="I62" s="2"/>
      <c r="J62" s="2"/>
      <c r="K62" s="2"/>
      <c r="L62" s="2"/>
      <c r="M62" s="2">
        <v>850</v>
      </c>
      <c r="N62" s="2"/>
      <c r="O62" s="2"/>
      <c r="P62" s="9"/>
      <c r="Q62" s="2">
        <f>SUM(OSRRefD21_10_0x)+IFERROR(SUM(OSRRefE21_10_0x),0)</f>
        <v>850</v>
      </c>
    </row>
    <row r="63" spans="1:17" s="34" customFormat="1" collapsed="1" x14ac:dyDescent="0.25">
      <c r="A63" s="35"/>
      <c r="B63" s="15" t="str">
        <f>CONCATENATE("     ","Supplies                                          ")</f>
        <v xml:space="preserve">     Supplies                                          </v>
      </c>
      <c r="C63" s="15"/>
      <c r="D63" s="1">
        <f>SUM(OSRRefD21_11x_0)</f>
        <v>92.59</v>
      </c>
      <c r="E63" s="1">
        <f>SUM(OSRRefD21_11x_1)</f>
        <v>35090.559999999998</v>
      </c>
      <c r="F63" s="1">
        <f>SUM(OSRRefD21_11x_2)</f>
        <v>0</v>
      </c>
      <c r="G63" s="1">
        <f>SUM(OSRRefD21_11x_3)</f>
        <v>6088.55</v>
      </c>
      <c r="H63" s="1">
        <f>SUM(OSRRefE21_11x_0)</f>
        <v>7000</v>
      </c>
      <c r="I63" s="1">
        <f>SUM(OSRRefE21_11x_1)</f>
        <v>7000</v>
      </c>
      <c r="J63" s="1">
        <f>SUM(OSRRefE21_11x_2)</f>
        <v>7000</v>
      </c>
      <c r="K63" s="1">
        <f>SUM(OSRRefE21_11x_3)</f>
        <v>7000</v>
      </c>
      <c r="L63" s="1">
        <f>SUM(OSRRefE21_11x_4)</f>
        <v>7000</v>
      </c>
      <c r="M63" s="1">
        <f>SUM(OSRRefE21_11x_5)</f>
        <v>7000</v>
      </c>
      <c r="N63" s="1">
        <f>SUM(OSRRefE21_11x_6)</f>
        <v>7000</v>
      </c>
      <c r="O63" s="1">
        <f>SUM(OSRRefE21_11x_7)</f>
        <v>7000</v>
      </c>
      <c r="Q63" s="2">
        <f>SUM(OSRRefD20_11x)+IFERROR(SUM(OSRRefE20_11x),0)</f>
        <v>97271.7</v>
      </c>
    </row>
    <row r="64" spans="1:17" s="34" customFormat="1" hidden="1" outlineLevel="1" x14ac:dyDescent="0.25">
      <c r="A64" s="35"/>
      <c r="B64" s="13" t="str">
        <f>CONCATENATE("          ","6234", " - ","EXPENDABLE SUPPLIES &amp; EQUIPMEN")</f>
        <v xml:space="preserve">          6234 - EXPENDABLE SUPPLIES &amp; EQUIPMEN</v>
      </c>
      <c r="C64" s="15"/>
      <c r="D64" s="2"/>
      <c r="E64" s="2"/>
      <c r="F64" s="2"/>
      <c r="G64" s="2"/>
      <c r="H64" s="2">
        <v>7000</v>
      </c>
      <c r="I64" s="2">
        <v>7000</v>
      </c>
      <c r="J64" s="2">
        <v>7000</v>
      </c>
      <c r="K64" s="2">
        <v>7000</v>
      </c>
      <c r="L64" s="2">
        <v>7000</v>
      </c>
      <c r="M64" s="2">
        <v>7000</v>
      </c>
      <c r="N64" s="2">
        <v>7000</v>
      </c>
      <c r="O64" s="2">
        <v>7000</v>
      </c>
      <c r="P64" s="9"/>
      <c r="Q64" s="2">
        <f>SUM(OSRRefD21_11_0x)+IFERROR(SUM(OSRRefE21_11_0x),0)</f>
        <v>56000</v>
      </c>
    </row>
    <row r="65" spans="1:17" s="34" customFormat="1" hidden="1" outlineLevel="1" x14ac:dyDescent="0.25">
      <c r="A65" s="35"/>
      <c r="B65" s="13" t="str">
        <f>CONCATENATE("          ","6241", " - ","OFFICE EXPENSE")</f>
        <v xml:space="preserve">          6241 - OFFICE EXPENSE</v>
      </c>
      <c r="C65" s="15"/>
      <c r="D65" s="2">
        <v>92.59</v>
      </c>
      <c r="E65" s="2">
        <v>35090.559999999998</v>
      </c>
      <c r="F65" s="2"/>
      <c r="G65" s="2">
        <v>6088.55</v>
      </c>
      <c r="H65" s="2"/>
      <c r="I65" s="2"/>
      <c r="J65" s="2"/>
      <c r="K65" s="2"/>
      <c r="L65" s="2"/>
      <c r="M65" s="2"/>
      <c r="N65" s="2"/>
      <c r="O65" s="2"/>
      <c r="P65" s="9"/>
      <c r="Q65" s="2">
        <f>SUM(OSRRefD21_11_1x)+IFERROR(SUM(OSRRefE21_11_1x),0)</f>
        <v>41271.699999999997</v>
      </c>
    </row>
    <row r="66" spans="1:17" s="34" customFormat="1" collapsed="1" x14ac:dyDescent="0.25">
      <c r="A66" s="35"/>
      <c r="B66" s="15" t="str">
        <f>CONCATENATE("     ","Telephone/Data Lines                              ")</f>
        <v xml:space="preserve">     Telephone/Data Lines                              </v>
      </c>
      <c r="C66" s="15"/>
      <c r="D66" s="1">
        <f>SUM(OSRRefD21_12x_0)</f>
        <v>154.93</v>
      </c>
      <c r="E66" s="1">
        <f>SUM(OSRRefD21_12x_1)</f>
        <v>137.15</v>
      </c>
      <c r="F66" s="1">
        <f>SUM(OSRRefD21_12x_2)</f>
        <v>750</v>
      </c>
      <c r="G66" s="1">
        <f>SUM(OSRRefD21_12x_3)</f>
        <v>136.65</v>
      </c>
      <c r="H66" s="1">
        <f>SUM(OSRRefE21_12x_0)</f>
        <v>700</v>
      </c>
      <c r="I66" s="1">
        <f>SUM(OSRRefE21_12x_1)</f>
        <v>700</v>
      </c>
      <c r="J66" s="1">
        <f>SUM(OSRRefE21_12x_2)</f>
        <v>700</v>
      </c>
      <c r="K66" s="1">
        <f>SUM(OSRRefE21_12x_3)</f>
        <v>700</v>
      </c>
      <c r="L66" s="1">
        <f>SUM(OSRRefE21_12x_4)</f>
        <v>700</v>
      </c>
      <c r="M66" s="1">
        <f>SUM(OSRRefE21_12x_5)</f>
        <v>700</v>
      </c>
      <c r="N66" s="1">
        <f>SUM(OSRRefE21_12x_6)</f>
        <v>700</v>
      </c>
      <c r="O66" s="1">
        <f>SUM(OSRRefE21_12x_7)</f>
        <v>700</v>
      </c>
      <c r="Q66" s="2">
        <f>SUM(OSRRefD20_12x)+IFERROR(SUM(OSRRefE20_12x),0)</f>
        <v>6778.73</v>
      </c>
    </row>
    <row r="67" spans="1:17" s="34" customFormat="1" hidden="1" outlineLevel="1" x14ac:dyDescent="0.25">
      <c r="A67" s="35"/>
      <c r="B67" s="13" t="str">
        <f>CONCATENATE("          ","6309", " - ","TELEPHONE")</f>
        <v xml:space="preserve">          6309 - TELEPHONE</v>
      </c>
      <c r="C67" s="15"/>
      <c r="D67" s="2">
        <v>154.93</v>
      </c>
      <c r="E67" s="2">
        <v>137.15</v>
      </c>
      <c r="F67" s="2">
        <v>750</v>
      </c>
      <c r="G67" s="2">
        <v>136.65</v>
      </c>
      <c r="H67" s="2">
        <v>700</v>
      </c>
      <c r="I67" s="2">
        <v>700</v>
      </c>
      <c r="J67" s="2">
        <v>700</v>
      </c>
      <c r="K67" s="2">
        <v>700</v>
      </c>
      <c r="L67" s="2">
        <v>700</v>
      </c>
      <c r="M67" s="2">
        <v>700</v>
      </c>
      <c r="N67" s="2">
        <v>700</v>
      </c>
      <c r="O67" s="2">
        <v>700</v>
      </c>
      <c r="P67" s="9"/>
      <c r="Q67" s="2">
        <f>SUM(OSRRefD21_12_0x)+IFERROR(SUM(OSRRefE21_12_0x),0)</f>
        <v>6778.73</v>
      </c>
    </row>
    <row r="68" spans="1:17" s="34" customFormat="1" collapsed="1" x14ac:dyDescent="0.25">
      <c r="A68" s="35"/>
      <c r="B68" s="15" t="str">
        <f>CONCATENATE("     ","Training                                          ")</f>
        <v xml:space="preserve">     Training                                          </v>
      </c>
      <c r="C68" s="15"/>
      <c r="D68" s="1">
        <f>SUM(OSRRefD21_13x_0)</f>
        <v>0</v>
      </c>
      <c r="E68" s="1">
        <f>SUM(OSRRefD21_13x_1)</f>
        <v>0</v>
      </c>
      <c r="F68" s="1">
        <f>SUM(OSRRefD21_13x_2)</f>
        <v>0</v>
      </c>
      <c r="G68" s="1">
        <f>SUM(OSRRefD21_13x_3)</f>
        <v>0</v>
      </c>
      <c r="H68" s="1">
        <f>SUM(OSRRefE21_13x_0)</f>
        <v>0</v>
      </c>
      <c r="I68" s="1">
        <f>SUM(OSRRefE21_13x_1)</f>
        <v>0</v>
      </c>
      <c r="J68" s="1">
        <f>SUM(OSRRefE21_13x_2)</f>
        <v>0</v>
      </c>
      <c r="K68" s="1">
        <f>SUM(OSRRefE21_13x_3)</f>
        <v>0</v>
      </c>
      <c r="L68" s="1">
        <f>SUM(OSRRefE21_13x_4)</f>
        <v>3000</v>
      </c>
      <c r="M68" s="1">
        <f>SUM(OSRRefE21_13x_5)</f>
        <v>1500</v>
      </c>
      <c r="N68" s="1">
        <f>SUM(OSRRefE21_13x_6)</f>
        <v>0</v>
      </c>
      <c r="O68" s="1">
        <f>SUM(OSRRefE21_13x_7)</f>
        <v>0</v>
      </c>
      <c r="Q68" s="2">
        <f>SUM(OSRRefD20_13x)+IFERROR(SUM(OSRRefE20_13x),0)</f>
        <v>4500</v>
      </c>
    </row>
    <row r="69" spans="1:17" s="34" customFormat="1" hidden="1" outlineLevel="1" x14ac:dyDescent="0.25">
      <c r="A69" s="35"/>
      <c r="B69" s="13" t="str">
        <f>CONCATENATE("          ","6376", " - ","TRAINING")</f>
        <v xml:space="preserve">          6376 - TRAINING</v>
      </c>
      <c r="C69" s="15"/>
      <c r="D69" s="2"/>
      <c r="E69" s="2"/>
      <c r="F69" s="2"/>
      <c r="G69" s="2"/>
      <c r="H69" s="2"/>
      <c r="I69" s="2"/>
      <c r="J69" s="2"/>
      <c r="K69" s="2"/>
      <c r="L69" s="2">
        <v>3000</v>
      </c>
      <c r="M69" s="2">
        <v>1500</v>
      </c>
      <c r="N69" s="2"/>
      <c r="O69" s="2"/>
      <c r="P69" s="9"/>
      <c r="Q69" s="2">
        <f>SUM(OSRRefD21_13_0x)+IFERROR(SUM(OSRRefE21_13_0x),0)</f>
        <v>4500</v>
      </c>
    </row>
    <row r="70" spans="1:17" s="28" customFormat="1" x14ac:dyDescent="0.25">
      <c r="A70" s="20"/>
      <c r="B70" s="20"/>
      <c r="C70" s="20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Q70" s="1"/>
    </row>
    <row r="71" spans="1:17" s="9" customFormat="1" x14ac:dyDescent="0.25">
      <c r="A71" s="22"/>
      <c r="B71" s="16" t="s">
        <v>0</v>
      </c>
      <c r="C71" s="23"/>
      <c r="D71" s="3">
        <f>--165</f>
        <v>165</v>
      </c>
      <c r="E71" s="3">
        <f>--325</f>
        <v>325</v>
      </c>
      <c r="F71" s="3">
        <f>--260</f>
        <v>260</v>
      </c>
      <c r="G71" s="3">
        <f>--225.16</f>
        <v>225.16</v>
      </c>
      <c r="H71" s="3">
        <v>1650</v>
      </c>
      <c r="I71" s="3">
        <v>1800</v>
      </c>
      <c r="J71" s="3">
        <v>4000</v>
      </c>
      <c r="K71" s="3">
        <v>3700</v>
      </c>
      <c r="L71" s="3">
        <v>3500</v>
      </c>
      <c r="M71" s="3">
        <v>3500</v>
      </c>
      <c r="N71" s="3">
        <v>3000</v>
      </c>
      <c r="O71" s="3">
        <v>2500</v>
      </c>
      <c r="Q71" s="2">
        <f>SUM(OSRRefD23_0x)+IFERROR(SUM(OSRRefE23_0x),0)</f>
        <v>24625.16</v>
      </c>
    </row>
    <row r="72" spans="1:17" x14ac:dyDescent="0.25">
      <c r="A72" s="5"/>
      <c r="B72" s="8"/>
      <c r="C72" s="8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4" customFormat="1" x14ac:dyDescent="0.25">
      <c r="A73" s="8"/>
      <c r="B73" s="17" t="s">
        <v>3</v>
      </c>
      <c r="C73" s="17"/>
      <c r="D73" s="6">
        <f t="shared" ref="D73:O73" si="4">IFERROR(+D16-D19+D71, 0)</f>
        <v>0.13999999999941792</v>
      </c>
      <c r="E73" s="6">
        <f t="shared" si="4"/>
        <v>10086.040000000001</v>
      </c>
      <c r="F73" s="6">
        <f t="shared" si="4"/>
        <v>4742.8300000000017</v>
      </c>
      <c r="G73" s="6">
        <f t="shared" si="4"/>
        <v>7039.1700000000092</v>
      </c>
      <c r="H73" s="6">
        <f t="shared" si="4"/>
        <v>5211.0939663846148</v>
      </c>
      <c r="I73" s="6">
        <f t="shared" si="4"/>
        <v>5402.8514663846145</v>
      </c>
      <c r="J73" s="6">
        <f t="shared" si="4"/>
        <v>5204.5095014807739</v>
      </c>
      <c r="K73" s="6">
        <f t="shared" si="4"/>
        <v>5018.7436511846136</v>
      </c>
      <c r="L73" s="6">
        <f t="shared" si="4"/>
        <v>5585.4168486846174</v>
      </c>
      <c r="M73" s="6">
        <f t="shared" si="4"/>
        <v>6259.0455514807691</v>
      </c>
      <c r="N73" s="6">
        <f t="shared" si="4"/>
        <v>4989.782836184615</v>
      </c>
      <c r="O73" s="6">
        <f t="shared" si="4"/>
        <v>7661.6598191346129</v>
      </c>
      <c r="Q73" s="6">
        <f>IFERROR(+Q16-Q19+Q71, 0)</f>
        <v>67201.283640919282</v>
      </c>
    </row>
    <row r="74" spans="1:17" s="8" customFormat="1" x14ac:dyDescent="0.25">
      <c r="B74" s="16"/>
      <c r="C74" s="16"/>
      <c r="D74" s="4">
        <f t="shared" ref="D74:O74" si="5">IFERROR(D73/D10, 0)</f>
        <v>6.6758857469561736E-6</v>
      </c>
      <c r="E74" s="4">
        <f t="shared" si="5"/>
        <v>0.15085086971478143</v>
      </c>
      <c r="F74" s="4">
        <f t="shared" si="5"/>
        <v>0.15699536577292292</v>
      </c>
      <c r="G74" s="4">
        <f t="shared" si="5"/>
        <v>4.6443855030581405E-2</v>
      </c>
      <c r="H74" s="4">
        <f t="shared" si="5"/>
        <v>0.14845998593728427</v>
      </c>
      <c r="I74" s="4">
        <f t="shared" si="5"/>
        <v>0.14870779110383722</v>
      </c>
      <c r="J74" s="4">
        <f t="shared" si="5"/>
        <v>0.14899400250438791</v>
      </c>
      <c r="K74" s="4">
        <f t="shared" si="5"/>
        <v>0.14817229048993574</v>
      </c>
      <c r="L74" s="4">
        <f t="shared" si="5"/>
        <v>0.14896431120641732</v>
      </c>
      <c r="M74" s="4">
        <f t="shared" si="5"/>
        <v>0.15013662000721459</v>
      </c>
      <c r="N74" s="4">
        <f t="shared" si="5"/>
        <v>0.148126308739079</v>
      </c>
      <c r="O74" s="4">
        <f t="shared" si="5"/>
        <v>0.17379683828905301</v>
      </c>
      <c r="P74" s="18"/>
      <c r="Q74" s="4">
        <f>IFERROR(Q73/Q10, 0)</f>
        <v>0.1185638585463489</v>
      </c>
    </row>
    <row r="75" spans="1:17" x14ac:dyDescent="0.25">
      <c r="A75" s="5"/>
      <c r="B75" s="8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4" customFormat="1" x14ac:dyDescent="0.25">
      <c r="A76" s="25"/>
      <c r="B76" s="8" t="s">
        <v>8</v>
      </c>
      <c r="C76" s="8"/>
      <c r="D76" s="3">
        <v>10085.93</v>
      </c>
      <c r="E76" s="3">
        <v>4743.34</v>
      </c>
      <c r="F76" s="3">
        <v>7038.6</v>
      </c>
      <c r="G76" s="3">
        <v>36534.380000000005</v>
      </c>
      <c r="H76" s="3">
        <v>10699</v>
      </c>
      <c r="I76" s="3">
        <v>10731</v>
      </c>
      <c r="J76" s="3">
        <v>9</v>
      </c>
      <c r="K76" s="3">
        <v>5185</v>
      </c>
      <c r="L76" s="3">
        <v>8787</v>
      </c>
      <c r="M76" s="3">
        <v>9624</v>
      </c>
      <c r="N76" s="3">
        <v>8032</v>
      </c>
      <c r="O76" s="3">
        <v>-1463</v>
      </c>
      <c r="Q76" s="2">
        <f>SUM(OSRRefD28_0x)+IFERROR(SUM(OSRRefE28_0x),0)</f>
        <v>110006.25</v>
      </c>
    </row>
    <row r="77" spans="1:17" x14ac:dyDescent="0.25">
      <c r="A77" s="5"/>
      <c r="B77" s="8"/>
      <c r="C77" s="8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ht="15.75" thickBot="1" x14ac:dyDescent="0.3">
      <c r="A78" s="8"/>
      <c r="B78" s="17" t="s">
        <v>4</v>
      </c>
      <c r="C78" s="17"/>
      <c r="D78" s="7">
        <f t="shared" ref="D78:O78" si="6">IFERROR(+D73-D76, 0)</f>
        <v>-10085.790000000001</v>
      </c>
      <c r="E78" s="7">
        <f t="shared" si="6"/>
        <v>5342.7000000000007</v>
      </c>
      <c r="F78" s="7">
        <f t="shared" si="6"/>
        <v>-2295.7699999999986</v>
      </c>
      <c r="G78" s="7">
        <f t="shared" si="6"/>
        <v>-29495.209999999995</v>
      </c>
      <c r="H78" s="7">
        <f t="shared" si="6"/>
        <v>-5487.9060336153852</v>
      </c>
      <c r="I78" s="7">
        <f t="shared" si="6"/>
        <v>-5328.1485336153855</v>
      </c>
      <c r="J78" s="7">
        <f t="shared" si="6"/>
        <v>5195.5095014807739</v>
      </c>
      <c r="K78" s="7">
        <f t="shared" si="6"/>
        <v>-166.25634881538645</v>
      </c>
      <c r="L78" s="7">
        <f t="shared" si="6"/>
        <v>-3201.5831513153826</v>
      </c>
      <c r="M78" s="7">
        <f t="shared" si="6"/>
        <v>-3364.9544485192309</v>
      </c>
      <c r="N78" s="7">
        <f t="shared" si="6"/>
        <v>-3042.217163815385</v>
      </c>
      <c r="O78" s="7">
        <f t="shared" si="6"/>
        <v>9124.6598191346129</v>
      </c>
      <c r="Q78" s="7">
        <f>IFERROR(+Q73-Q76, 0)</f>
        <v>-42804.966359080718</v>
      </c>
    </row>
    <row r="79" spans="1:17" ht="15.75" thickTop="1" x14ac:dyDescent="0.25">
      <c r="A79" s="5"/>
      <c r="B79" s="5"/>
      <c r="C79" s="5"/>
      <c r="D79" s="4">
        <f t="shared" ref="D79:O79" si="7">IFERROR(D78/D10, 0)</f>
        <v>-0.48093986934337901</v>
      </c>
      <c r="E79" s="4">
        <f t="shared" si="7"/>
        <v>7.9907569435096706E-2</v>
      </c>
      <c r="F79" s="4">
        <f t="shared" si="7"/>
        <v>-7.5993710691823854E-2</v>
      </c>
      <c r="G79" s="4">
        <f t="shared" si="7"/>
        <v>-0.19460692913178015</v>
      </c>
      <c r="H79" s="4">
        <f t="shared" si="7"/>
        <v>-0.15634614494217786</v>
      </c>
      <c r="I79" s="4">
        <f t="shared" si="7"/>
        <v>-0.1466516716287401</v>
      </c>
      <c r="J79" s="4">
        <f t="shared" si="7"/>
        <v>0.14873635170710184</v>
      </c>
      <c r="K79" s="4">
        <f t="shared" si="7"/>
        <v>-4.9085160997722668E-3</v>
      </c>
      <c r="L79" s="4">
        <f t="shared" si="7"/>
        <v>-8.5386935626493729E-2</v>
      </c>
      <c r="M79" s="4">
        <f t="shared" si="7"/>
        <v>-8.0715643179717217E-2</v>
      </c>
      <c r="N79" s="4">
        <f t="shared" si="7"/>
        <v>-9.0311024277604499E-2</v>
      </c>
      <c r="O79" s="4">
        <f t="shared" si="7"/>
        <v>0.2069834819692998</v>
      </c>
      <c r="P79" s="18"/>
      <c r="Q79" s="4">
        <f>IFERROR(Q78/Q10, 0)</f>
        <v>-7.5521205868588445E-2</v>
      </c>
    </row>
    <row r="80" spans="1:17" x14ac:dyDescent="0.25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x14ac:dyDescent="0.2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4" customFormat="1" ht="15.75" thickBot="1" x14ac:dyDescent="0.3">
      <c r="A82" s="8"/>
      <c r="B82" s="17" t="s">
        <v>5</v>
      </c>
      <c r="C82" s="17"/>
      <c r="D82" s="7">
        <f t="shared" ref="D82:O82" si="8">IFERROR(SUM(D78:D81), 0)</f>
        <v>-10086.270939869344</v>
      </c>
      <c r="E82" s="7">
        <f t="shared" si="8"/>
        <v>5342.7799075694356</v>
      </c>
      <c r="F82" s="7">
        <f t="shared" si="8"/>
        <v>-2295.8459937106904</v>
      </c>
      <c r="G82" s="7">
        <f t="shared" si="8"/>
        <v>-29495.404606929129</v>
      </c>
      <c r="H82" s="7">
        <f t="shared" si="8"/>
        <v>-5488.0623797603275</v>
      </c>
      <c r="I82" s="7">
        <f t="shared" si="8"/>
        <v>-5328.2951852870146</v>
      </c>
      <c r="J82" s="7">
        <f t="shared" si="8"/>
        <v>5195.6582378324811</v>
      </c>
      <c r="K82" s="7">
        <f t="shared" si="8"/>
        <v>-166.26125733148621</v>
      </c>
      <c r="L82" s="7">
        <f t="shared" si="8"/>
        <v>-3201.6685382510091</v>
      </c>
      <c r="M82" s="7">
        <f t="shared" si="8"/>
        <v>-3365.0351641624106</v>
      </c>
      <c r="N82" s="7">
        <f t="shared" si="8"/>
        <v>-3042.3074748396625</v>
      </c>
      <c r="O82" s="7">
        <f t="shared" si="8"/>
        <v>9124.8668026165815</v>
      </c>
      <c r="Q82" s="7">
        <f>IFERROR(SUM(Q78:Q81), 0)</f>
        <v>-42805.04188028659</v>
      </c>
    </row>
    <row r="83" spans="1:17" ht="15.75" thickTop="1" x14ac:dyDescent="0.25">
      <c r="A83" s="5"/>
      <c r="C83" s="5"/>
      <c r="D83" s="4">
        <f t="shared" ref="D83:O83" si="9">IFERROR(D82/D10, 0)</f>
        <v>-0.48096280291208549</v>
      </c>
      <c r="E83" s="4">
        <f t="shared" si="9"/>
        <v>7.9908764564835047E-2</v>
      </c>
      <c r="F83" s="4">
        <f t="shared" si="9"/>
        <v>-7.5996226206907991E-2</v>
      </c>
      <c r="G83" s="4">
        <f t="shared" si="9"/>
        <v>-0.19460821313202517</v>
      </c>
      <c r="H83" s="4">
        <f t="shared" si="9"/>
        <v>-0.1563505991214019</v>
      </c>
      <c r="I83" s="4">
        <f t="shared" si="9"/>
        <v>-0.14665570806140632</v>
      </c>
      <c r="J83" s="4">
        <f t="shared" si="9"/>
        <v>0.14874060971150213</v>
      </c>
      <c r="K83" s="4">
        <f t="shared" si="9"/>
        <v>-4.9086610177286232E-3</v>
      </c>
      <c r="L83" s="4">
        <f t="shared" si="9"/>
        <v>-8.5389212915082252E-2</v>
      </c>
      <c r="M83" s="4">
        <f t="shared" si="9"/>
        <v>-8.0717579317383742E-2</v>
      </c>
      <c r="N83" s="4">
        <f t="shared" si="9"/>
        <v>-9.0313705243711406E-2</v>
      </c>
      <c r="O83" s="4">
        <f t="shared" si="9"/>
        <v>0.20698817717576856</v>
      </c>
      <c r="P83" s="18"/>
      <c r="Q83" s="4">
        <f>IFERROR(Q82/Q10, 0)</f>
        <v>-7.5521339111364258E-2</v>
      </c>
    </row>
    <row r="84" spans="1:17" x14ac:dyDescent="0.25">
      <c r="A84" s="5"/>
      <c r="B84" s="26">
        <v>44151.56468599537</v>
      </c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Q84" s="12"/>
    </row>
    <row r="85" spans="1:17" x14ac:dyDescent="0.25">
      <c r="A85" s="5"/>
      <c r="B85" s="30" t="s">
        <v>311</v>
      </c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Q85" s="12"/>
    </row>
    <row r="86" spans="1:17" x14ac:dyDescent="0.25">
      <c r="A86" s="5"/>
      <c r="B86" s="31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Q86" s="12"/>
    </row>
    <row r="87" spans="1:17" x14ac:dyDescent="0.25"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Q8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32" t="s">
        <v>7</v>
      </c>
    </row>
    <row r="3" spans="1:18" x14ac:dyDescent="0.25">
      <c r="B3" s="32" t="s">
        <v>288</v>
      </c>
    </row>
    <row r="4" spans="1:18" x14ac:dyDescent="0.25">
      <c r="B4" s="29" t="s">
        <v>309</v>
      </c>
    </row>
    <row r="5" spans="1:18" x14ac:dyDescent="0.25">
      <c r="A5" s="14"/>
      <c r="B5" s="14" t="str">
        <f>CONCATENATE("Department ","501", " - ", "ID Card Services")</f>
        <v>Department 501 - ID Card Services</v>
      </c>
    </row>
    <row r="6" spans="1:18" x14ac:dyDescent="0.25">
      <c r="B6" s="5"/>
      <c r="C6" s="5"/>
    </row>
    <row r="7" spans="1:18" x14ac:dyDescent="0.25">
      <c r="B7" s="5"/>
      <c r="C7" s="5"/>
      <c r="D7" s="11" t="s">
        <v>285</v>
      </c>
      <c r="E7" s="11" t="s">
        <v>285</v>
      </c>
      <c r="F7" s="11" t="s">
        <v>285</v>
      </c>
      <c r="G7" s="11" t="s">
        <v>285</v>
      </c>
      <c r="H7" s="11" t="s">
        <v>310</v>
      </c>
      <c r="I7" s="11" t="s">
        <v>310</v>
      </c>
      <c r="J7" s="11" t="s">
        <v>310</v>
      </c>
      <c r="K7" s="11" t="s">
        <v>310</v>
      </c>
      <c r="L7" s="11" t="s">
        <v>310</v>
      </c>
      <c r="M7" s="11" t="s">
        <v>310</v>
      </c>
      <c r="N7" s="11" t="s">
        <v>310</v>
      </c>
      <c r="O7" s="11" t="s">
        <v>310</v>
      </c>
    </row>
    <row r="8" spans="1:18" x14ac:dyDescent="0.25">
      <c r="A8" s="8"/>
      <c r="B8" s="27"/>
      <c r="C8" s="8"/>
      <c r="D8" s="11" t="str">
        <f>CONCATENATE("Period ", 1)</f>
        <v>Period 1</v>
      </c>
      <c r="E8" s="11" t="str">
        <f>CONCATENATE("Period ", 2)</f>
        <v>Period 2</v>
      </c>
      <c r="F8" s="11" t="str">
        <f>CONCATENATE("Period ", 3)</f>
        <v>Period 3</v>
      </c>
      <c r="G8" s="11" t="str">
        <f>CONCATENATE("Period ", 4)</f>
        <v>Period 4</v>
      </c>
      <c r="H8" s="11" t="str">
        <f>CONCATENATE("Period ", 5)</f>
        <v>Period 5</v>
      </c>
      <c r="I8" s="11" t="str">
        <f>CONCATENATE("Period ", 6)</f>
        <v>Period 6</v>
      </c>
      <c r="J8" s="11" t="str">
        <f>CONCATENATE("Period ", 7)</f>
        <v>Period 7</v>
      </c>
      <c r="K8" s="11" t="str">
        <f>CONCATENATE("Period ", 8)</f>
        <v>Period 8</v>
      </c>
      <c r="L8" s="11" t="str">
        <f>CONCATENATE("Period ", 9)</f>
        <v>Period 9</v>
      </c>
      <c r="M8" s="11" t="str">
        <f>CONCATENATE("Period ", 10)</f>
        <v>Period 10</v>
      </c>
      <c r="N8" s="11" t="str">
        <f>CONCATENATE("Period ", 11)</f>
        <v>Period 11</v>
      </c>
      <c r="O8" s="11" t="str">
        <f>CONCATENATE("Period ", 12)</f>
        <v>Period 12</v>
      </c>
      <c r="Q8" s="11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20971</v>
      </c>
      <c r="E10" s="3">
        <f>SUM(OSRRefD11x_1)</f>
        <v>66861</v>
      </c>
      <c r="F10" s="3">
        <f>SUM(OSRRefD11x_2)</f>
        <v>30210</v>
      </c>
      <c r="G10" s="3">
        <f>SUM(OSRRefD11x_3)</f>
        <v>151563</v>
      </c>
      <c r="H10" s="3">
        <f>SUM(OSRRefE11x_0)</f>
        <v>35101</v>
      </c>
      <c r="I10" s="3">
        <f>SUM(OSRRefE11x_1)</f>
        <v>36332</v>
      </c>
      <c r="J10" s="3">
        <f>SUM(OSRRefE11x_2)</f>
        <v>34931</v>
      </c>
      <c r="K10" s="3">
        <f>SUM(OSRRefE11x_3)</f>
        <v>33871</v>
      </c>
      <c r="L10" s="3">
        <f>SUM(OSRRefE11x_4)</f>
        <v>37495</v>
      </c>
      <c r="M10" s="3">
        <f>SUM(OSRRefE11x_5)</f>
        <v>41689</v>
      </c>
      <c r="N10" s="3">
        <f>SUM(OSRRefE11x_6)</f>
        <v>33686</v>
      </c>
      <c r="O10" s="3">
        <f>SUM(OSRRefE11x_7)</f>
        <v>44084</v>
      </c>
      <c r="P10" s="24"/>
      <c r="Q10" s="3">
        <f>SUM(OSRRefG11x)</f>
        <v>566794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G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/>
      <c r="I11" s="2"/>
      <c r="J11" s="2"/>
      <c r="K11" s="2"/>
      <c r="L11" s="2"/>
      <c r="M11" s="2"/>
      <c r="N11" s="2"/>
      <c r="O11" s="2">
        <v>1243</v>
      </c>
      <c r="Q11" s="2">
        <f>SUM(OSRRefD11_0x)+IFERROR(SUM(OSRRefE11_0x),0)</f>
        <v>1243</v>
      </c>
    </row>
    <row r="12" spans="1:18" s="9" customFormat="1" hidden="1" outlineLevel="1" x14ac:dyDescent="0.2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>--20971</f>
        <v>20971</v>
      </c>
      <c r="E12" s="2">
        <f>--66861</f>
        <v>66861</v>
      </c>
      <c r="F12" s="2">
        <f>--30210</f>
        <v>30210</v>
      </c>
      <c r="G12" s="2">
        <f>--151563</f>
        <v>151563</v>
      </c>
      <c r="H12" s="2">
        <v>35101</v>
      </c>
      <c r="I12" s="2">
        <v>36332</v>
      </c>
      <c r="J12" s="2">
        <v>34931</v>
      </c>
      <c r="K12" s="2">
        <v>33871</v>
      </c>
      <c r="L12" s="2">
        <v>37495</v>
      </c>
      <c r="M12" s="2">
        <v>41689</v>
      </c>
      <c r="N12" s="2">
        <v>33686</v>
      </c>
      <c r="O12" s="2">
        <v>42841</v>
      </c>
      <c r="Q12" s="2">
        <f>SUM(OSRRefD11_1x)+IFERROR(SUM(OSRRefE11_1x),0)</f>
        <v>565551</v>
      </c>
    </row>
    <row r="13" spans="1:18" x14ac:dyDescent="0.2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x14ac:dyDescent="0.25">
      <c r="A14" s="22"/>
      <c r="B14" s="16" t="s">
        <v>290</v>
      </c>
      <c r="C14" s="23"/>
      <c r="D14" s="3">
        <f t="shared" ref="D14:O14" si="1">SUM(0)</f>
        <v>0</v>
      </c>
      <c r="E14" s="3">
        <f t="shared" si="1"/>
        <v>0</v>
      </c>
      <c r="F14" s="3">
        <f t="shared" si="1"/>
        <v>0</v>
      </c>
      <c r="G14" s="3">
        <f t="shared" si="1"/>
        <v>0</v>
      </c>
      <c r="H14" s="3">
        <f t="shared" si="1"/>
        <v>0</v>
      </c>
      <c r="I14" s="3">
        <f t="shared" si="1"/>
        <v>0</v>
      </c>
      <c r="J14" s="3">
        <f t="shared" si="1"/>
        <v>0</v>
      </c>
      <c r="K14" s="3">
        <f t="shared" si="1"/>
        <v>0</v>
      </c>
      <c r="L14" s="3">
        <f t="shared" si="1"/>
        <v>0</v>
      </c>
      <c r="M14" s="3">
        <f t="shared" si="1"/>
        <v>0</v>
      </c>
      <c r="N14" s="3">
        <f t="shared" si="1"/>
        <v>0</v>
      </c>
      <c r="O14" s="3">
        <f t="shared" si="1"/>
        <v>0</v>
      </c>
      <c r="Q14" s="3">
        <f>SUM(0)</f>
        <v>0</v>
      </c>
    </row>
    <row r="15" spans="1:18" x14ac:dyDescent="0.25">
      <c r="A15" s="5"/>
      <c r="B15" s="8"/>
      <c r="C15" s="8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4" customFormat="1" x14ac:dyDescent="0.25">
      <c r="A16" s="8"/>
      <c r="B16" s="17" t="s">
        <v>6</v>
      </c>
      <c r="C16" s="17"/>
      <c r="D16" s="6">
        <f t="shared" ref="D16:O16" si="2">IFERROR(+D10-D14, 0)</f>
        <v>20971</v>
      </c>
      <c r="E16" s="6">
        <f t="shared" si="2"/>
        <v>66861</v>
      </c>
      <c r="F16" s="6">
        <f t="shared" si="2"/>
        <v>30210</v>
      </c>
      <c r="G16" s="6">
        <f t="shared" si="2"/>
        <v>151563</v>
      </c>
      <c r="H16" s="6">
        <f t="shared" si="2"/>
        <v>35101</v>
      </c>
      <c r="I16" s="6">
        <f t="shared" si="2"/>
        <v>36332</v>
      </c>
      <c r="J16" s="6">
        <f t="shared" si="2"/>
        <v>34931</v>
      </c>
      <c r="K16" s="6">
        <f t="shared" si="2"/>
        <v>33871</v>
      </c>
      <c r="L16" s="6">
        <f t="shared" si="2"/>
        <v>37495</v>
      </c>
      <c r="M16" s="6">
        <f t="shared" si="2"/>
        <v>41689</v>
      </c>
      <c r="N16" s="6">
        <f t="shared" si="2"/>
        <v>33686</v>
      </c>
      <c r="O16" s="6">
        <f t="shared" si="2"/>
        <v>44084</v>
      </c>
      <c r="Q16" s="6">
        <f>IFERROR(+Q10-Q14, 0)</f>
        <v>566794</v>
      </c>
    </row>
    <row r="17" spans="1:17" s="8" customFormat="1" x14ac:dyDescent="0.25">
      <c r="B17" s="16"/>
      <c r="C17" s="16"/>
      <c r="D17" s="4">
        <f t="shared" ref="D17:O17" si="3">IFERROR(D16/D10, 0)</f>
        <v>1</v>
      </c>
      <c r="E17" s="4">
        <f t="shared" si="3"/>
        <v>1</v>
      </c>
      <c r="F17" s="4">
        <f t="shared" si="3"/>
        <v>1</v>
      </c>
      <c r="G17" s="4">
        <f t="shared" si="3"/>
        <v>1</v>
      </c>
      <c r="H17" s="4">
        <f t="shared" si="3"/>
        <v>1</v>
      </c>
      <c r="I17" s="4">
        <f t="shared" si="3"/>
        <v>1</v>
      </c>
      <c r="J17" s="4">
        <f t="shared" si="3"/>
        <v>1</v>
      </c>
      <c r="K17" s="4">
        <f t="shared" si="3"/>
        <v>1</v>
      </c>
      <c r="L17" s="4">
        <f t="shared" si="3"/>
        <v>1</v>
      </c>
      <c r="M17" s="4">
        <f t="shared" si="3"/>
        <v>1</v>
      </c>
      <c r="N17" s="4">
        <f t="shared" si="3"/>
        <v>1</v>
      </c>
      <c r="O17" s="4">
        <f t="shared" si="3"/>
        <v>1</v>
      </c>
      <c r="P17" s="18"/>
      <c r="Q17" s="4">
        <f>IFERROR(Q16/Q10, 0)</f>
        <v>1</v>
      </c>
    </row>
    <row r="18" spans="1:17" x14ac:dyDescent="0.25">
      <c r="A18" s="5"/>
      <c r="B18" s="8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4" customFormat="1" x14ac:dyDescent="0.25">
      <c r="A19" s="8"/>
      <c r="B19" s="16" t="s">
        <v>291</v>
      </c>
      <c r="C19" s="8"/>
      <c r="D19" s="10">
        <f>SUM(OSRRefD20x_0)</f>
        <v>21135.86</v>
      </c>
      <c r="E19" s="10">
        <f>SUM(OSRRefD20x_1)</f>
        <v>57099.96</v>
      </c>
      <c r="F19" s="10">
        <f>SUM(OSRRefD20x_2)</f>
        <v>25727.17</v>
      </c>
      <c r="G19" s="10">
        <f>SUM(OSRRefD20x_3)</f>
        <v>144748.99</v>
      </c>
      <c r="H19" s="10">
        <f>SUM(OSRRefE20x_0)</f>
        <v>31539.906033615385</v>
      </c>
      <c r="I19" s="10">
        <f>SUM(OSRRefE20x_1)</f>
        <v>32729.148533615386</v>
      </c>
      <c r="J19" s="10">
        <f>SUM(OSRRefE20x_2)</f>
        <v>33726.490498519226</v>
      </c>
      <c r="K19" s="10">
        <f>SUM(OSRRefE20x_3)</f>
        <v>32552.256348815386</v>
      </c>
      <c r="L19" s="10">
        <f>SUM(OSRRefE20x_4)</f>
        <v>35409.583151315383</v>
      </c>
      <c r="M19" s="10">
        <f>SUM(OSRRefE20x_5)</f>
        <v>38929.954448519231</v>
      </c>
      <c r="N19" s="10">
        <f>SUM(OSRRefE20x_6)</f>
        <v>31696.217163815385</v>
      </c>
      <c r="O19" s="10">
        <f>SUM(OSRRefE20x_7)</f>
        <v>38922.340180865387</v>
      </c>
      <c r="Q19" s="10">
        <f>SUM(OSRRefG20x)</f>
        <v>524217.87635908072</v>
      </c>
    </row>
    <row r="20" spans="1:17" s="34" customFormat="1" collapsed="1" x14ac:dyDescent="0.25">
      <c r="A20" s="35"/>
      <c r="B20" s="15" t="str">
        <f>CONCATENATE("     ","*Benefits                                         ")</f>
        <v xml:space="preserve">     *Benefits                                         </v>
      </c>
      <c r="C20" s="15"/>
      <c r="D20" s="1">
        <f>SUM(OSRRefD21_0x_0)</f>
        <v>4207.82</v>
      </c>
      <c r="E20" s="1">
        <f>SUM(OSRRefD21_0x_1)</f>
        <v>4075.21</v>
      </c>
      <c r="F20" s="1">
        <f>SUM(OSRRefD21_0x_2)</f>
        <v>3893.62</v>
      </c>
      <c r="G20" s="1">
        <f>SUM(OSRRefD21_0x_3)</f>
        <v>4682.09</v>
      </c>
      <c r="H20" s="1">
        <f>SUM(OSRRefE21_0x_0)</f>
        <v>3643.6402643846163</v>
      </c>
      <c r="I20" s="1">
        <f>SUM(OSRRefE21_0x_1)</f>
        <v>3678.1327643846166</v>
      </c>
      <c r="J20" s="1">
        <f>SUM(OSRRefE21_0x_2)</f>
        <v>4072.9885369807685</v>
      </c>
      <c r="K20" s="1">
        <f>SUM(OSRRefE21_0x_3)</f>
        <v>3676.1897795846162</v>
      </c>
      <c r="L20" s="1">
        <f>SUM(OSRRefE21_0x_4)</f>
        <v>3669.0498320846164</v>
      </c>
      <c r="M20" s="1">
        <f>SUM(OSRRefE21_0x_5)</f>
        <v>4215.7874869807692</v>
      </c>
      <c r="N20" s="1">
        <f>SUM(OSRRefE21_0x_6)</f>
        <v>3633.3500945846163</v>
      </c>
      <c r="O20" s="1">
        <f>SUM(OSRRefE21_0x_7)</f>
        <v>4946.0766616346173</v>
      </c>
      <c r="Q20" s="2">
        <f>SUM(OSRRefD20_0x)+IFERROR(SUM(OSRRefE20_0x),0)</f>
        <v>48393.955420619233</v>
      </c>
    </row>
    <row r="21" spans="1:17" s="34" customFormat="1" hidden="1" outlineLevel="1" x14ac:dyDescent="0.25">
      <c r="A21" s="35"/>
      <c r="B21" s="13" t="str">
        <f>CONCATENATE("          ","6111", " - ","F.I.C.A.")</f>
        <v xml:space="preserve">          6111 - F.I.C.A.</v>
      </c>
      <c r="C21" s="15"/>
      <c r="D21" s="2">
        <v>1006.58</v>
      </c>
      <c r="E21" s="2">
        <v>1161.71</v>
      </c>
      <c r="F21" s="2">
        <v>977.97</v>
      </c>
      <c r="G21" s="2">
        <v>1375.38</v>
      </c>
      <c r="H21" s="2">
        <v>718.85158823076904</v>
      </c>
      <c r="I21" s="2">
        <v>718.85158823076904</v>
      </c>
      <c r="J21" s="2">
        <v>907.65624928846103</v>
      </c>
      <c r="K21" s="2">
        <v>726.12499943076909</v>
      </c>
      <c r="L21" s="2">
        <v>726.12499943076909</v>
      </c>
      <c r="M21" s="2">
        <v>907.65624928846103</v>
      </c>
      <c r="N21" s="2">
        <v>726.12499943076909</v>
      </c>
      <c r="O21" s="2">
        <v>1727.33140298077</v>
      </c>
      <c r="P21" s="9"/>
      <c r="Q21" s="2">
        <f>SUM(OSRRefD21_0_0x)+IFERROR(SUM(OSRRefE21_0_0x),0)</f>
        <v>11680.362076311538</v>
      </c>
    </row>
    <row r="22" spans="1:17" s="34" customFormat="1" hidden="1" outlineLevel="1" x14ac:dyDescent="0.25">
      <c r="A22" s="35"/>
      <c r="B22" s="13" t="str">
        <f>CONCATENATE("          ","6112", " - ","COMPENSATION INSURANCE")</f>
        <v xml:space="preserve">          6112 - COMPENSATION INSURANCE</v>
      </c>
      <c r="C22" s="15"/>
      <c r="D22" s="2">
        <v>77.87</v>
      </c>
      <c r="E22" s="2">
        <v>84.22</v>
      </c>
      <c r="F22" s="2">
        <v>82.4</v>
      </c>
      <c r="G22" s="2">
        <v>79.05</v>
      </c>
      <c r="H22" s="2">
        <v>311.134280769231</v>
      </c>
      <c r="I22" s="2">
        <v>323.62178076923101</v>
      </c>
      <c r="J22" s="2">
        <v>335.73358846153798</v>
      </c>
      <c r="K22" s="2">
        <v>320.28512076923101</v>
      </c>
      <c r="L22" s="2">
        <v>317.70020826923098</v>
      </c>
      <c r="M22" s="2">
        <v>387.43183846153903</v>
      </c>
      <c r="N22" s="2">
        <v>304.77564576923101</v>
      </c>
      <c r="O22" s="2">
        <v>417.55691826923101</v>
      </c>
      <c r="P22" s="9"/>
      <c r="Q22" s="2">
        <f>SUM(OSRRefD21_0_1x)+IFERROR(SUM(OSRRefE21_0_1x),0)</f>
        <v>3041.7793815384634</v>
      </c>
    </row>
    <row r="23" spans="1:17" s="34" customFormat="1" hidden="1" outlineLevel="1" x14ac:dyDescent="0.25">
      <c r="A23" s="35"/>
      <c r="B23" s="13" t="str">
        <f>CONCATENATE("          ","6113", " - ","GROUP INSURANCE")</f>
        <v xml:space="preserve">          6113 - GROUP INSURANCE</v>
      </c>
      <c r="C23" s="15"/>
      <c r="D23" s="2">
        <v>1230.45</v>
      </c>
      <c r="E23" s="2">
        <v>1230.45</v>
      </c>
      <c r="F23" s="2">
        <v>1250.75</v>
      </c>
      <c r="G23" s="2">
        <v>1230.45</v>
      </c>
      <c r="H23" s="2">
        <v>1025</v>
      </c>
      <c r="I23" s="2">
        <v>1025</v>
      </c>
      <c r="J23" s="2">
        <v>1025</v>
      </c>
      <c r="K23" s="2">
        <v>1025</v>
      </c>
      <c r="L23" s="2">
        <v>1025</v>
      </c>
      <c r="M23" s="2">
        <v>1025</v>
      </c>
      <c r="N23" s="2">
        <v>1025</v>
      </c>
      <c r="O23" s="2">
        <v>1025</v>
      </c>
      <c r="P23" s="9"/>
      <c r="Q23" s="2">
        <f>SUM(OSRRefD21_0_2x)+IFERROR(SUM(OSRRefE21_0_2x),0)</f>
        <v>13142.1</v>
      </c>
    </row>
    <row r="24" spans="1:17" s="34" customFormat="1" hidden="1" outlineLevel="1" x14ac:dyDescent="0.25">
      <c r="A24" s="35"/>
      <c r="B24" s="13" t="str">
        <f>CONCATENATE("          ","6114", " - ","STATE UNEMPLOYMENT INSURANCE")</f>
        <v xml:space="preserve">          6114 - STATE UNEMPLOYMENT INSURANCE</v>
      </c>
      <c r="C24" s="15"/>
      <c r="D24" s="2">
        <v>34.200000000000003</v>
      </c>
      <c r="E24" s="2">
        <v>39.200000000000003</v>
      </c>
      <c r="F24" s="2">
        <v>37.770000000000003</v>
      </c>
      <c r="G24" s="2">
        <v>35.130000000000003</v>
      </c>
      <c r="H24" s="2">
        <v>43.726979999999998</v>
      </c>
      <c r="I24" s="2">
        <v>45.48198</v>
      </c>
      <c r="J24" s="2">
        <v>47.184179999999998</v>
      </c>
      <c r="K24" s="2">
        <v>45.013044000000001</v>
      </c>
      <c r="L24" s="2">
        <v>44.649759000000003</v>
      </c>
      <c r="M24" s="2">
        <v>54.44988</v>
      </c>
      <c r="N24" s="2">
        <v>42.833334000000001</v>
      </c>
      <c r="O24" s="2">
        <v>58.683675000000001</v>
      </c>
      <c r="P24" s="9"/>
      <c r="Q24" s="2">
        <f>SUM(OSRRefD21_0_3x)+IFERROR(SUM(OSRRefE21_0_3x),0)</f>
        <v>528.32283200000006</v>
      </c>
    </row>
    <row r="25" spans="1:17" s="34" customFormat="1" hidden="1" outlineLevel="1" x14ac:dyDescent="0.25">
      <c r="A25" s="35"/>
      <c r="B25" s="13" t="str">
        <f>CONCATENATE("          ","6115", " - ","P.E.R.S.")</f>
        <v xml:space="preserve">          6115 - P.E.R.S.</v>
      </c>
      <c r="C25" s="15"/>
      <c r="D25" s="2">
        <v>939.44</v>
      </c>
      <c r="E25" s="2">
        <v>640.35</v>
      </c>
      <c r="F25" s="2">
        <v>640.35</v>
      </c>
      <c r="G25" s="2">
        <v>640.35</v>
      </c>
      <c r="H25" s="2">
        <v>560.123953846154</v>
      </c>
      <c r="I25" s="2">
        <v>560.123953846154</v>
      </c>
      <c r="J25" s="2">
        <v>700.15494230769207</v>
      </c>
      <c r="K25" s="2">
        <v>560.123953846154</v>
      </c>
      <c r="L25" s="2">
        <v>560.123953846154</v>
      </c>
      <c r="M25" s="2">
        <v>700.15494230769207</v>
      </c>
      <c r="N25" s="2">
        <v>560.123953846154</v>
      </c>
      <c r="O25" s="2">
        <v>560.123953846154</v>
      </c>
      <c r="P25" s="9"/>
      <c r="Q25" s="2">
        <f>SUM(OSRRefD21_0_4x)+IFERROR(SUM(OSRRefE21_0_4x),0)</f>
        <v>7621.5436076923079</v>
      </c>
    </row>
    <row r="26" spans="1:17" s="34" customFormat="1" hidden="1" outlineLevel="1" x14ac:dyDescent="0.25">
      <c r="A26" s="35"/>
      <c r="B26" s="13" t="str">
        <f>CONCATENATE("          ","6116", " - ","EDUCATIONAL BENEFITS")</f>
        <v xml:space="preserve">          6116 - EDUCATIONAL BENEFITS</v>
      </c>
      <c r="C26" s="15"/>
      <c r="D26" s="2"/>
      <c r="E26" s="2"/>
      <c r="F26" s="2"/>
      <c r="G26" s="2"/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4" customFormat="1" hidden="1" outlineLevel="1" x14ac:dyDescent="0.25">
      <c r="A27" s="35"/>
      <c r="B27" s="13" t="str">
        <f>CONCATENATE("          ","6117", " - ","RETIREMENT STAFF HOURLY")</f>
        <v xml:space="preserve">          6117 - RETIREMENT STAFF HOURLY</v>
      </c>
      <c r="C27" s="15"/>
      <c r="D27" s="2">
        <v>100</v>
      </c>
      <c r="E27" s="2">
        <v>100</v>
      </c>
      <c r="F27" s="2">
        <v>85.1</v>
      </c>
      <c r="G27" s="2">
        <v>92.8</v>
      </c>
      <c r="H27" s="2"/>
      <c r="I27" s="2"/>
      <c r="J27" s="2"/>
      <c r="K27" s="2"/>
      <c r="L27" s="2"/>
      <c r="M27" s="2"/>
      <c r="N27" s="2"/>
      <c r="O27" s="2"/>
      <c r="P27" s="9"/>
      <c r="Q27" s="2">
        <f>SUM(OSRRefD21_0_6x)+IFERROR(SUM(OSRRefE21_0_6x),0)</f>
        <v>377.90000000000003</v>
      </c>
    </row>
    <row r="28" spans="1:17" s="34" customFormat="1" hidden="1" outlineLevel="1" x14ac:dyDescent="0.25">
      <c r="A28" s="35"/>
      <c r="B28" s="13" t="str">
        <f>CONCATENATE("          ","6118", " - ","VACATION")</f>
        <v xml:space="preserve">          6118 - VACATION</v>
      </c>
      <c r="C28" s="15"/>
      <c r="D28" s="2">
        <v>520.02</v>
      </c>
      <c r="E28" s="2">
        <v>520.02</v>
      </c>
      <c r="F28" s="2">
        <v>520.02</v>
      </c>
      <c r="G28" s="2">
        <v>780.03</v>
      </c>
      <c r="H28" s="2">
        <v>195.39207692307698</v>
      </c>
      <c r="I28" s="2">
        <v>195.39207692307698</v>
      </c>
      <c r="J28" s="2">
        <v>244.24009615384603</v>
      </c>
      <c r="K28" s="2">
        <v>195.39207692307698</v>
      </c>
      <c r="L28" s="2">
        <v>195.39207692307698</v>
      </c>
      <c r="M28" s="2">
        <v>244.24009615384603</v>
      </c>
      <c r="N28" s="2">
        <v>195.39207692307698</v>
      </c>
      <c r="O28" s="2">
        <v>195.39207692307698</v>
      </c>
      <c r="P28" s="9"/>
      <c r="Q28" s="2">
        <f>SUM(OSRRefD21_0_7x)+IFERROR(SUM(OSRRefE21_0_7x),0)</f>
        <v>4000.9226538461539</v>
      </c>
    </row>
    <row r="29" spans="1:17" s="34" customFormat="1" hidden="1" outlineLevel="1" x14ac:dyDescent="0.25">
      <c r="A29" s="35"/>
      <c r="B29" s="13" t="str">
        <f>CONCATENATE("          ","6119", " - ","SICK LEAVE")</f>
        <v xml:space="preserve">          6119 - SICK LEAVE</v>
      </c>
      <c r="C29" s="15"/>
      <c r="D29" s="2">
        <v>299.26</v>
      </c>
      <c r="E29" s="2">
        <v>299.26</v>
      </c>
      <c r="F29" s="2">
        <v>299.26</v>
      </c>
      <c r="G29" s="2">
        <v>448.9</v>
      </c>
      <c r="H29" s="2">
        <v>439.41138461538497</v>
      </c>
      <c r="I29" s="2">
        <v>459.66138461538497</v>
      </c>
      <c r="J29" s="2">
        <v>463.01948076923094</v>
      </c>
      <c r="K29" s="2">
        <v>454.25058461538498</v>
      </c>
      <c r="L29" s="2">
        <v>450.05883461538497</v>
      </c>
      <c r="M29" s="2">
        <v>546.85448076923092</v>
      </c>
      <c r="N29" s="2">
        <v>429.10008461538496</v>
      </c>
      <c r="O29" s="2">
        <v>611.98863461538497</v>
      </c>
      <c r="P29" s="9"/>
      <c r="Q29" s="2">
        <f>SUM(OSRRefD21_0_8x)+IFERROR(SUM(OSRRefE21_0_8x),0)</f>
        <v>5201.0248692307714</v>
      </c>
    </row>
    <row r="30" spans="1:17" s="34" customFormat="1" hidden="1" outlineLevel="1" x14ac:dyDescent="0.25">
      <c r="A30" s="35"/>
      <c r="B30" s="13" t="str">
        <f>CONCATENATE("          ","6156", " - ","EMPLOYEE MEALS")</f>
        <v xml:space="preserve">          6156 - EMPLOYEE MEALS</v>
      </c>
      <c r="C30" s="15"/>
      <c r="D30" s="2"/>
      <c r="E30" s="2"/>
      <c r="F30" s="2"/>
      <c r="G30" s="2"/>
      <c r="H30" s="2">
        <v>350</v>
      </c>
      <c r="I30" s="2">
        <v>350</v>
      </c>
      <c r="J30" s="2">
        <v>350</v>
      </c>
      <c r="K30" s="2">
        <v>350</v>
      </c>
      <c r="L30" s="2">
        <v>350</v>
      </c>
      <c r="M30" s="2">
        <v>350</v>
      </c>
      <c r="N30" s="2">
        <v>350</v>
      </c>
      <c r="O30" s="2">
        <v>350</v>
      </c>
      <c r="P30" s="9"/>
      <c r="Q30" s="2">
        <f>SUM(OSRRefD21_0_9x)+IFERROR(SUM(OSRRefE21_0_9x),0)</f>
        <v>2800</v>
      </c>
    </row>
    <row r="31" spans="1:17" s="34" customFormat="1" collapsed="1" x14ac:dyDescent="0.25">
      <c r="A31" s="35"/>
      <c r="B31" s="15" t="str">
        <f>CONCATENATE("     ","*Payroll                                          ")</f>
        <v xml:space="preserve">     *Payroll                                          </v>
      </c>
      <c r="C31" s="15"/>
      <c r="D31" s="1">
        <f>SUM(OSRRefD21_1x_0)</f>
        <v>15605.18</v>
      </c>
      <c r="E31" s="1">
        <f>SUM(OSRRefD21_1x_1)</f>
        <v>16843.640000000003</v>
      </c>
      <c r="F31" s="1">
        <f>SUM(OSRRefD21_1x_2)</f>
        <v>13598.04</v>
      </c>
      <c r="G31" s="1">
        <f>SUM(OSRRefD21_1x_3)</f>
        <v>15690.42</v>
      </c>
      <c r="H31" s="1">
        <f>SUM(OSRRefE21_1x_0)</f>
        <v>16183.265769230769</v>
      </c>
      <c r="I31" s="1">
        <f>SUM(OSRRefE21_1x_1)</f>
        <v>16838.015769230769</v>
      </c>
      <c r="J31" s="1">
        <f>SUM(OSRRefE21_1x_2)</f>
        <v>17440.501961538459</v>
      </c>
      <c r="K31" s="1">
        <f>SUM(OSRRefE21_1x_3)</f>
        <v>16663.06656923077</v>
      </c>
      <c r="L31" s="1">
        <f>SUM(OSRRefE21_1x_4)</f>
        <v>16527.53331923077</v>
      </c>
      <c r="M31" s="1">
        <f>SUM(OSRRefE21_1x_5)</f>
        <v>20151.16696153846</v>
      </c>
      <c r="N31" s="1">
        <f>SUM(OSRRefE21_1x_6)</f>
        <v>15849.867069230768</v>
      </c>
      <c r="O31" s="1">
        <f>SUM(OSRRefE21_1x_7)</f>
        <v>21763.263519230772</v>
      </c>
      <c r="Q31" s="2">
        <f>SUM(OSRRefD20_1x)+IFERROR(SUM(OSRRefE20_1x),0)</f>
        <v>203153.96093846153</v>
      </c>
    </row>
    <row r="32" spans="1:17" s="34" customFormat="1" hidden="1" outlineLevel="1" x14ac:dyDescent="0.25">
      <c r="A32" s="35"/>
      <c r="B32" s="13" t="str">
        <f>CONCATENATE("          ","6001", " - ","ADMINISTRATIVE SALARIES")</f>
        <v xml:space="preserve">          6001 - ADMINISTRATIVE SALARIES</v>
      </c>
      <c r="C32" s="15"/>
      <c r="D32" s="2">
        <v>5257.72</v>
      </c>
      <c r="E32" s="2">
        <v>4205.72</v>
      </c>
      <c r="F32" s="2">
        <v>4205.72</v>
      </c>
      <c r="G32" s="2">
        <v>4205.1400000000003</v>
      </c>
      <c r="H32" s="2">
        <v>4019.23076923077</v>
      </c>
      <c r="I32" s="2">
        <v>4019.23076923077</v>
      </c>
      <c r="J32" s="2">
        <v>5024.0384615384601</v>
      </c>
      <c r="K32" s="2">
        <v>4019.23076923077</v>
      </c>
      <c r="L32" s="2">
        <v>4019.23076923077</v>
      </c>
      <c r="M32" s="2">
        <v>5024.0384615384601</v>
      </c>
      <c r="N32" s="2">
        <v>4019.23076923077</v>
      </c>
      <c r="O32" s="2">
        <v>4019.23076923077</v>
      </c>
      <c r="P32" s="9"/>
      <c r="Q32" s="2">
        <f>SUM(OSRRefD21_1_0x)+IFERROR(SUM(OSRRefE21_1_0x),0)</f>
        <v>52037.761538461535</v>
      </c>
    </row>
    <row r="33" spans="1:17" s="34" customFormat="1" hidden="1" outlineLevel="1" x14ac:dyDescent="0.25">
      <c r="A33" s="35"/>
      <c r="B33" s="13" t="str">
        <f>CONCATENATE("          ","6002", " - ","STAFF SALARIES")</f>
        <v xml:space="preserve">          6002 - STAFF SALARIES</v>
      </c>
      <c r="C33" s="15"/>
      <c r="D33" s="2">
        <v>2054.0700000000002</v>
      </c>
      <c r="E33" s="2">
        <v>2625.07</v>
      </c>
      <c r="F33" s="2">
        <v>2282.3000000000002</v>
      </c>
      <c r="G33" s="2">
        <v>2852.45</v>
      </c>
      <c r="H33" s="2">
        <v>2168.1849999999999</v>
      </c>
      <c r="I33" s="2">
        <v>2168.1849999999999</v>
      </c>
      <c r="J33" s="2">
        <v>2710.2312499999998</v>
      </c>
      <c r="K33" s="2">
        <v>2168.1849999999999</v>
      </c>
      <c r="L33" s="2">
        <v>2168.1849999999999</v>
      </c>
      <c r="M33" s="2">
        <v>2710.2312499999998</v>
      </c>
      <c r="N33" s="2">
        <v>2168.1849999999999</v>
      </c>
      <c r="O33" s="2">
        <v>2168.1849999999999</v>
      </c>
      <c r="P33" s="9"/>
      <c r="Q33" s="2">
        <f>SUM(OSRRefD21_1_1x)+IFERROR(SUM(OSRRefE21_1_1x),0)</f>
        <v>28243.462499999998</v>
      </c>
    </row>
    <row r="34" spans="1:17" s="34" customFormat="1" hidden="1" outlineLevel="1" x14ac:dyDescent="0.25">
      <c r="A34" s="35"/>
      <c r="B34" s="13" t="str">
        <f>CONCATENATE("          ","6003", " - ","STAFF HOURLY-9 MONTH")</f>
        <v xml:space="preserve">          6003 - STAFF HOURLY-9 MONTH</v>
      </c>
      <c r="C34" s="15"/>
      <c r="D34" s="2"/>
      <c r="E34" s="2"/>
      <c r="F34" s="2"/>
      <c r="G34" s="2"/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4" customFormat="1" hidden="1" outlineLevel="1" x14ac:dyDescent="0.25">
      <c r="A35" s="35"/>
      <c r="B35" s="13" t="str">
        <f>CONCATENATE("          ","6004", " - ","STAFF HOURLY")</f>
        <v xml:space="preserve">          6004 - STAFF HOURLY</v>
      </c>
      <c r="C35" s="15"/>
      <c r="D35" s="2"/>
      <c r="E35" s="2"/>
      <c r="F35" s="2"/>
      <c r="G35" s="2"/>
      <c r="H35" s="2">
        <v>2793.6</v>
      </c>
      <c r="I35" s="2">
        <v>2793.6</v>
      </c>
      <c r="J35" s="2">
        <v>3607.2359999999999</v>
      </c>
      <c r="K35" s="2">
        <v>2885.7887999999998</v>
      </c>
      <c r="L35" s="2">
        <v>2885.7887999999998</v>
      </c>
      <c r="M35" s="2">
        <v>3607.2359999999999</v>
      </c>
      <c r="N35" s="2">
        <v>2885.7887999999998</v>
      </c>
      <c r="O35" s="2">
        <v>5410.8540000000003</v>
      </c>
      <c r="P35" s="9"/>
      <c r="Q35" s="2">
        <f>SUM(OSRRefD21_1_3x)+IFERROR(SUM(OSRRefE21_1_3x),0)</f>
        <v>26869.892399999997</v>
      </c>
    </row>
    <row r="36" spans="1:17" s="34" customFormat="1" hidden="1" outlineLevel="1" x14ac:dyDescent="0.25">
      <c r="A36" s="35"/>
      <c r="B36" s="13" t="str">
        <f>CONCATENATE("          ","6005", " - ","TEMPORARY WAGES-HOURLY")</f>
        <v xml:space="preserve">          6005 - TEMPORARY WAGES-HOURLY</v>
      </c>
      <c r="C36" s="15"/>
      <c r="D36" s="2">
        <v>6737.39</v>
      </c>
      <c r="E36" s="2">
        <v>7904.97</v>
      </c>
      <c r="F36" s="2">
        <v>6363.16</v>
      </c>
      <c r="G36" s="2">
        <v>8347.7999999999993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SUM(OSRRefD21_1_4x)+IFERROR(SUM(OSRRefE21_1_4x),0)</f>
        <v>29353.32</v>
      </c>
    </row>
    <row r="37" spans="1:17" s="34" customFormat="1" hidden="1" outlineLevel="1" x14ac:dyDescent="0.25">
      <c r="A37" s="35"/>
      <c r="B37" s="13" t="str">
        <f>CONCATENATE("          ","6006", " - ","TEMPORARY PART TIME")</f>
        <v xml:space="preserve">          6006 - TEMPORARY PART TIME</v>
      </c>
      <c r="C37" s="15"/>
      <c r="D37" s="2"/>
      <c r="E37" s="2"/>
      <c r="F37" s="2"/>
      <c r="G37" s="2"/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4" customFormat="1" hidden="1" outlineLevel="1" x14ac:dyDescent="0.25">
      <c r="A38" s="35"/>
      <c r="B38" s="13" t="str">
        <f>CONCATENATE("          ","6007", " - ","STUDENT HOURLY")</f>
        <v xml:space="preserve">          6007 - STUDENT HOURLY</v>
      </c>
      <c r="C38" s="15"/>
      <c r="D38" s="2">
        <v>1556</v>
      </c>
      <c r="E38" s="2">
        <v>2107.88</v>
      </c>
      <c r="F38" s="2">
        <v>-96.5</v>
      </c>
      <c r="G38" s="2">
        <v>-756.15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10164.99375</v>
      </c>
      <c r="P38" s="9"/>
      <c r="Q38" s="2">
        <f>SUM(OSRRefD21_1_6x)+IFERROR(SUM(OSRRefE21_1_6x),0)</f>
        <v>12976.223749999999</v>
      </c>
    </row>
    <row r="39" spans="1:17" s="34" customFormat="1" hidden="1" outlineLevel="1" x14ac:dyDescent="0.25">
      <c r="A39" s="35"/>
      <c r="B39" s="13" t="str">
        <f>CONCATENATE("          ","6008", " - ","STUDENT HOURLY-FICA EXEMPT")</f>
        <v xml:space="preserve">          6008 - STUDENT HOURLY-FICA EXEMPT</v>
      </c>
      <c r="C39" s="15"/>
      <c r="D39" s="2"/>
      <c r="E39" s="2"/>
      <c r="F39" s="2">
        <v>843.36</v>
      </c>
      <c r="G39" s="2">
        <v>1041.18</v>
      </c>
      <c r="H39" s="2">
        <v>7202.25</v>
      </c>
      <c r="I39" s="2">
        <v>7857</v>
      </c>
      <c r="J39" s="2">
        <v>6098.9962500000001</v>
      </c>
      <c r="K39" s="2">
        <v>7589.8620000000001</v>
      </c>
      <c r="L39" s="2">
        <v>7454.3287500000006</v>
      </c>
      <c r="M39" s="2">
        <v>8809.6612499999992</v>
      </c>
      <c r="N39" s="2">
        <v>6776.6624999999995</v>
      </c>
      <c r="O39" s="2">
        <v>0</v>
      </c>
      <c r="P39" s="9"/>
      <c r="Q39" s="2">
        <f>SUM(OSRRefD21_1_7x)+IFERROR(SUM(OSRRefE21_1_7x),0)</f>
        <v>53673.300750000002</v>
      </c>
    </row>
    <row r="40" spans="1:17" s="34" customFormat="1" hidden="1" outlineLevel="1" x14ac:dyDescent="0.25">
      <c r="A40" s="35"/>
      <c r="B40" s="13" t="str">
        <f>CONCATENATE("          ","6009", " - ","TEMPORARY-SEASONAL")</f>
        <v xml:space="preserve">          6009 - TEMPORARY-SEASONAL</v>
      </c>
      <c r="C40" s="15"/>
      <c r="D40" s="2"/>
      <c r="E40" s="2"/>
      <c r="F40" s="2"/>
      <c r="G40" s="2"/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4" customFormat="1" hidden="1" outlineLevel="1" x14ac:dyDescent="0.25">
      <c r="A41" s="35"/>
      <c r="B41" s="13" t="str">
        <f>CONCATENATE("          ","6010", " - ","GRATUITY")</f>
        <v xml:space="preserve">          6010 - GRATUITY</v>
      </c>
      <c r="C41" s="15"/>
      <c r="D41" s="2"/>
      <c r="E41" s="2"/>
      <c r="F41" s="2"/>
      <c r="G41" s="2"/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4" customFormat="1" collapsed="1" x14ac:dyDescent="0.25">
      <c r="A42" s="35"/>
      <c r="B42" s="15" t="str">
        <f>CONCATENATE("     ","Advertising/Promo                                 ")</f>
        <v xml:space="preserve">     Advertising/Promo                                 </v>
      </c>
      <c r="C42" s="15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SUM(OSRRefE21_2x_0)</f>
        <v>100</v>
      </c>
      <c r="I42" s="1">
        <f>SUM(OSRRefE21_2x_1)</f>
        <v>100</v>
      </c>
      <c r="J42" s="1">
        <f>SUM(OSRRefE21_2x_2)</f>
        <v>100</v>
      </c>
      <c r="K42" s="1">
        <f>SUM(OSRRefE21_2x_3)</f>
        <v>100</v>
      </c>
      <c r="L42" s="1">
        <f>SUM(OSRRefE21_2x_4)</f>
        <v>100</v>
      </c>
      <c r="M42" s="1">
        <f>SUM(OSRRefE21_2x_5)</f>
        <v>100</v>
      </c>
      <c r="N42" s="1">
        <f>SUM(OSRRefE21_2x_6)</f>
        <v>100</v>
      </c>
      <c r="O42" s="1">
        <f>SUM(OSRRefE21_2x_7)</f>
        <v>100</v>
      </c>
      <c r="Q42" s="2">
        <f>SUM(OSRRefD20_2x)+IFERROR(SUM(OSRRefE20_2x),0)</f>
        <v>800</v>
      </c>
    </row>
    <row r="43" spans="1:17" s="34" customFormat="1" hidden="1" outlineLevel="1" x14ac:dyDescent="0.25">
      <c r="A43" s="35"/>
      <c r="B43" s="13" t="str">
        <f>CONCATENATE("          ","6362", " - ","ADVERTISING EXPENSE")</f>
        <v xml:space="preserve">          6362 - ADVERTISING EXPENSE</v>
      </c>
      <c r="C43" s="15"/>
      <c r="D43" s="2"/>
      <c r="E43" s="2"/>
      <c r="F43" s="2"/>
      <c r="G43" s="2"/>
      <c r="H43" s="2">
        <v>100</v>
      </c>
      <c r="I43" s="2">
        <v>100</v>
      </c>
      <c r="J43" s="2">
        <v>100</v>
      </c>
      <c r="K43" s="2">
        <v>100</v>
      </c>
      <c r="L43" s="2">
        <v>100</v>
      </c>
      <c r="M43" s="2">
        <v>100</v>
      </c>
      <c r="N43" s="2">
        <v>100</v>
      </c>
      <c r="O43" s="2">
        <v>100</v>
      </c>
      <c r="P43" s="9"/>
      <c r="Q43" s="2">
        <f>SUM(OSRRefD21_2_0x)+IFERROR(SUM(OSRRefE21_2_0x),0)</f>
        <v>800</v>
      </c>
    </row>
    <row r="44" spans="1:17" s="34" customFormat="1" collapsed="1" x14ac:dyDescent="0.25">
      <c r="A44" s="35"/>
      <c r="B44" s="15" t="str">
        <f>CONCATENATE("     ","Bank/card Fees                                    ")</f>
        <v xml:space="preserve">     Bank/card Fees                                    </v>
      </c>
      <c r="C44" s="15"/>
      <c r="D44" s="1">
        <f>SUM(OSRRefD21_3x_0)</f>
        <v>246.33</v>
      </c>
      <c r="E44" s="1">
        <f>SUM(OSRRefD21_3x_1)</f>
        <v>124.1</v>
      </c>
      <c r="F44" s="1">
        <f>SUM(OSRRefD21_3x_2)</f>
        <v>94</v>
      </c>
      <c r="G44" s="1">
        <f>SUM(OSRRefD21_3x_3)</f>
        <v>55.04</v>
      </c>
      <c r="H44" s="1">
        <f>SUM(OSRRefE21_3x_0)</f>
        <v>1500</v>
      </c>
      <c r="I44" s="1">
        <f>SUM(OSRRefE21_3x_1)</f>
        <v>2000</v>
      </c>
      <c r="J44" s="1">
        <f>SUM(OSRRefE21_3x_2)</f>
        <v>2000</v>
      </c>
      <c r="K44" s="1">
        <f>SUM(OSRRefE21_3x_3)</f>
        <v>2000</v>
      </c>
      <c r="L44" s="1">
        <f>SUM(OSRRefE21_3x_4)</f>
        <v>2000</v>
      </c>
      <c r="M44" s="1">
        <f>SUM(OSRRefE21_3x_5)</f>
        <v>2000</v>
      </c>
      <c r="N44" s="1">
        <f>SUM(OSRRefE21_3x_6)</f>
        <v>2000</v>
      </c>
      <c r="O44" s="1">
        <f>SUM(OSRRefE21_3x_7)</f>
        <v>2000</v>
      </c>
      <c r="Q44" s="2">
        <f>SUM(OSRRefD20_3x)+IFERROR(SUM(OSRRefE20_3x),0)</f>
        <v>16019.47</v>
      </c>
    </row>
    <row r="45" spans="1:17" s="34" customFormat="1" hidden="1" outlineLevel="1" x14ac:dyDescent="0.25">
      <c r="A45" s="35"/>
      <c r="B45" s="13" t="str">
        <f>CONCATENATE("          ","6381", " - ","BANK/CREDIT CARD FEES")</f>
        <v xml:space="preserve">          6381 - BANK/CREDIT CARD FEES</v>
      </c>
      <c r="C45" s="15"/>
      <c r="D45" s="2">
        <v>246.33</v>
      </c>
      <c r="E45" s="2">
        <v>124.1</v>
      </c>
      <c r="F45" s="2">
        <v>94</v>
      </c>
      <c r="G45" s="2">
        <v>55.04</v>
      </c>
      <c r="H45" s="2">
        <v>1500</v>
      </c>
      <c r="I45" s="2">
        <v>2000</v>
      </c>
      <c r="J45" s="2">
        <v>2000</v>
      </c>
      <c r="K45" s="2">
        <v>2000</v>
      </c>
      <c r="L45" s="2">
        <v>2000</v>
      </c>
      <c r="M45" s="2">
        <v>2000</v>
      </c>
      <c r="N45" s="2">
        <v>2000</v>
      </c>
      <c r="O45" s="2">
        <v>2000</v>
      </c>
      <c r="P45" s="9"/>
      <c r="Q45" s="2">
        <f>SUM(OSRRefD21_3_0x)+IFERROR(SUM(OSRRefE21_3_0x),0)</f>
        <v>16019.47</v>
      </c>
    </row>
    <row r="46" spans="1:17" s="34" customFormat="1" collapsed="1" x14ac:dyDescent="0.25">
      <c r="A46" s="35"/>
      <c r="B46" s="15" t="str">
        <f>CONCATENATE("     ","Employees' Appreciation                           ")</f>
        <v xml:space="preserve">     Employees' Appreciation                           </v>
      </c>
      <c r="C46" s="15"/>
      <c r="D46" s="1">
        <f>SUM(OSRRefD21_4x_0)</f>
        <v>0</v>
      </c>
      <c r="E46" s="1">
        <f>SUM(OSRRefD21_4x_1)</f>
        <v>0</v>
      </c>
      <c r="F46" s="1">
        <f>SUM(OSRRefD21_4x_2)</f>
        <v>0</v>
      </c>
      <c r="G46" s="1">
        <f>SUM(OSRRefD21_4x_3)</f>
        <v>0</v>
      </c>
      <c r="H46" s="1">
        <f>SUM(OSRRefE21_4x_0)</f>
        <v>20</v>
      </c>
      <c r="I46" s="1">
        <f>SUM(OSRRefE21_4x_1)</f>
        <v>20</v>
      </c>
      <c r="J46" s="1">
        <f>SUM(OSRRefE21_4x_2)</f>
        <v>20</v>
      </c>
      <c r="K46" s="1">
        <f>SUM(OSRRefE21_4x_3)</f>
        <v>20</v>
      </c>
      <c r="L46" s="1">
        <f>SUM(OSRRefE21_4x_4)</f>
        <v>20</v>
      </c>
      <c r="M46" s="1">
        <f>SUM(OSRRefE21_4x_5)</f>
        <v>20</v>
      </c>
      <c r="N46" s="1">
        <f>SUM(OSRRefE21_4x_6)</f>
        <v>20</v>
      </c>
      <c r="O46" s="1">
        <f>SUM(OSRRefE21_4x_7)</f>
        <v>20</v>
      </c>
      <c r="Q46" s="2">
        <f>SUM(OSRRefD20_4x)+IFERROR(SUM(OSRRefE20_4x),0)</f>
        <v>160</v>
      </c>
    </row>
    <row r="47" spans="1:17" s="34" customFormat="1" hidden="1" outlineLevel="1" x14ac:dyDescent="0.25">
      <c r="A47" s="35"/>
      <c r="B47" s="13" t="str">
        <f>CONCATENATE("          ","6277", " - ","EMPLOYEE APPRECIATION")</f>
        <v xml:space="preserve">          6277 - EMPLOYEE APPRECIATION</v>
      </c>
      <c r="C47" s="15"/>
      <c r="D47" s="2"/>
      <c r="E47" s="2"/>
      <c r="F47" s="2"/>
      <c r="G47" s="2"/>
      <c r="H47" s="2">
        <v>20</v>
      </c>
      <c r="I47" s="2">
        <v>20</v>
      </c>
      <c r="J47" s="2">
        <v>20</v>
      </c>
      <c r="K47" s="2">
        <v>20</v>
      </c>
      <c r="L47" s="2">
        <v>20</v>
      </c>
      <c r="M47" s="2">
        <v>20</v>
      </c>
      <c r="N47" s="2">
        <v>20</v>
      </c>
      <c r="O47" s="2">
        <v>20</v>
      </c>
      <c r="P47" s="9"/>
      <c r="Q47" s="2">
        <f>SUM(OSRRefD21_4_0x)+IFERROR(SUM(OSRRefE21_4_0x),0)</f>
        <v>160</v>
      </c>
    </row>
    <row r="48" spans="1:17" s="34" customFormat="1" collapsed="1" x14ac:dyDescent="0.25">
      <c r="A48" s="35"/>
      <c r="B48" s="15" t="str">
        <f>CONCATENATE("     ","Freight out/Postage                               ")</f>
        <v xml:space="preserve">     Freight out/Postage                               </v>
      </c>
      <c r="C48" s="15"/>
      <c r="D48" s="1">
        <f>SUM(OSRRefD21_5x_0)</f>
        <v>0</v>
      </c>
      <c r="E48" s="1">
        <f>SUM(OSRRefD21_5x_1)</f>
        <v>0.28999999999999998</v>
      </c>
      <c r="F48" s="1">
        <f>SUM(OSRRefD21_5x_2)</f>
        <v>0.5</v>
      </c>
      <c r="G48" s="1">
        <f>SUM(OSRRefD21_5x_3)</f>
        <v>1.33</v>
      </c>
      <c r="H48" s="1">
        <f>SUM(OSRRefE21_5x_0)</f>
        <v>10</v>
      </c>
      <c r="I48" s="1">
        <f>SUM(OSRRefE21_5x_1)</f>
        <v>10</v>
      </c>
      <c r="J48" s="1">
        <f>SUM(OSRRefE21_5x_2)</f>
        <v>10</v>
      </c>
      <c r="K48" s="1">
        <f>SUM(OSRRefE21_5x_3)</f>
        <v>10</v>
      </c>
      <c r="L48" s="1">
        <f>SUM(OSRRefE21_5x_4)</f>
        <v>10</v>
      </c>
      <c r="M48" s="1">
        <f>SUM(OSRRefE21_5x_5)</f>
        <v>10</v>
      </c>
      <c r="N48" s="1">
        <f>SUM(OSRRefE21_5x_6)</f>
        <v>10</v>
      </c>
      <c r="O48" s="1">
        <f>SUM(OSRRefE21_5x_7)</f>
        <v>10</v>
      </c>
      <c r="Q48" s="2">
        <f>SUM(OSRRefD20_5x)+IFERROR(SUM(OSRRefE20_5x),0)</f>
        <v>82.12</v>
      </c>
    </row>
    <row r="49" spans="1:17" s="34" customFormat="1" hidden="1" outlineLevel="1" x14ac:dyDescent="0.25">
      <c r="A49" s="35"/>
      <c r="B49" s="13" t="str">
        <f>CONCATENATE("          ","6305", " - ","FREIGHT OUT")</f>
        <v xml:space="preserve">          6305 - FREIGHT OUT</v>
      </c>
      <c r="C49" s="15"/>
      <c r="D49" s="2"/>
      <c r="E49" s="2">
        <v>0.28999999999999998</v>
      </c>
      <c r="F49" s="2"/>
      <c r="G49" s="2">
        <v>1.33</v>
      </c>
      <c r="H49" s="2"/>
      <c r="I49" s="2"/>
      <c r="J49" s="2"/>
      <c r="K49" s="2"/>
      <c r="L49" s="2"/>
      <c r="M49" s="2"/>
      <c r="N49" s="2"/>
      <c r="O49" s="2"/>
      <c r="P49" s="9"/>
      <c r="Q49" s="2">
        <f>SUM(OSRRefD21_5_0x)+IFERROR(SUM(OSRRefE21_5_0x),0)</f>
        <v>1.62</v>
      </c>
    </row>
    <row r="50" spans="1:17" s="34" customFormat="1" hidden="1" outlineLevel="1" x14ac:dyDescent="0.25">
      <c r="A50" s="35"/>
      <c r="B50" s="13" t="str">
        <f>CONCATENATE("          ","6307", " - ","POSTAGE")</f>
        <v xml:space="preserve">          6307 - POSTAGE</v>
      </c>
      <c r="C50" s="15"/>
      <c r="D50" s="2"/>
      <c r="E50" s="2"/>
      <c r="F50" s="2">
        <v>0.5</v>
      </c>
      <c r="G50" s="2"/>
      <c r="H50" s="2">
        <v>10</v>
      </c>
      <c r="I50" s="2">
        <v>10</v>
      </c>
      <c r="J50" s="2">
        <v>10</v>
      </c>
      <c r="K50" s="2">
        <v>10</v>
      </c>
      <c r="L50" s="2">
        <v>10</v>
      </c>
      <c r="M50" s="2">
        <v>10</v>
      </c>
      <c r="N50" s="2">
        <v>10</v>
      </c>
      <c r="O50" s="2">
        <v>10</v>
      </c>
      <c r="P50" s="9"/>
      <c r="Q50" s="2">
        <f>SUM(OSRRefD21_5_1x)+IFERROR(SUM(OSRRefE21_5_1x),0)</f>
        <v>80.5</v>
      </c>
    </row>
    <row r="51" spans="1:17" s="34" customFormat="1" collapsed="1" x14ac:dyDescent="0.25">
      <c r="A51" s="35"/>
      <c r="B51" s="15" t="str">
        <f>CONCATENATE("     ","General                                           ")</f>
        <v xml:space="preserve">     General                                           </v>
      </c>
      <c r="C51" s="15"/>
      <c r="D51" s="1">
        <f>SUM(OSRRefD21_6x_0)</f>
        <v>0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SUM(OSRRefE21_6x_0)</f>
        <v>50</v>
      </c>
      <c r="I51" s="1">
        <f>SUM(OSRRefE21_6x_1)</f>
        <v>50</v>
      </c>
      <c r="J51" s="1">
        <f>SUM(OSRRefE21_6x_2)</f>
        <v>50</v>
      </c>
      <c r="K51" s="1">
        <f>SUM(OSRRefE21_6x_3)</f>
        <v>50</v>
      </c>
      <c r="L51" s="1">
        <f>SUM(OSRRefE21_6x_4)</f>
        <v>50</v>
      </c>
      <c r="M51" s="1">
        <f>SUM(OSRRefE21_6x_5)</f>
        <v>50</v>
      </c>
      <c r="N51" s="1">
        <f>SUM(OSRRefE21_6x_6)</f>
        <v>50</v>
      </c>
      <c r="O51" s="1">
        <f>SUM(OSRRefE21_6x_7)</f>
        <v>50</v>
      </c>
      <c r="Q51" s="2">
        <f>SUM(OSRRefD20_6x)+IFERROR(SUM(OSRRefE20_6x),0)</f>
        <v>400</v>
      </c>
    </row>
    <row r="52" spans="1:17" s="34" customFormat="1" hidden="1" outlineLevel="1" x14ac:dyDescent="0.25">
      <c r="A52" s="35"/>
      <c r="B52" s="13" t="str">
        <f>CONCATENATE("          ","6279", " - ","GENERAL EXPENSE")</f>
        <v xml:space="preserve">          6279 - GENERAL EXPENSE</v>
      </c>
      <c r="C52" s="15"/>
      <c r="D52" s="2"/>
      <c r="E52" s="2"/>
      <c r="F52" s="2"/>
      <c r="G52" s="2"/>
      <c r="H52" s="2">
        <v>50</v>
      </c>
      <c r="I52" s="2">
        <v>50</v>
      </c>
      <c r="J52" s="2">
        <v>50</v>
      </c>
      <c r="K52" s="2">
        <v>50</v>
      </c>
      <c r="L52" s="2">
        <v>50</v>
      </c>
      <c r="M52" s="2">
        <v>50</v>
      </c>
      <c r="N52" s="2">
        <v>50</v>
      </c>
      <c r="O52" s="2">
        <v>50</v>
      </c>
      <c r="P52" s="9"/>
      <c r="Q52" s="2">
        <f>SUM(OSRRefD21_6_0x)+IFERROR(SUM(OSRRefE21_6_0x),0)</f>
        <v>400</v>
      </c>
    </row>
    <row r="53" spans="1:17" s="34" customFormat="1" collapsed="1" x14ac:dyDescent="0.25">
      <c r="A53" s="35"/>
      <c r="B53" s="15" t="str">
        <f>CONCATENATE("     ","Insurance                                         ")</f>
        <v xml:space="preserve">     Insurance                                         </v>
      </c>
      <c r="C53" s="15"/>
      <c r="D53" s="1">
        <f>SUM(OSRRefD21_7x_0)</f>
        <v>29.01</v>
      </c>
      <c r="E53" s="1">
        <f>SUM(OSRRefD21_7x_1)</f>
        <v>29.01</v>
      </c>
      <c r="F53" s="1">
        <f>SUM(OSRRefD21_7x_2)</f>
        <v>29.01</v>
      </c>
      <c r="G53" s="1">
        <f>SUM(OSRRefD21_7x_3)</f>
        <v>29.01</v>
      </c>
      <c r="H53" s="1">
        <f>SUM(OSRRefE21_7x_0)</f>
        <v>33</v>
      </c>
      <c r="I53" s="1">
        <f>SUM(OSRRefE21_7x_1)</f>
        <v>33</v>
      </c>
      <c r="J53" s="1">
        <f>SUM(OSRRefE21_7x_2)</f>
        <v>33</v>
      </c>
      <c r="K53" s="1">
        <f>SUM(OSRRefE21_7x_3)</f>
        <v>33</v>
      </c>
      <c r="L53" s="1">
        <f>SUM(OSRRefE21_7x_4)</f>
        <v>33</v>
      </c>
      <c r="M53" s="1">
        <f>SUM(OSRRefE21_7x_5)</f>
        <v>33</v>
      </c>
      <c r="N53" s="1">
        <f>SUM(OSRRefE21_7x_6)</f>
        <v>33</v>
      </c>
      <c r="O53" s="1">
        <f>SUM(OSRRefE21_7x_7)</f>
        <v>33</v>
      </c>
      <c r="Q53" s="2">
        <f>SUM(OSRRefD20_7x)+IFERROR(SUM(OSRRefE20_7x),0)</f>
        <v>380.04</v>
      </c>
    </row>
    <row r="54" spans="1:17" s="34" customFormat="1" hidden="1" outlineLevel="1" x14ac:dyDescent="0.25">
      <c r="A54" s="35"/>
      <c r="B54" s="13" t="str">
        <f>CONCATENATE("          ","6314", " - ","LIABILITY INSURANCE")</f>
        <v xml:space="preserve">          6314 - LIABILITY INSURANCE</v>
      </c>
      <c r="C54" s="15"/>
      <c r="D54" s="2">
        <v>29.01</v>
      </c>
      <c r="E54" s="2">
        <v>29.01</v>
      </c>
      <c r="F54" s="2">
        <v>29.01</v>
      </c>
      <c r="G54" s="2">
        <v>29.01</v>
      </c>
      <c r="H54" s="2">
        <v>33</v>
      </c>
      <c r="I54" s="2">
        <v>33</v>
      </c>
      <c r="J54" s="2">
        <v>33</v>
      </c>
      <c r="K54" s="2">
        <v>33</v>
      </c>
      <c r="L54" s="2">
        <v>33</v>
      </c>
      <c r="M54" s="2">
        <v>33</v>
      </c>
      <c r="N54" s="2">
        <v>33</v>
      </c>
      <c r="O54" s="2">
        <v>33</v>
      </c>
      <c r="P54" s="9"/>
      <c r="Q54" s="2">
        <f>SUM(OSRRefD21_7_0x)+IFERROR(SUM(OSRRefE21_7_0x),0)</f>
        <v>380.04</v>
      </c>
    </row>
    <row r="55" spans="1:17" s="34" customFormat="1" collapsed="1" x14ac:dyDescent="0.25">
      <c r="A55" s="35"/>
      <c r="B55" s="15" t="str">
        <f>CONCATENATE("     ","Rent                                              ")</f>
        <v xml:space="preserve">     Rent                                              </v>
      </c>
      <c r="C55" s="15"/>
      <c r="D55" s="1">
        <f>SUM(OSRRefD21_8x_0)</f>
        <v>800</v>
      </c>
      <c r="E55" s="1">
        <f>SUM(OSRRefD21_8x_1)</f>
        <v>800</v>
      </c>
      <c r="F55" s="1">
        <f>SUM(OSRRefD21_8x_2)</f>
        <v>800</v>
      </c>
      <c r="G55" s="1">
        <f>SUM(OSRRefD21_8x_3)</f>
        <v>800</v>
      </c>
      <c r="H55" s="1">
        <f>SUM(OSRRefE21_8x_0)</f>
        <v>800</v>
      </c>
      <c r="I55" s="1">
        <f>SUM(OSRRefE21_8x_1)</f>
        <v>800</v>
      </c>
      <c r="J55" s="1">
        <f>SUM(OSRRefE21_8x_2)</f>
        <v>800</v>
      </c>
      <c r="K55" s="1">
        <f>SUM(OSRRefE21_8x_3)</f>
        <v>800</v>
      </c>
      <c r="L55" s="1">
        <f>SUM(OSRRefE21_8x_4)</f>
        <v>800</v>
      </c>
      <c r="M55" s="1">
        <f>SUM(OSRRefE21_8x_5)</f>
        <v>800</v>
      </c>
      <c r="N55" s="1">
        <f>SUM(OSRRefE21_8x_6)</f>
        <v>800</v>
      </c>
      <c r="O55" s="1">
        <f>SUM(OSRRefE21_8x_7)</f>
        <v>800</v>
      </c>
      <c r="Q55" s="2">
        <f>SUM(OSRRefD20_8x)+IFERROR(SUM(OSRRefE20_8x),0)</f>
        <v>9600</v>
      </c>
    </row>
    <row r="56" spans="1:17" s="34" customFormat="1" hidden="1" outlineLevel="1" x14ac:dyDescent="0.25">
      <c r="A56" s="35"/>
      <c r="B56" s="13" t="str">
        <f>CONCATENATE("          ","6273", " - ","RENT")</f>
        <v xml:space="preserve">          6273 - RENT</v>
      </c>
      <c r="C56" s="15"/>
      <c r="D56" s="2">
        <v>800</v>
      </c>
      <c r="E56" s="2">
        <v>800</v>
      </c>
      <c r="F56" s="2">
        <v>800</v>
      </c>
      <c r="G56" s="2">
        <v>800</v>
      </c>
      <c r="H56" s="2">
        <v>800</v>
      </c>
      <c r="I56" s="2">
        <v>800</v>
      </c>
      <c r="J56" s="2">
        <v>800</v>
      </c>
      <c r="K56" s="2">
        <v>800</v>
      </c>
      <c r="L56" s="2">
        <v>800</v>
      </c>
      <c r="M56" s="2">
        <v>800</v>
      </c>
      <c r="N56" s="2">
        <v>800</v>
      </c>
      <c r="O56" s="2">
        <v>800</v>
      </c>
      <c r="P56" s="9"/>
      <c r="Q56" s="2">
        <f>SUM(OSRRefD21_8_0x)+IFERROR(SUM(OSRRefE21_8_0x),0)</f>
        <v>9600</v>
      </c>
    </row>
    <row r="57" spans="1:17" s="34" customFormat="1" collapsed="1" x14ac:dyDescent="0.25">
      <c r="A57" s="35"/>
      <c r="B57" s="15" t="str">
        <f>CONCATENATE("     ","Repair and Maintenance                            ")</f>
        <v xml:space="preserve">     Repair and Maintenance                            </v>
      </c>
      <c r="C57" s="15"/>
      <c r="D57" s="1">
        <f>SUM(OSRRefD21_9x_0)</f>
        <v>0</v>
      </c>
      <c r="E57" s="1">
        <f>SUM(OSRRefD21_9x_1)</f>
        <v>0</v>
      </c>
      <c r="F57" s="1">
        <f>SUM(OSRRefD21_9x_2)</f>
        <v>6562</v>
      </c>
      <c r="G57" s="1">
        <f>SUM(OSRRefD21_9x_3)</f>
        <v>117265.90000000001</v>
      </c>
      <c r="H57" s="1">
        <f>SUM(OSRRefE21_9x_0)</f>
        <v>1500</v>
      </c>
      <c r="I57" s="1">
        <f>SUM(OSRRefE21_9x_1)</f>
        <v>1500</v>
      </c>
      <c r="J57" s="1">
        <f>SUM(OSRRefE21_9x_2)</f>
        <v>1500</v>
      </c>
      <c r="K57" s="1">
        <f>SUM(OSRRefE21_9x_3)</f>
        <v>1500</v>
      </c>
      <c r="L57" s="1">
        <f>SUM(OSRRefE21_9x_4)</f>
        <v>1500</v>
      </c>
      <c r="M57" s="1">
        <f>SUM(OSRRefE21_9x_5)</f>
        <v>1500</v>
      </c>
      <c r="N57" s="1">
        <f>SUM(OSRRefE21_9x_6)</f>
        <v>1500</v>
      </c>
      <c r="O57" s="1">
        <f>SUM(OSRRefE21_9x_7)</f>
        <v>1500</v>
      </c>
      <c r="Q57" s="2">
        <f>SUM(OSRRefD20_9x)+IFERROR(SUM(OSRRefE20_9x),0)</f>
        <v>135827.90000000002</v>
      </c>
    </row>
    <row r="58" spans="1:17" s="34" customFormat="1" hidden="1" outlineLevel="1" x14ac:dyDescent="0.25">
      <c r="A58" s="35"/>
      <c r="B58" s="13" t="str">
        <f>CONCATENATE("          ","6372", " - ","COMPUTER HARDWARE MAINTENANCE")</f>
        <v xml:space="preserve">          6372 - COMPUTER HARDWARE MAINTENANCE</v>
      </c>
      <c r="C58" s="15"/>
      <c r="D58" s="2"/>
      <c r="E58" s="2"/>
      <c r="F58" s="2"/>
      <c r="G58" s="2"/>
      <c r="H58" s="2">
        <v>1500</v>
      </c>
      <c r="I58" s="2">
        <v>1500</v>
      </c>
      <c r="J58" s="2">
        <v>1500</v>
      </c>
      <c r="K58" s="2">
        <v>1500</v>
      </c>
      <c r="L58" s="2">
        <v>1500</v>
      </c>
      <c r="M58" s="2">
        <v>1500</v>
      </c>
      <c r="N58" s="2">
        <v>1500</v>
      </c>
      <c r="O58" s="2">
        <v>1500</v>
      </c>
      <c r="P58" s="9"/>
      <c r="Q58" s="2">
        <f>SUM(OSRRefD21_9_0x)+IFERROR(SUM(OSRRefE21_9_0x),0)</f>
        <v>12000</v>
      </c>
    </row>
    <row r="59" spans="1:17" s="34" customFormat="1" hidden="1" outlineLevel="1" x14ac:dyDescent="0.25">
      <c r="A59" s="35"/>
      <c r="B59" s="13" t="str">
        <f>CONCATENATE("          ","6373", " - ","MAINTENANCE CONTRACTS")</f>
        <v xml:space="preserve">          6373 - MAINTENANCE CONTRACTS</v>
      </c>
      <c r="C59" s="15"/>
      <c r="D59" s="2"/>
      <c r="E59" s="2"/>
      <c r="F59" s="2"/>
      <c r="G59" s="2">
        <v>117265.90000000001</v>
      </c>
      <c r="H59" s="2"/>
      <c r="I59" s="2"/>
      <c r="J59" s="2"/>
      <c r="K59" s="2"/>
      <c r="L59" s="2"/>
      <c r="M59" s="2"/>
      <c r="N59" s="2"/>
      <c r="O59" s="2"/>
      <c r="P59" s="9"/>
      <c r="Q59" s="2">
        <f>SUM(OSRRefD21_9_1x)+IFERROR(SUM(OSRRefE21_9_1x),0)</f>
        <v>117265.90000000001</v>
      </c>
    </row>
    <row r="60" spans="1:17" s="34" customFormat="1" hidden="1" outlineLevel="1" x14ac:dyDescent="0.25">
      <c r="A60" s="35"/>
      <c r="B60" s="13" t="str">
        <f>CONCATENATE("          ","6375", " - ","OUTSIDE REPAIRS &amp; MAINTENANCE")</f>
        <v xml:space="preserve">          6375 - OUTSIDE REPAIRS &amp; MAINTENANCE</v>
      </c>
      <c r="C60" s="15"/>
      <c r="D60" s="2"/>
      <c r="E60" s="2"/>
      <c r="F60" s="2">
        <v>6562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SUM(OSRRefD21_9_2x)+IFERROR(SUM(OSRRefE21_9_2x),0)</f>
        <v>6562</v>
      </c>
    </row>
    <row r="61" spans="1:17" s="34" customFormat="1" collapsed="1" x14ac:dyDescent="0.25">
      <c r="A61" s="35"/>
      <c r="B61" s="15" t="str">
        <f>CONCATENATE("     ","Subscriptions &amp; Dues                              ")</f>
        <v xml:space="preserve">     Subscriptions &amp; Dues                              </v>
      </c>
      <c r="C61" s="15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0</v>
      </c>
      <c r="H61" s="1">
        <f>SUM(OSRRefE21_10x_0)</f>
        <v>0</v>
      </c>
      <c r="I61" s="1">
        <f>SUM(OSRRefE21_10x_1)</f>
        <v>0</v>
      </c>
      <c r="J61" s="1">
        <f>SUM(OSRRefE21_10x_2)</f>
        <v>0</v>
      </c>
      <c r="K61" s="1">
        <f>SUM(OSRRefE21_10x_3)</f>
        <v>0</v>
      </c>
      <c r="L61" s="1">
        <f>SUM(OSRRefE21_10x_4)</f>
        <v>0</v>
      </c>
      <c r="M61" s="1">
        <f>SUM(OSRRefE21_10x_5)</f>
        <v>850</v>
      </c>
      <c r="N61" s="1">
        <f>SUM(OSRRefE21_10x_6)</f>
        <v>0</v>
      </c>
      <c r="O61" s="1">
        <f>SUM(OSRRefE21_10x_7)</f>
        <v>0</v>
      </c>
      <c r="Q61" s="2">
        <f>SUM(OSRRefD20_10x)+IFERROR(SUM(OSRRefE20_10x),0)</f>
        <v>850</v>
      </c>
    </row>
    <row r="62" spans="1:17" s="34" customFormat="1" hidden="1" outlineLevel="1" x14ac:dyDescent="0.25">
      <c r="A62" s="35"/>
      <c r="B62" s="13" t="str">
        <f>CONCATENATE("          ","6258", " - ","MEMBERSHIP DUES")</f>
        <v xml:space="preserve">          6258 - MEMBERSHIP DUES</v>
      </c>
      <c r="C62" s="15"/>
      <c r="D62" s="2"/>
      <c r="E62" s="2"/>
      <c r="F62" s="2"/>
      <c r="G62" s="2"/>
      <c r="H62" s="2"/>
      <c r="I62" s="2"/>
      <c r="J62" s="2"/>
      <c r="K62" s="2"/>
      <c r="L62" s="2"/>
      <c r="M62" s="2">
        <v>850</v>
      </c>
      <c r="N62" s="2"/>
      <c r="O62" s="2"/>
      <c r="P62" s="9"/>
      <c r="Q62" s="2">
        <f>SUM(OSRRefD21_10_0x)+IFERROR(SUM(OSRRefE21_10_0x),0)</f>
        <v>850</v>
      </c>
    </row>
    <row r="63" spans="1:17" s="34" customFormat="1" collapsed="1" x14ac:dyDescent="0.25">
      <c r="A63" s="35"/>
      <c r="B63" s="15" t="str">
        <f>CONCATENATE("     ","Supplies                                          ")</f>
        <v xml:space="preserve">     Supplies                                          </v>
      </c>
      <c r="C63" s="15"/>
      <c r="D63" s="1">
        <f>SUM(OSRRefD21_11x_0)</f>
        <v>92.59</v>
      </c>
      <c r="E63" s="1">
        <f>SUM(OSRRefD21_11x_1)</f>
        <v>35090.559999999998</v>
      </c>
      <c r="F63" s="1">
        <f>SUM(OSRRefD21_11x_2)</f>
        <v>0</v>
      </c>
      <c r="G63" s="1">
        <f>SUM(OSRRefD21_11x_3)</f>
        <v>6088.55</v>
      </c>
      <c r="H63" s="1">
        <f>SUM(OSRRefE21_11x_0)</f>
        <v>7000</v>
      </c>
      <c r="I63" s="1">
        <f>SUM(OSRRefE21_11x_1)</f>
        <v>7000</v>
      </c>
      <c r="J63" s="1">
        <f>SUM(OSRRefE21_11x_2)</f>
        <v>7000</v>
      </c>
      <c r="K63" s="1">
        <f>SUM(OSRRefE21_11x_3)</f>
        <v>7000</v>
      </c>
      <c r="L63" s="1">
        <f>SUM(OSRRefE21_11x_4)</f>
        <v>7000</v>
      </c>
      <c r="M63" s="1">
        <f>SUM(OSRRefE21_11x_5)</f>
        <v>7000</v>
      </c>
      <c r="N63" s="1">
        <f>SUM(OSRRefE21_11x_6)</f>
        <v>7000</v>
      </c>
      <c r="O63" s="1">
        <f>SUM(OSRRefE21_11x_7)</f>
        <v>7000</v>
      </c>
      <c r="Q63" s="2">
        <f>SUM(OSRRefD20_11x)+IFERROR(SUM(OSRRefE20_11x),0)</f>
        <v>97271.7</v>
      </c>
    </row>
    <row r="64" spans="1:17" s="34" customFormat="1" hidden="1" outlineLevel="1" x14ac:dyDescent="0.25">
      <c r="A64" s="35"/>
      <c r="B64" s="13" t="str">
        <f>CONCATENATE("          ","6234", " - ","EXPENDABLE SUPPLIES &amp; EQUIPMEN")</f>
        <v xml:space="preserve">          6234 - EXPENDABLE SUPPLIES &amp; EQUIPMEN</v>
      </c>
      <c r="C64" s="15"/>
      <c r="D64" s="2"/>
      <c r="E64" s="2"/>
      <c r="F64" s="2"/>
      <c r="G64" s="2"/>
      <c r="H64" s="2">
        <v>7000</v>
      </c>
      <c r="I64" s="2">
        <v>7000</v>
      </c>
      <c r="J64" s="2">
        <v>7000</v>
      </c>
      <c r="K64" s="2">
        <v>7000</v>
      </c>
      <c r="L64" s="2">
        <v>7000</v>
      </c>
      <c r="M64" s="2">
        <v>7000</v>
      </c>
      <c r="N64" s="2">
        <v>7000</v>
      </c>
      <c r="O64" s="2">
        <v>7000</v>
      </c>
      <c r="P64" s="9"/>
      <c r="Q64" s="2">
        <f>SUM(OSRRefD21_11_0x)+IFERROR(SUM(OSRRefE21_11_0x),0)</f>
        <v>56000</v>
      </c>
    </row>
    <row r="65" spans="1:17" s="34" customFormat="1" hidden="1" outlineLevel="1" x14ac:dyDescent="0.25">
      <c r="A65" s="35"/>
      <c r="B65" s="13" t="str">
        <f>CONCATENATE("          ","6241", " - ","OFFICE EXPENSE")</f>
        <v xml:space="preserve">          6241 - OFFICE EXPENSE</v>
      </c>
      <c r="C65" s="15"/>
      <c r="D65" s="2">
        <v>92.59</v>
      </c>
      <c r="E65" s="2">
        <v>35090.559999999998</v>
      </c>
      <c r="F65" s="2"/>
      <c r="G65" s="2">
        <v>6088.55</v>
      </c>
      <c r="H65" s="2"/>
      <c r="I65" s="2"/>
      <c r="J65" s="2"/>
      <c r="K65" s="2"/>
      <c r="L65" s="2"/>
      <c r="M65" s="2"/>
      <c r="N65" s="2"/>
      <c r="O65" s="2"/>
      <c r="P65" s="9"/>
      <c r="Q65" s="2">
        <f>SUM(OSRRefD21_11_1x)+IFERROR(SUM(OSRRefE21_11_1x),0)</f>
        <v>41271.699999999997</v>
      </c>
    </row>
    <row r="66" spans="1:17" s="34" customFormat="1" collapsed="1" x14ac:dyDescent="0.25">
      <c r="A66" s="35"/>
      <c r="B66" s="15" t="str">
        <f>CONCATENATE("     ","Telephone/Data Lines                              ")</f>
        <v xml:space="preserve">     Telephone/Data Lines                              </v>
      </c>
      <c r="C66" s="15"/>
      <c r="D66" s="1">
        <f>SUM(OSRRefD21_12x_0)</f>
        <v>154.93</v>
      </c>
      <c r="E66" s="1">
        <f>SUM(OSRRefD21_12x_1)</f>
        <v>137.15</v>
      </c>
      <c r="F66" s="1">
        <f>SUM(OSRRefD21_12x_2)</f>
        <v>750</v>
      </c>
      <c r="G66" s="1">
        <f>SUM(OSRRefD21_12x_3)</f>
        <v>136.65</v>
      </c>
      <c r="H66" s="1">
        <f>SUM(OSRRefE21_12x_0)</f>
        <v>700</v>
      </c>
      <c r="I66" s="1">
        <f>SUM(OSRRefE21_12x_1)</f>
        <v>700</v>
      </c>
      <c r="J66" s="1">
        <f>SUM(OSRRefE21_12x_2)</f>
        <v>700</v>
      </c>
      <c r="K66" s="1">
        <f>SUM(OSRRefE21_12x_3)</f>
        <v>700</v>
      </c>
      <c r="L66" s="1">
        <f>SUM(OSRRefE21_12x_4)</f>
        <v>700</v>
      </c>
      <c r="M66" s="1">
        <f>SUM(OSRRefE21_12x_5)</f>
        <v>700</v>
      </c>
      <c r="N66" s="1">
        <f>SUM(OSRRefE21_12x_6)</f>
        <v>700</v>
      </c>
      <c r="O66" s="1">
        <f>SUM(OSRRefE21_12x_7)</f>
        <v>700</v>
      </c>
      <c r="Q66" s="2">
        <f>SUM(OSRRefD20_12x)+IFERROR(SUM(OSRRefE20_12x),0)</f>
        <v>6778.73</v>
      </c>
    </row>
    <row r="67" spans="1:17" s="34" customFormat="1" hidden="1" outlineLevel="1" x14ac:dyDescent="0.25">
      <c r="A67" s="35"/>
      <c r="B67" s="13" t="str">
        <f>CONCATENATE("          ","6309", " - ","TELEPHONE")</f>
        <v xml:space="preserve">          6309 - TELEPHONE</v>
      </c>
      <c r="C67" s="15"/>
      <c r="D67" s="2">
        <v>154.93</v>
      </c>
      <c r="E67" s="2">
        <v>137.15</v>
      </c>
      <c r="F67" s="2">
        <v>750</v>
      </c>
      <c r="G67" s="2">
        <v>136.65</v>
      </c>
      <c r="H67" s="2">
        <v>700</v>
      </c>
      <c r="I67" s="2">
        <v>700</v>
      </c>
      <c r="J67" s="2">
        <v>700</v>
      </c>
      <c r="K67" s="2">
        <v>700</v>
      </c>
      <c r="L67" s="2">
        <v>700</v>
      </c>
      <c r="M67" s="2">
        <v>700</v>
      </c>
      <c r="N67" s="2">
        <v>700</v>
      </c>
      <c r="O67" s="2">
        <v>700</v>
      </c>
      <c r="P67" s="9"/>
      <c r="Q67" s="2">
        <f>SUM(OSRRefD21_12_0x)+IFERROR(SUM(OSRRefE21_12_0x),0)</f>
        <v>6778.73</v>
      </c>
    </row>
    <row r="68" spans="1:17" s="34" customFormat="1" collapsed="1" x14ac:dyDescent="0.25">
      <c r="A68" s="35"/>
      <c r="B68" s="15" t="str">
        <f>CONCATENATE("     ","Training                                          ")</f>
        <v xml:space="preserve">     Training                                          </v>
      </c>
      <c r="C68" s="15"/>
      <c r="D68" s="1">
        <f>SUM(OSRRefD21_13x_0)</f>
        <v>0</v>
      </c>
      <c r="E68" s="1">
        <f>SUM(OSRRefD21_13x_1)</f>
        <v>0</v>
      </c>
      <c r="F68" s="1">
        <f>SUM(OSRRefD21_13x_2)</f>
        <v>0</v>
      </c>
      <c r="G68" s="1">
        <f>SUM(OSRRefD21_13x_3)</f>
        <v>0</v>
      </c>
      <c r="H68" s="1">
        <f>SUM(OSRRefE21_13x_0)</f>
        <v>0</v>
      </c>
      <c r="I68" s="1">
        <f>SUM(OSRRefE21_13x_1)</f>
        <v>0</v>
      </c>
      <c r="J68" s="1">
        <f>SUM(OSRRefE21_13x_2)</f>
        <v>0</v>
      </c>
      <c r="K68" s="1">
        <f>SUM(OSRRefE21_13x_3)</f>
        <v>0</v>
      </c>
      <c r="L68" s="1">
        <f>SUM(OSRRefE21_13x_4)</f>
        <v>3000</v>
      </c>
      <c r="M68" s="1">
        <f>SUM(OSRRefE21_13x_5)</f>
        <v>1500</v>
      </c>
      <c r="N68" s="1">
        <f>SUM(OSRRefE21_13x_6)</f>
        <v>0</v>
      </c>
      <c r="O68" s="1">
        <f>SUM(OSRRefE21_13x_7)</f>
        <v>0</v>
      </c>
      <c r="Q68" s="2">
        <f>SUM(OSRRefD20_13x)+IFERROR(SUM(OSRRefE20_13x),0)</f>
        <v>4500</v>
      </c>
    </row>
    <row r="69" spans="1:17" s="34" customFormat="1" hidden="1" outlineLevel="1" x14ac:dyDescent="0.25">
      <c r="A69" s="35"/>
      <c r="B69" s="13" t="str">
        <f>CONCATENATE("          ","6376", " - ","TRAINING")</f>
        <v xml:space="preserve">          6376 - TRAINING</v>
      </c>
      <c r="C69" s="15"/>
      <c r="D69" s="2"/>
      <c r="E69" s="2"/>
      <c r="F69" s="2"/>
      <c r="G69" s="2"/>
      <c r="H69" s="2"/>
      <c r="I69" s="2"/>
      <c r="J69" s="2"/>
      <c r="K69" s="2"/>
      <c r="L69" s="2">
        <v>3000</v>
      </c>
      <c r="M69" s="2">
        <v>1500</v>
      </c>
      <c r="N69" s="2"/>
      <c r="O69" s="2"/>
      <c r="P69" s="9"/>
      <c r="Q69" s="2">
        <f>SUM(OSRRefD21_13_0x)+IFERROR(SUM(OSRRefE21_13_0x),0)</f>
        <v>4500</v>
      </c>
    </row>
    <row r="70" spans="1:17" s="28" customFormat="1" x14ac:dyDescent="0.25">
      <c r="A70" s="20"/>
      <c r="B70" s="20"/>
      <c r="C70" s="20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Q70" s="1"/>
    </row>
    <row r="71" spans="1:17" s="9" customFormat="1" x14ac:dyDescent="0.25">
      <c r="A71" s="22"/>
      <c r="B71" s="16" t="s">
        <v>0</v>
      </c>
      <c r="C71" s="23"/>
      <c r="D71" s="3">
        <f>--165</f>
        <v>165</v>
      </c>
      <c r="E71" s="3">
        <f>--325</f>
        <v>325</v>
      </c>
      <c r="F71" s="3">
        <f>--260</f>
        <v>260</v>
      </c>
      <c r="G71" s="3">
        <f>--225.16</f>
        <v>225.16</v>
      </c>
      <c r="H71" s="3">
        <v>1650</v>
      </c>
      <c r="I71" s="3">
        <v>1800</v>
      </c>
      <c r="J71" s="3">
        <v>4000</v>
      </c>
      <c r="K71" s="3">
        <v>3700</v>
      </c>
      <c r="L71" s="3">
        <v>3500</v>
      </c>
      <c r="M71" s="3">
        <v>3500</v>
      </c>
      <c r="N71" s="3">
        <v>3000</v>
      </c>
      <c r="O71" s="3">
        <v>2500</v>
      </c>
      <c r="Q71" s="2">
        <f>SUM(OSRRefD23_0x)+IFERROR(SUM(OSRRefE23_0x),0)</f>
        <v>24625.16</v>
      </c>
    </row>
    <row r="72" spans="1:17" x14ac:dyDescent="0.25">
      <c r="A72" s="5"/>
      <c r="B72" s="8"/>
      <c r="C72" s="8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4" customFormat="1" x14ac:dyDescent="0.25">
      <c r="A73" s="8"/>
      <c r="B73" s="17" t="s">
        <v>3</v>
      </c>
      <c r="C73" s="17"/>
      <c r="D73" s="6">
        <f t="shared" ref="D73:O73" si="4">IFERROR(+D16-D19+D71, 0)</f>
        <v>0.13999999999941792</v>
      </c>
      <c r="E73" s="6">
        <f t="shared" si="4"/>
        <v>10086.040000000001</v>
      </c>
      <c r="F73" s="6">
        <f t="shared" si="4"/>
        <v>4742.8300000000017</v>
      </c>
      <c r="G73" s="6">
        <f t="shared" si="4"/>
        <v>7039.1700000000092</v>
      </c>
      <c r="H73" s="6">
        <f t="shared" si="4"/>
        <v>5211.0939663846148</v>
      </c>
      <c r="I73" s="6">
        <f t="shared" si="4"/>
        <v>5402.8514663846145</v>
      </c>
      <c r="J73" s="6">
        <f t="shared" si="4"/>
        <v>5204.5095014807739</v>
      </c>
      <c r="K73" s="6">
        <f t="shared" si="4"/>
        <v>5018.7436511846136</v>
      </c>
      <c r="L73" s="6">
        <f t="shared" si="4"/>
        <v>5585.4168486846174</v>
      </c>
      <c r="M73" s="6">
        <f t="shared" si="4"/>
        <v>6259.0455514807691</v>
      </c>
      <c r="N73" s="6">
        <f t="shared" si="4"/>
        <v>4989.782836184615</v>
      </c>
      <c r="O73" s="6">
        <f t="shared" si="4"/>
        <v>7661.6598191346129</v>
      </c>
      <c r="Q73" s="6">
        <f>IFERROR(+Q16-Q19+Q71, 0)</f>
        <v>67201.283640919282</v>
      </c>
    </row>
    <row r="74" spans="1:17" s="8" customFormat="1" x14ac:dyDescent="0.25">
      <c r="B74" s="16"/>
      <c r="C74" s="16"/>
      <c r="D74" s="4">
        <f t="shared" ref="D74:O74" si="5">IFERROR(D73/D10, 0)</f>
        <v>6.6758857469561736E-6</v>
      </c>
      <c r="E74" s="4">
        <f t="shared" si="5"/>
        <v>0.15085086971478143</v>
      </c>
      <c r="F74" s="4">
        <f t="shared" si="5"/>
        <v>0.15699536577292292</v>
      </c>
      <c r="G74" s="4">
        <f t="shared" si="5"/>
        <v>4.6443855030581405E-2</v>
      </c>
      <c r="H74" s="4">
        <f t="shared" si="5"/>
        <v>0.14845998593728427</v>
      </c>
      <c r="I74" s="4">
        <f t="shared" si="5"/>
        <v>0.14870779110383722</v>
      </c>
      <c r="J74" s="4">
        <f t="shared" si="5"/>
        <v>0.14899400250438791</v>
      </c>
      <c r="K74" s="4">
        <f t="shared" si="5"/>
        <v>0.14817229048993574</v>
      </c>
      <c r="L74" s="4">
        <f t="shared" si="5"/>
        <v>0.14896431120641732</v>
      </c>
      <c r="M74" s="4">
        <f t="shared" si="5"/>
        <v>0.15013662000721459</v>
      </c>
      <c r="N74" s="4">
        <f t="shared" si="5"/>
        <v>0.148126308739079</v>
      </c>
      <c r="O74" s="4">
        <f t="shared" si="5"/>
        <v>0.17379683828905301</v>
      </c>
      <c r="P74" s="18"/>
      <c r="Q74" s="4">
        <f>IFERROR(Q73/Q10, 0)</f>
        <v>0.1185638585463489</v>
      </c>
    </row>
    <row r="75" spans="1:17" x14ac:dyDescent="0.25">
      <c r="A75" s="5"/>
      <c r="B75" s="8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4" customFormat="1" x14ac:dyDescent="0.25">
      <c r="A76" s="25"/>
      <c r="B76" s="8" t="s">
        <v>8</v>
      </c>
      <c r="C76" s="8"/>
      <c r="D76" s="3">
        <v>10085.93</v>
      </c>
      <c r="E76" s="3">
        <v>4743.34</v>
      </c>
      <c r="F76" s="3">
        <v>7038.6</v>
      </c>
      <c r="G76" s="3">
        <v>36534.380000000005</v>
      </c>
      <c r="H76" s="3">
        <v>10699</v>
      </c>
      <c r="I76" s="3">
        <v>10731</v>
      </c>
      <c r="J76" s="3">
        <v>9</v>
      </c>
      <c r="K76" s="3">
        <v>5185</v>
      </c>
      <c r="L76" s="3">
        <v>8787</v>
      </c>
      <c r="M76" s="3">
        <v>9624</v>
      </c>
      <c r="N76" s="3">
        <v>8032</v>
      </c>
      <c r="O76" s="3">
        <v>-1463</v>
      </c>
      <c r="Q76" s="2">
        <f>SUM(OSRRefD28_0x)+IFERROR(SUM(OSRRefE28_0x),0)</f>
        <v>110006.25</v>
      </c>
    </row>
    <row r="77" spans="1:17" x14ac:dyDescent="0.25">
      <c r="A77" s="5"/>
      <c r="B77" s="8"/>
      <c r="C77" s="8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ht="15.75" thickBot="1" x14ac:dyDescent="0.3">
      <c r="A78" s="8"/>
      <c r="B78" s="17" t="s">
        <v>4</v>
      </c>
      <c r="C78" s="17"/>
      <c r="D78" s="7">
        <f t="shared" ref="D78:O78" si="6">IFERROR(+D73-D76, 0)</f>
        <v>-10085.790000000001</v>
      </c>
      <c r="E78" s="7">
        <f t="shared" si="6"/>
        <v>5342.7000000000007</v>
      </c>
      <c r="F78" s="7">
        <f t="shared" si="6"/>
        <v>-2295.7699999999986</v>
      </c>
      <c r="G78" s="7">
        <f t="shared" si="6"/>
        <v>-29495.209999999995</v>
      </c>
      <c r="H78" s="7">
        <f t="shared" si="6"/>
        <v>-5487.9060336153852</v>
      </c>
      <c r="I78" s="7">
        <f t="shared" si="6"/>
        <v>-5328.1485336153855</v>
      </c>
      <c r="J78" s="7">
        <f t="shared" si="6"/>
        <v>5195.5095014807739</v>
      </c>
      <c r="K78" s="7">
        <f t="shared" si="6"/>
        <v>-166.25634881538645</v>
      </c>
      <c r="L78" s="7">
        <f t="shared" si="6"/>
        <v>-3201.5831513153826</v>
      </c>
      <c r="M78" s="7">
        <f t="shared" si="6"/>
        <v>-3364.9544485192309</v>
      </c>
      <c r="N78" s="7">
        <f t="shared" si="6"/>
        <v>-3042.217163815385</v>
      </c>
      <c r="O78" s="7">
        <f t="shared" si="6"/>
        <v>9124.6598191346129</v>
      </c>
      <c r="Q78" s="7">
        <f>IFERROR(+Q73-Q76, 0)</f>
        <v>-42804.966359080718</v>
      </c>
    </row>
    <row r="79" spans="1:17" ht="15.75" thickTop="1" x14ac:dyDescent="0.25">
      <c r="A79" s="5"/>
      <c r="B79" s="5"/>
      <c r="C79" s="5"/>
      <c r="D79" s="4">
        <f t="shared" ref="D79:O79" si="7">IFERROR(D78/D10, 0)</f>
        <v>-0.48093986934337901</v>
      </c>
      <c r="E79" s="4">
        <f t="shared" si="7"/>
        <v>7.9907569435096706E-2</v>
      </c>
      <c r="F79" s="4">
        <f t="shared" si="7"/>
        <v>-7.5993710691823854E-2</v>
      </c>
      <c r="G79" s="4">
        <f t="shared" si="7"/>
        <v>-0.19460692913178015</v>
      </c>
      <c r="H79" s="4">
        <f t="shared" si="7"/>
        <v>-0.15634614494217786</v>
      </c>
      <c r="I79" s="4">
        <f t="shared" si="7"/>
        <v>-0.1466516716287401</v>
      </c>
      <c r="J79" s="4">
        <f t="shared" si="7"/>
        <v>0.14873635170710184</v>
      </c>
      <c r="K79" s="4">
        <f t="shared" si="7"/>
        <v>-4.9085160997722668E-3</v>
      </c>
      <c r="L79" s="4">
        <f t="shared" si="7"/>
        <v>-8.5386935626493729E-2</v>
      </c>
      <c r="M79" s="4">
        <f t="shared" si="7"/>
        <v>-8.0715643179717217E-2</v>
      </c>
      <c r="N79" s="4">
        <f t="shared" si="7"/>
        <v>-9.0311024277604499E-2</v>
      </c>
      <c r="O79" s="4">
        <f t="shared" si="7"/>
        <v>0.2069834819692998</v>
      </c>
      <c r="P79" s="18"/>
      <c r="Q79" s="4">
        <f>IFERROR(Q78/Q10, 0)</f>
        <v>-7.5521205868588445E-2</v>
      </c>
    </row>
    <row r="80" spans="1:17" x14ac:dyDescent="0.25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x14ac:dyDescent="0.2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4" customFormat="1" ht="15.75" thickBot="1" x14ac:dyDescent="0.3">
      <c r="A82" s="8"/>
      <c r="B82" s="17" t="s">
        <v>5</v>
      </c>
      <c r="C82" s="17"/>
      <c r="D82" s="7">
        <f t="shared" ref="D82:O82" si="8">IFERROR(SUM(D78:D81), 0)</f>
        <v>-10086.270939869344</v>
      </c>
      <c r="E82" s="7">
        <f t="shared" si="8"/>
        <v>5342.7799075694356</v>
      </c>
      <c r="F82" s="7">
        <f t="shared" si="8"/>
        <v>-2295.8459937106904</v>
      </c>
      <c r="G82" s="7">
        <f t="shared" si="8"/>
        <v>-29495.404606929129</v>
      </c>
      <c r="H82" s="7">
        <f t="shared" si="8"/>
        <v>-5488.0623797603275</v>
      </c>
      <c r="I82" s="7">
        <f t="shared" si="8"/>
        <v>-5328.2951852870146</v>
      </c>
      <c r="J82" s="7">
        <f t="shared" si="8"/>
        <v>5195.6582378324811</v>
      </c>
      <c r="K82" s="7">
        <f t="shared" si="8"/>
        <v>-166.26125733148621</v>
      </c>
      <c r="L82" s="7">
        <f t="shared" si="8"/>
        <v>-3201.6685382510091</v>
      </c>
      <c r="M82" s="7">
        <f t="shared" si="8"/>
        <v>-3365.0351641624106</v>
      </c>
      <c r="N82" s="7">
        <f t="shared" si="8"/>
        <v>-3042.3074748396625</v>
      </c>
      <c r="O82" s="7">
        <f t="shared" si="8"/>
        <v>9124.8668026165815</v>
      </c>
      <c r="Q82" s="7">
        <f>IFERROR(SUM(Q78:Q81), 0)</f>
        <v>-42805.04188028659</v>
      </c>
    </row>
    <row r="83" spans="1:17" ht="15.75" thickTop="1" x14ac:dyDescent="0.25">
      <c r="A83" s="5"/>
      <c r="C83" s="5"/>
      <c r="D83" s="4">
        <f t="shared" ref="D83:O83" si="9">IFERROR(D82/D10, 0)</f>
        <v>-0.48096280291208549</v>
      </c>
      <c r="E83" s="4">
        <f t="shared" si="9"/>
        <v>7.9908764564835047E-2</v>
      </c>
      <c r="F83" s="4">
        <f t="shared" si="9"/>
        <v>-7.5996226206907991E-2</v>
      </c>
      <c r="G83" s="4">
        <f t="shared" si="9"/>
        <v>-0.19460821313202517</v>
      </c>
      <c r="H83" s="4">
        <f t="shared" si="9"/>
        <v>-0.1563505991214019</v>
      </c>
      <c r="I83" s="4">
        <f t="shared" si="9"/>
        <v>-0.14665570806140632</v>
      </c>
      <c r="J83" s="4">
        <f t="shared" si="9"/>
        <v>0.14874060971150213</v>
      </c>
      <c r="K83" s="4">
        <f t="shared" si="9"/>
        <v>-4.9086610177286232E-3</v>
      </c>
      <c r="L83" s="4">
        <f t="shared" si="9"/>
        <v>-8.5389212915082252E-2</v>
      </c>
      <c r="M83" s="4">
        <f t="shared" si="9"/>
        <v>-8.0717579317383742E-2</v>
      </c>
      <c r="N83" s="4">
        <f t="shared" si="9"/>
        <v>-9.0313705243711406E-2</v>
      </c>
      <c r="O83" s="4">
        <f t="shared" si="9"/>
        <v>0.20698817717576856</v>
      </c>
      <c r="P83" s="18"/>
      <c r="Q83" s="4">
        <f>IFERROR(Q82/Q10, 0)</f>
        <v>-7.5521339111364258E-2</v>
      </c>
    </row>
    <row r="84" spans="1:17" x14ac:dyDescent="0.25">
      <c r="A84" s="5"/>
      <c r="B84" s="26">
        <v>44151.565122604166</v>
      </c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Q84" s="12"/>
    </row>
    <row r="85" spans="1:17" x14ac:dyDescent="0.25">
      <c r="A85" s="5"/>
      <c r="B85" s="30" t="s">
        <v>311</v>
      </c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Q85" s="12"/>
    </row>
    <row r="86" spans="1:17" x14ac:dyDescent="0.25">
      <c r="A86" s="5"/>
      <c r="B86" s="31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Q86" s="12"/>
    </row>
    <row r="87" spans="1:17" x14ac:dyDescent="0.25"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Q8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32" t="s">
        <v>7</v>
      </c>
    </row>
    <row r="3" spans="1:8" x14ac:dyDescent="0.25">
      <c r="B3" s="32" t="s">
        <v>288</v>
      </c>
    </row>
    <row r="4" spans="1:8" x14ac:dyDescent="0.25">
      <c r="B4" s="29" t="s">
        <v>309</v>
      </c>
    </row>
    <row r="5" spans="1:8" x14ac:dyDescent="0.25">
      <c r="A5" s="14"/>
      <c r="B5" s="14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25">
      <c r="B6" s="5"/>
      <c r="C6" s="5"/>
    </row>
    <row r="7" spans="1:8" x14ac:dyDescent="0.25">
      <c r="B7" s="5"/>
      <c r="C7" s="5"/>
      <c r="D7" s="11" t="s">
        <v>285</v>
      </c>
      <c r="E7" s="11" t="s">
        <v>310</v>
      </c>
    </row>
    <row r="8" spans="1:8" x14ac:dyDescent="0.25">
      <c r="A8" s="8"/>
      <c r="B8" s="27"/>
      <c r="C8" s="8"/>
      <c r="D8" s="11" t="e">
        <f ca="1">CONCATENATE("Period ", _xll.OneStop.ReportPlayer.OSRFunctions.OSRGet("Period","PeriodInYear"))</f>
        <v>#NAME?</v>
      </c>
      <c r="E8" s="11" t="e">
        <f ca="1">CONCATENATE("Period ", _xll.OneStop.ReportPlayer.OSRFunctions.OSRGet("Period","PeriodInYear"))</f>
        <v>#NAME?</v>
      </c>
      <c r="G8" s="11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6">
        <f t="shared" ref="D16:E16" ca="1" si="0">IFERROR(+D10-D13, 0)</f>
        <v>0</v>
      </c>
      <c r="E16" s="6">
        <f t="shared" ca="1" si="0"/>
        <v>0</v>
      </c>
      <c r="G16" s="6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0" t="e">
        <f ca="1">SUM(_xll.OneStop.ReportPlayer.OSRFunctions.OSRRef(D20))</f>
        <v>#NAME?</v>
      </c>
      <c r="E19" s="10" t="e">
        <f ca="1">SUM(_xll.OneStop.ReportPlayer.OSRFunctions.OSRRef(E20))</f>
        <v>#NAME?</v>
      </c>
      <c r="G19" s="10" t="e">
        <f ca="1">SUM(_xll.OneStop.ReportPlayer.OSRFunctions.OSRRef(G20))</f>
        <v>#NAME?</v>
      </c>
    </row>
    <row r="20" spans="1:7" s="34" customFormat="1" collapsed="1" x14ac:dyDescent="0.25">
      <c r="A20" s="35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25">
      <c r="A21" s="35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8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6">
        <f t="shared" ref="D25:E25" ca="1" si="2">IFERROR(+D16-D19+D23, 0)</f>
        <v>0</v>
      </c>
      <c r="E25" s="6">
        <f t="shared" ca="1" si="2"/>
        <v>0</v>
      </c>
      <c r="G25" s="6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30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97</vt:i4>
      </vt:variant>
      <vt:variant>
        <vt:lpstr>Named Ranges</vt:lpstr>
      </vt:variant>
      <vt:variant>
        <vt:i4>18551</vt:i4>
      </vt:variant>
    </vt:vector>
  </HeadingPairs>
  <TitlesOfParts>
    <vt:vector size="18648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OSR_Dept (2)_...dd5b15a0_2T6PUA</vt:lpstr>
      <vt:lpstr>OSR_Div 2_1PQ800A</vt:lpstr>
      <vt:lpstr>OSR_Div 1 (2...9b2bdc94_1Y8VZ4A</vt:lpstr>
      <vt:lpstr>OSR_Div 3_18723PH</vt:lpstr>
      <vt:lpstr>OSR_Div 1 (3...74ea2e91_1YANJVT</vt:lpstr>
      <vt:lpstr>OSR_300_IYZXI6</vt:lpstr>
      <vt:lpstr>OSR_Div 1 (4)...cdd6f638_NQSRHK</vt:lpstr>
      <vt:lpstr>OSR_300 &amp; 317_1C00ID4</vt:lpstr>
      <vt:lpstr>OSR_Div 1 (5)...14c61d9ac_RUIH7</vt:lpstr>
      <vt:lpstr>OSR_310_1CMTOSB</vt:lpstr>
      <vt:lpstr>OSR_Div 1 (6)...754b1b2a_ZV1FUK</vt:lpstr>
      <vt:lpstr>OSR_330_10VFP5Y</vt:lpstr>
      <vt:lpstr>OSR_Div 1 (7)...77c4adfc_YECVQC</vt:lpstr>
      <vt:lpstr>OSR_308_UAWDAG</vt:lpstr>
      <vt:lpstr>OSR_Div 1 (8...54681dd8_1N56J6G</vt:lpstr>
      <vt:lpstr>OSR_331_10VKQAJ</vt:lpstr>
      <vt:lpstr>OSR_Div 1 (9)...81df0cf4_TBZUNU</vt:lpstr>
      <vt:lpstr>OSR_332_6NDVBW</vt:lpstr>
      <vt:lpstr>OSR_Div 1 (10...e834aaf2_4B2R3Z</vt:lpstr>
      <vt:lpstr>OSR_Div 4_1740TMT</vt:lpstr>
      <vt:lpstr>OSR_Div 1 (1...42fef80a_1JUNUIZ</vt:lpstr>
      <vt:lpstr>OSR_310 &amp; 491_1NGRCS9</vt:lpstr>
      <vt:lpstr>OSR_Div 4 (2)...a8a8204b_XPPX5M</vt:lpstr>
      <vt:lpstr>OSR_491_9Z9JH5</vt:lpstr>
      <vt:lpstr>OSR_310 &amp; 491...c23f2d59_X1JXXU</vt:lpstr>
      <vt:lpstr>OSR_492_943FP1</vt:lpstr>
      <vt:lpstr>OSR_310 &amp; 49...76bf5af7_1A2901X</vt:lpstr>
      <vt:lpstr>OSR_Div 5_16NAZO2</vt:lpstr>
      <vt:lpstr>OSR_310 &amp; 49...7615ada9_1PJ8EDG</vt:lpstr>
      <vt:lpstr>OSR_Div 6_P37YY7</vt:lpstr>
      <vt:lpstr>OSR_Div 5 (2...bac05800_1LZIM8H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'300'!OSRRefD11_0x</vt:lpstr>
      <vt:lpstr>'300 &amp; 317'!OSRRefD11_0x</vt:lpstr>
      <vt:lpstr>'307'!OSRRefD11_0x</vt:lpstr>
      <vt:lpstr>'308'!OSRRefD11_0x</vt:lpstr>
      <vt:lpstr>'309'!OSRRefD11_0x</vt:lpstr>
      <vt:lpstr>'310'!OSRRefD11_0x</vt:lpstr>
      <vt:lpstr>'310 &amp; 491'!OSRRefD11_0x</vt:lpstr>
      <vt:lpstr>'311'!OSRRefD11_0x</vt:lpstr>
      <vt:lpstr>'315'!OSRRefD11_0x</vt:lpstr>
      <vt:lpstr>'316'!OSRRefD11_0x</vt:lpstr>
      <vt:lpstr>'317'!OSRRefD11_0x</vt:lpstr>
      <vt:lpstr>'321'!OSRRefD11_0x</vt:lpstr>
      <vt:lpstr>'322'!OSRRefD11_0x</vt:lpstr>
      <vt:lpstr>'324'!OSRRefD11_0x</vt:lpstr>
      <vt:lpstr>'326'!OSRRefD11_0x</vt:lpstr>
      <vt:lpstr>'327'!OSRRefD11_0x</vt:lpstr>
      <vt:lpstr>'330'!OSRRefD11_0x</vt:lpstr>
      <vt:lpstr>'331'!OSRRefD11_0x</vt:lpstr>
      <vt:lpstr>'332'!OSRRefD11_0x</vt:lpstr>
      <vt:lpstr>'405'!OSRRefD11_0x</vt:lpstr>
      <vt:lpstr>'412'!OSRRefD11_0x</vt:lpstr>
      <vt:lpstr>'413'!OSRRefD11_0x</vt:lpstr>
      <vt:lpstr>'414'!OSRRefD11_0x</vt:lpstr>
      <vt:lpstr>'415'!OSRRefD11_0x</vt:lpstr>
      <vt:lpstr>'418'!OSRRefD11_0x</vt:lpstr>
      <vt:lpstr>'420'!OSRRefD11_0x</vt:lpstr>
      <vt:lpstr>'433'!OSRRefD11_0x</vt:lpstr>
      <vt:lpstr>'444'!OSRRefD11_0x</vt:lpstr>
      <vt:lpstr>'450'!OSRRefD11_0x</vt:lpstr>
      <vt:lpstr>'491'!OSRRefD11_0x</vt:lpstr>
      <vt:lpstr>'492'!OSRRefD11_0x</vt:lpstr>
      <vt:lpstr>'501'!OSRRefD11_0x</vt:lpstr>
      <vt:lpstr>'Div 3'!OSRRefD11_0x</vt:lpstr>
      <vt:lpstr>'Div 4'!OSRRefD11_0x</vt:lpstr>
      <vt:lpstr>'Div 5'!OSRRefD11_0x</vt:lpstr>
      <vt:lpstr>'Div 6'!OSRRefD11_0x</vt:lpstr>
      <vt:lpstr>Summary!OSRRefD11_0x</vt:lpstr>
      <vt:lpstr>'300'!OSRRefD11_10x</vt:lpstr>
      <vt:lpstr>'300 &amp; 317'!OSRRefD11_10x</vt:lpstr>
      <vt:lpstr>'307'!OSRRefD11_10x</vt:lpstr>
      <vt:lpstr>'308'!OSRRefD11_10x</vt:lpstr>
      <vt:lpstr>'311'!OSRRefD11_10x</vt:lpstr>
      <vt:lpstr>'315'!OSRRefD11_10x</vt:lpstr>
      <vt:lpstr>'317'!OSRRefD11_10x</vt:lpstr>
      <vt:lpstr>'326'!OSRRefD11_10x</vt:lpstr>
      <vt:lpstr>'330'!OSRRefD11_10x</vt:lpstr>
      <vt:lpstr>'331'!OSRRefD11_10x</vt:lpstr>
      <vt:lpstr>'Div 3'!OSRRefD11_10x</vt:lpstr>
      <vt:lpstr>'Div 6'!OSRRefD11_10x</vt:lpstr>
      <vt:lpstr>Summary!OSRRefD11_10x</vt:lpstr>
      <vt:lpstr>'300'!OSRRefD11_11x</vt:lpstr>
      <vt:lpstr>'300 &amp; 317'!OSRRefD11_11x</vt:lpstr>
      <vt:lpstr>'308'!OSRRefD11_11x</vt:lpstr>
      <vt:lpstr>'311'!OSRRefD11_11x</vt:lpstr>
      <vt:lpstr>'315'!OSRRefD11_11x</vt:lpstr>
      <vt:lpstr>'317'!OSRRefD11_11x</vt:lpstr>
      <vt:lpstr>'326'!OSRRefD11_11x</vt:lpstr>
      <vt:lpstr>'331'!OSRRefD11_11x</vt:lpstr>
      <vt:lpstr>'Div 3'!OSRRefD11_11x</vt:lpstr>
      <vt:lpstr>'Div 6'!OSRRefD11_11x</vt:lpstr>
      <vt:lpstr>Summary!OSRRefD11_11x</vt:lpstr>
      <vt:lpstr>'300'!OSRRefD11_12x</vt:lpstr>
      <vt:lpstr>'300 &amp; 317'!OSRRefD11_12x</vt:lpstr>
      <vt:lpstr>'308'!OSRRefD11_12x</vt:lpstr>
      <vt:lpstr>'311'!OSRRefD11_12x</vt:lpstr>
      <vt:lpstr>'315'!OSRRefD11_12x</vt:lpstr>
      <vt:lpstr>'317'!OSRRefD11_12x</vt:lpstr>
      <vt:lpstr>'326'!OSRRefD11_12x</vt:lpstr>
      <vt:lpstr>'331'!OSRRefD11_12x</vt:lpstr>
      <vt:lpstr>'Div 3'!OSRRefD11_12x</vt:lpstr>
      <vt:lpstr>'Div 6'!OSRRefD11_12x</vt:lpstr>
      <vt:lpstr>Summary!OSRRefD11_12x</vt:lpstr>
      <vt:lpstr>'300'!OSRRefD11_13x</vt:lpstr>
      <vt:lpstr>'300 &amp; 317'!OSRRefD11_13x</vt:lpstr>
      <vt:lpstr>'308'!OSRRefD11_13x</vt:lpstr>
      <vt:lpstr>'311'!OSRRefD11_13x</vt:lpstr>
      <vt:lpstr>'315'!OSRRefD11_13x</vt:lpstr>
      <vt:lpstr>'317'!OSRRefD11_13x</vt:lpstr>
      <vt:lpstr>'326'!OSRRefD11_13x</vt:lpstr>
      <vt:lpstr>'331'!OSRRefD11_13x</vt:lpstr>
      <vt:lpstr>'Div 3'!OSRRefD11_13x</vt:lpstr>
      <vt:lpstr>'Div 6'!OSRRefD11_13x</vt:lpstr>
      <vt:lpstr>Summary!OSRRefD11_13x</vt:lpstr>
      <vt:lpstr>'300'!OSRRefD11_14x</vt:lpstr>
      <vt:lpstr>'300 &amp; 317'!OSRRefD11_14x</vt:lpstr>
      <vt:lpstr>'308'!OSRRefD11_14x</vt:lpstr>
      <vt:lpstr>'311'!OSRRefD11_14x</vt:lpstr>
      <vt:lpstr>'315'!OSRRefD11_14x</vt:lpstr>
      <vt:lpstr>'317'!OSRRefD11_14x</vt:lpstr>
      <vt:lpstr>'326'!OSRRefD11_14x</vt:lpstr>
      <vt:lpstr>'331'!OSRRefD11_14x</vt:lpstr>
      <vt:lpstr>'Div 3'!OSRRefD11_14x</vt:lpstr>
      <vt:lpstr>'Div 6'!OSRRefD11_14x</vt:lpstr>
      <vt:lpstr>Summary!OSRRefD11_14x</vt:lpstr>
      <vt:lpstr>'300'!OSRRefD11_15x</vt:lpstr>
      <vt:lpstr>'300 &amp; 317'!OSRRefD11_15x</vt:lpstr>
      <vt:lpstr>'308'!OSRRefD11_15x</vt:lpstr>
      <vt:lpstr>'311'!OSRRefD11_15x</vt:lpstr>
      <vt:lpstr>'315'!OSRRefD11_15x</vt:lpstr>
      <vt:lpstr>'317'!OSRRefD11_15x</vt:lpstr>
      <vt:lpstr>'326'!OSRRefD11_15x</vt:lpstr>
      <vt:lpstr>'331'!OSRRefD11_15x</vt:lpstr>
      <vt:lpstr>'Div 3'!OSRRefD11_15x</vt:lpstr>
      <vt:lpstr>'Div 6'!OSRRefD11_15x</vt:lpstr>
      <vt:lpstr>Summary!OSRRefD11_15x</vt:lpstr>
      <vt:lpstr>'300'!OSRRefD11_16x</vt:lpstr>
      <vt:lpstr>'300 &amp; 317'!OSRRefD11_16x</vt:lpstr>
      <vt:lpstr>'308'!OSRRefD11_16x</vt:lpstr>
      <vt:lpstr>'311'!OSRRefD11_16x</vt:lpstr>
      <vt:lpstr>'315'!OSRRefD11_16x</vt:lpstr>
      <vt:lpstr>'317'!OSRRefD11_16x</vt:lpstr>
      <vt:lpstr>'326'!OSRRefD11_16x</vt:lpstr>
      <vt:lpstr>'331'!OSRRefD11_16x</vt:lpstr>
      <vt:lpstr>'Div 3'!OSRRefD11_16x</vt:lpstr>
      <vt:lpstr>'Div 6'!OSRRefD11_16x</vt:lpstr>
      <vt:lpstr>Summary!OSRRefD11_16x</vt:lpstr>
      <vt:lpstr>'300'!OSRRefD11_17x</vt:lpstr>
      <vt:lpstr>'300 &amp; 317'!OSRRefD11_17x</vt:lpstr>
      <vt:lpstr>'308'!OSRRefD11_17x</vt:lpstr>
      <vt:lpstr>'311'!OSRRefD11_17x</vt:lpstr>
      <vt:lpstr>'315'!OSRRefD11_17x</vt:lpstr>
      <vt:lpstr>'317'!OSRRefD11_17x</vt:lpstr>
      <vt:lpstr>'326'!OSRRefD11_17x</vt:lpstr>
      <vt:lpstr>'331'!OSRRefD11_17x</vt:lpstr>
      <vt:lpstr>'Div 3'!OSRRefD11_17x</vt:lpstr>
      <vt:lpstr>'Div 6'!OSRRefD11_17x</vt:lpstr>
      <vt:lpstr>Summary!OSRRefD11_17x</vt:lpstr>
      <vt:lpstr>'300'!OSRRefD11_18x</vt:lpstr>
      <vt:lpstr>'300 &amp; 317'!OSRRefD11_18x</vt:lpstr>
      <vt:lpstr>'308'!OSRRefD11_18x</vt:lpstr>
      <vt:lpstr>'311'!OSRRefD11_18x</vt:lpstr>
      <vt:lpstr>'315'!OSRRefD11_18x</vt:lpstr>
      <vt:lpstr>'326'!OSRRefD11_18x</vt:lpstr>
      <vt:lpstr>'331'!OSRRefD11_18x</vt:lpstr>
      <vt:lpstr>'Div 3'!OSRRefD11_18x</vt:lpstr>
      <vt:lpstr>Summary!OSRRefD11_18x</vt:lpstr>
      <vt:lpstr>'300'!OSRRefD11_19x</vt:lpstr>
      <vt:lpstr>'300 &amp; 317'!OSRRefD11_19x</vt:lpstr>
      <vt:lpstr>'308'!OSRRefD11_19x</vt:lpstr>
      <vt:lpstr>'311'!OSRRefD11_19x</vt:lpstr>
      <vt:lpstr>'315'!OSRRefD11_19x</vt:lpstr>
      <vt:lpstr>'331'!OSRRefD11_19x</vt:lpstr>
      <vt:lpstr>'Div 3'!OSRRefD11_19x</vt:lpstr>
      <vt:lpstr>Summary!OSRRefD11_19x</vt:lpstr>
      <vt:lpstr>'300'!OSRRefD11_1x</vt:lpstr>
      <vt:lpstr>'300 &amp; 317'!OSRRefD11_1x</vt:lpstr>
      <vt:lpstr>'307'!OSRRefD11_1x</vt:lpstr>
      <vt:lpstr>'308'!OSRRefD11_1x</vt:lpstr>
      <vt:lpstr>'310'!OSRRefD11_1x</vt:lpstr>
      <vt:lpstr>'310 &amp; 491'!OSRRefD11_1x</vt:lpstr>
      <vt:lpstr>'311'!OSRRefD11_1x</vt:lpstr>
      <vt:lpstr>'315'!OSRRefD11_1x</vt:lpstr>
      <vt:lpstr>'316'!OSRRefD11_1x</vt:lpstr>
      <vt:lpstr>'317'!OSRRefD11_1x</vt:lpstr>
      <vt:lpstr>'321'!OSRRefD11_1x</vt:lpstr>
      <vt:lpstr>'324'!OSRRefD11_1x</vt:lpstr>
      <vt:lpstr>'326'!OSRRefD11_1x</vt:lpstr>
      <vt:lpstr>'327'!OSRRefD11_1x</vt:lpstr>
      <vt:lpstr>'330'!OSRRefD11_1x</vt:lpstr>
      <vt:lpstr>'331'!OSRRefD11_1x</vt:lpstr>
      <vt:lpstr>'332'!OSRRefD11_1x</vt:lpstr>
      <vt:lpstr>'405'!OSRRefD11_1x</vt:lpstr>
      <vt:lpstr>'413'!OSRRefD11_1x</vt:lpstr>
      <vt:lpstr>'414'!OSRRefD11_1x</vt:lpstr>
      <vt:lpstr>'415'!OSRRefD11_1x</vt:lpstr>
      <vt:lpstr>'418'!OSRRefD11_1x</vt:lpstr>
      <vt:lpstr>'433'!OSRRefD11_1x</vt:lpstr>
      <vt:lpstr>'444'!OSRRefD11_1x</vt:lpstr>
      <vt:lpstr>'450'!OSRRefD11_1x</vt:lpstr>
      <vt:lpstr>'491'!OSRRefD11_1x</vt:lpstr>
      <vt:lpstr>'492'!OSRRefD11_1x</vt:lpstr>
      <vt:lpstr>'501'!OSRRefD11_1x</vt:lpstr>
      <vt:lpstr>'Div 3'!OSRRefD11_1x</vt:lpstr>
      <vt:lpstr>'Div 4'!OSRRefD11_1x</vt:lpstr>
      <vt:lpstr>'Div 5'!OSRRefD11_1x</vt:lpstr>
      <vt:lpstr>'Div 6'!OSRRefD11_1x</vt:lpstr>
      <vt:lpstr>Summary!OSRRefD11_1x</vt:lpstr>
      <vt:lpstr>'300'!OSRRefD11_20x</vt:lpstr>
      <vt:lpstr>'300 &amp; 317'!OSRRefD11_20x</vt:lpstr>
      <vt:lpstr>'308'!OSRRefD11_20x</vt:lpstr>
      <vt:lpstr>'315'!OSRRefD11_20x</vt:lpstr>
      <vt:lpstr>'331'!OSRRefD11_20x</vt:lpstr>
      <vt:lpstr>'Div 3'!OSRRefD11_20x</vt:lpstr>
      <vt:lpstr>Summary!OSRRefD11_20x</vt:lpstr>
      <vt:lpstr>'300'!OSRRefD11_21x</vt:lpstr>
      <vt:lpstr>'300 &amp; 317'!OSRRefD11_21x</vt:lpstr>
      <vt:lpstr>'315'!OSRRefD11_21x</vt:lpstr>
      <vt:lpstr>'331'!OSRRefD11_21x</vt:lpstr>
      <vt:lpstr>'Div 3'!OSRRefD11_21x</vt:lpstr>
      <vt:lpstr>Summary!OSRRefD11_21x</vt:lpstr>
      <vt:lpstr>'300'!OSRRefD11_22x</vt:lpstr>
      <vt:lpstr>'300 &amp; 317'!OSRRefD11_22x</vt:lpstr>
      <vt:lpstr>'315'!OSRRefD11_22x</vt:lpstr>
      <vt:lpstr>'331'!OSRRefD11_22x</vt:lpstr>
      <vt:lpstr>'Div 3'!OSRRefD11_22x</vt:lpstr>
      <vt:lpstr>Summary!OSRRefD11_22x</vt:lpstr>
      <vt:lpstr>'300'!OSRRefD11_23x</vt:lpstr>
      <vt:lpstr>'300 &amp; 317'!OSRRefD11_23x</vt:lpstr>
      <vt:lpstr>'315'!OSRRefD11_23x</vt:lpstr>
      <vt:lpstr>'331'!OSRRefD11_23x</vt:lpstr>
      <vt:lpstr>'Div 3'!OSRRefD11_23x</vt:lpstr>
      <vt:lpstr>Summary!OSRRefD11_23x</vt:lpstr>
      <vt:lpstr>'300'!OSRRefD11_24x</vt:lpstr>
      <vt:lpstr>'300 &amp; 317'!OSRRefD11_24x</vt:lpstr>
      <vt:lpstr>'315'!OSRRefD11_24x</vt:lpstr>
      <vt:lpstr>'331'!OSRRefD11_24x</vt:lpstr>
      <vt:lpstr>'Div 3'!OSRRefD11_24x</vt:lpstr>
      <vt:lpstr>Summary!OSRRefD11_24x</vt:lpstr>
      <vt:lpstr>'300'!OSRRefD11_25x</vt:lpstr>
      <vt:lpstr>'300 &amp; 317'!OSRRefD11_25x</vt:lpstr>
      <vt:lpstr>'315'!OSRRefD11_25x</vt:lpstr>
      <vt:lpstr>'331'!OSRRefD11_25x</vt:lpstr>
      <vt:lpstr>'Div 3'!OSRRefD11_25x</vt:lpstr>
      <vt:lpstr>Summary!OSRRefD11_25x</vt:lpstr>
      <vt:lpstr>'300'!OSRRefD11_26x</vt:lpstr>
      <vt:lpstr>'300 &amp; 317'!OSRRefD11_26x</vt:lpstr>
      <vt:lpstr>'315'!OSRRefD11_26x</vt:lpstr>
      <vt:lpstr>'331'!OSRRefD11_26x</vt:lpstr>
      <vt:lpstr>'Div 3'!OSRRefD11_26x</vt:lpstr>
      <vt:lpstr>Summary!OSRRefD11_26x</vt:lpstr>
      <vt:lpstr>'300'!OSRRefD11_27x</vt:lpstr>
      <vt:lpstr>'300 &amp; 317'!OSRRefD11_27x</vt:lpstr>
      <vt:lpstr>'315'!OSRRefD11_27x</vt:lpstr>
      <vt:lpstr>'331'!OSRRefD11_27x</vt:lpstr>
      <vt:lpstr>'Div 3'!OSRRefD11_27x</vt:lpstr>
      <vt:lpstr>Summary!OSRRefD11_27x</vt:lpstr>
      <vt:lpstr>'300'!OSRRefD11_28x</vt:lpstr>
      <vt:lpstr>'300 &amp; 317'!OSRRefD11_28x</vt:lpstr>
      <vt:lpstr>'315'!OSRRefD11_28x</vt:lpstr>
      <vt:lpstr>'331'!OSRRefD11_28x</vt:lpstr>
      <vt:lpstr>'Div 3'!OSRRefD11_28x</vt:lpstr>
      <vt:lpstr>Summary!OSRRefD11_28x</vt:lpstr>
      <vt:lpstr>'300'!OSRRefD11_29x</vt:lpstr>
      <vt:lpstr>'300 &amp; 317'!OSRRefD11_29x</vt:lpstr>
      <vt:lpstr>'315'!OSRRefD11_29x</vt:lpstr>
      <vt:lpstr>'331'!OSRRefD11_29x</vt:lpstr>
      <vt:lpstr>'Div 3'!OSRRefD11_29x</vt:lpstr>
      <vt:lpstr>Summary!OSRRefD11_29x</vt:lpstr>
      <vt:lpstr>'300'!OSRRefD11_2x</vt:lpstr>
      <vt:lpstr>'300 &amp; 317'!OSRRefD11_2x</vt:lpstr>
      <vt:lpstr>'307'!OSRRefD11_2x</vt:lpstr>
      <vt:lpstr>'308'!OSRRefD11_2x</vt:lpstr>
      <vt:lpstr>'310'!OSRRefD11_2x</vt:lpstr>
      <vt:lpstr>'310 &amp; 491'!OSRRefD11_2x</vt:lpstr>
      <vt:lpstr>'311'!OSRRefD11_2x</vt:lpstr>
      <vt:lpstr>'315'!OSRRefD11_2x</vt:lpstr>
      <vt:lpstr>'316'!OSRRefD11_2x</vt:lpstr>
      <vt:lpstr>'317'!OSRRefD11_2x</vt:lpstr>
      <vt:lpstr>'324'!OSRRefD11_2x</vt:lpstr>
      <vt:lpstr>'326'!OSRRefD11_2x</vt:lpstr>
      <vt:lpstr>'330'!OSRRefD11_2x</vt:lpstr>
      <vt:lpstr>'331'!OSRRefD11_2x</vt:lpstr>
      <vt:lpstr>'332'!OSRRefD11_2x</vt:lpstr>
      <vt:lpstr>'414'!OSRRefD11_2x</vt:lpstr>
      <vt:lpstr>'415'!OSRRefD11_2x</vt:lpstr>
      <vt:lpstr>'433'!OSRRefD11_2x</vt:lpstr>
      <vt:lpstr>'444'!OSRRefD11_2x</vt:lpstr>
      <vt:lpstr>'491'!OSRRefD11_2x</vt:lpstr>
      <vt:lpstr>'492'!OSRRefD11_2x</vt:lpstr>
      <vt:lpstr>'Div 3'!OSRRefD11_2x</vt:lpstr>
      <vt:lpstr>'Div 4'!OSRRefD11_2x</vt:lpstr>
      <vt:lpstr>'Div 6'!OSRRefD11_2x</vt:lpstr>
      <vt:lpstr>Summary!OSRRefD11_2x</vt:lpstr>
      <vt:lpstr>'300'!OSRRefD11_30x</vt:lpstr>
      <vt:lpstr>'300 &amp; 317'!OSRRefD11_30x</vt:lpstr>
      <vt:lpstr>'315'!OSRRefD11_30x</vt:lpstr>
      <vt:lpstr>'331'!OSRRefD11_30x</vt:lpstr>
      <vt:lpstr>'Div 3'!OSRRefD11_30x</vt:lpstr>
      <vt:lpstr>Summary!OSRRefD11_30x</vt:lpstr>
      <vt:lpstr>'300'!OSRRefD11_31x</vt:lpstr>
      <vt:lpstr>'300 &amp; 317'!OSRRefD11_31x</vt:lpstr>
      <vt:lpstr>'315'!OSRRefD11_31x</vt:lpstr>
      <vt:lpstr>'331'!OSRRefD11_31x</vt:lpstr>
      <vt:lpstr>'Div 3'!OSRRefD11_31x</vt:lpstr>
      <vt:lpstr>Summary!OSRRefD11_31x</vt:lpstr>
      <vt:lpstr>'300'!OSRRefD11_32x</vt:lpstr>
      <vt:lpstr>'300 &amp; 317'!OSRRefD11_32x</vt:lpstr>
      <vt:lpstr>'315'!OSRRefD11_32x</vt:lpstr>
      <vt:lpstr>'331'!OSRRefD11_32x</vt:lpstr>
      <vt:lpstr>'Div 3'!OSRRefD11_32x</vt:lpstr>
      <vt:lpstr>Summary!OSRRefD11_32x</vt:lpstr>
      <vt:lpstr>'300'!OSRRefD11_33x</vt:lpstr>
      <vt:lpstr>'300 &amp; 317'!OSRRefD11_33x</vt:lpstr>
      <vt:lpstr>'315'!OSRRefD11_33x</vt:lpstr>
      <vt:lpstr>'331'!OSRRefD11_33x</vt:lpstr>
      <vt:lpstr>'Div 3'!OSRRefD11_33x</vt:lpstr>
      <vt:lpstr>Summary!OSRRefD11_33x</vt:lpstr>
      <vt:lpstr>'300'!OSRRefD11_34x</vt:lpstr>
      <vt:lpstr>'300 &amp; 317'!OSRRefD11_34x</vt:lpstr>
      <vt:lpstr>'315'!OSRRefD11_34x</vt:lpstr>
      <vt:lpstr>'331'!OSRRefD11_34x</vt:lpstr>
      <vt:lpstr>'Div 3'!OSRRefD11_34x</vt:lpstr>
      <vt:lpstr>Summary!OSRRefD11_34x</vt:lpstr>
      <vt:lpstr>'300'!OSRRefD11_35x</vt:lpstr>
      <vt:lpstr>'300 &amp; 317'!OSRRefD11_35x</vt:lpstr>
      <vt:lpstr>'315'!OSRRefD11_35x</vt:lpstr>
      <vt:lpstr>'331'!OSRRefD11_35x</vt:lpstr>
      <vt:lpstr>'Div 3'!OSRRefD11_35x</vt:lpstr>
      <vt:lpstr>Summary!OSRRefD11_35x</vt:lpstr>
      <vt:lpstr>'300'!OSRRefD11_36x</vt:lpstr>
      <vt:lpstr>'300 &amp; 317'!OSRRefD11_36x</vt:lpstr>
      <vt:lpstr>'Div 3'!OSRRefD11_36x</vt:lpstr>
      <vt:lpstr>Summary!OSRRefD11_36x</vt:lpstr>
      <vt:lpstr>'300'!OSRRefD11_37x</vt:lpstr>
      <vt:lpstr>'300 &amp; 317'!OSRRefD11_37x</vt:lpstr>
      <vt:lpstr>'Div 3'!OSRRefD11_37x</vt:lpstr>
      <vt:lpstr>Summary!OSRRefD11_37x</vt:lpstr>
      <vt:lpstr>'300'!OSRRefD11_38x</vt:lpstr>
      <vt:lpstr>'300 &amp; 317'!OSRRefD11_38x</vt:lpstr>
      <vt:lpstr>'Div 3'!OSRRefD11_38x</vt:lpstr>
      <vt:lpstr>Summary!OSRRefD11_38x</vt:lpstr>
      <vt:lpstr>'300'!OSRRefD11_39x</vt:lpstr>
      <vt:lpstr>'300 &amp; 317'!OSRRefD11_39x</vt:lpstr>
      <vt:lpstr>'Div 3'!OSRRefD11_39x</vt:lpstr>
      <vt:lpstr>Summary!OSRRefD11_39x</vt:lpstr>
      <vt:lpstr>'300'!OSRRefD11_3x</vt:lpstr>
      <vt:lpstr>'300 &amp; 317'!OSRRefD11_3x</vt:lpstr>
      <vt:lpstr>'307'!OSRRefD11_3x</vt:lpstr>
      <vt:lpstr>'308'!OSRRefD11_3x</vt:lpstr>
      <vt:lpstr>'310'!OSRRefD11_3x</vt:lpstr>
      <vt:lpstr>'310 &amp; 491'!OSRRefD11_3x</vt:lpstr>
      <vt:lpstr>'311'!OSRRefD11_3x</vt:lpstr>
      <vt:lpstr>'315'!OSRRefD11_3x</vt:lpstr>
      <vt:lpstr>'316'!OSRRefD11_3x</vt:lpstr>
      <vt:lpstr>'317'!OSRRefD11_3x</vt:lpstr>
      <vt:lpstr>'324'!OSRRefD11_3x</vt:lpstr>
      <vt:lpstr>'326'!OSRRefD11_3x</vt:lpstr>
      <vt:lpstr>'330'!OSRRefD11_3x</vt:lpstr>
      <vt:lpstr>'331'!OSRRefD11_3x</vt:lpstr>
      <vt:lpstr>'332'!OSRRefD11_3x</vt:lpstr>
      <vt:lpstr>'415'!OSRRefD11_3x</vt:lpstr>
      <vt:lpstr>'433'!OSRRefD11_3x</vt:lpstr>
      <vt:lpstr>'444'!OSRRefD11_3x</vt:lpstr>
      <vt:lpstr>'491'!OSRRefD11_3x</vt:lpstr>
      <vt:lpstr>'492'!OSRRefD11_3x</vt:lpstr>
      <vt:lpstr>'Div 3'!OSRRefD11_3x</vt:lpstr>
      <vt:lpstr>'Div 4'!OSRRefD11_3x</vt:lpstr>
      <vt:lpstr>'Div 6'!OSRRefD11_3x</vt:lpstr>
      <vt:lpstr>Summary!OSRRefD11_3x</vt:lpstr>
      <vt:lpstr>'300'!OSRRefD11_40x</vt:lpstr>
      <vt:lpstr>'300 &amp; 317'!OSRRefD11_40x</vt:lpstr>
      <vt:lpstr>'Div 3'!OSRRefD11_40x</vt:lpstr>
      <vt:lpstr>Summary!OSRRefD11_40x</vt:lpstr>
      <vt:lpstr>'300'!OSRRefD11_41x</vt:lpstr>
      <vt:lpstr>'300 &amp; 317'!OSRRefD11_41x</vt:lpstr>
      <vt:lpstr>'Div 3'!OSRRefD11_41x</vt:lpstr>
      <vt:lpstr>Summary!OSRRefD11_41x</vt:lpstr>
      <vt:lpstr>'300'!OSRRefD11_42x</vt:lpstr>
      <vt:lpstr>'300 &amp; 317'!OSRRefD11_42x</vt:lpstr>
      <vt:lpstr>'Div 3'!OSRRefD11_42x</vt:lpstr>
      <vt:lpstr>Summary!OSRRefD11_42x</vt:lpstr>
      <vt:lpstr>'300'!OSRRefD11_43x</vt:lpstr>
      <vt:lpstr>'300 &amp; 317'!OSRRefD11_43x</vt:lpstr>
      <vt:lpstr>'Div 3'!OSRRefD11_43x</vt:lpstr>
      <vt:lpstr>Summary!OSRRefD11_43x</vt:lpstr>
      <vt:lpstr>'300'!OSRRefD11_44x</vt:lpstr>
      <vt:lpstr>'300 &amp; 317'!OSRRefD11_44x</vt:lpstr>
      <vt:lpstr>'Div 3'!OSRRefD11_44x</vt:lpstr>
      <vt:lpstr>Summary!OSRRefD11_44x</vt:lpstr>
      <vt:lpstr>'300'!OSRRefD11_45x</vt:lpstr>
      <vt:lpstr>'300 &amp; 317'!OSRRefD11_45x</vt:lpstr>
      <vt:lpstr>'Div 3'!OSRRefD11_45x</vt:lpstr>
      <vt:lpstr>Summary!OSRRefD11_45x</vt:lpstr>
      <vt:lpstr>'300'!OSRRefD11_46x</vt:lpstr>
      <vt:lpstr>'300 &amp; 317'!OSRRefD11_46x</vt:lpstr>
      <vt:lpstr>'Div 3'!OSRRefD11_46x</vt:lpstr>
      <vt:lpstr>Summary!OSRRefD11_46x</vt:lpstr>
      <vt:lpstr>'300'!OSRRefD11_47x</vt:lpstr>
      <vt:lpstr>'300 &amp; 317'!OSRRefD11_47x</vt:lpstr>
      <vt:lpstr>'Div 3'!OSRRefD11_47x</vt:lpstr>
      <vt:lpstr>Summary!OSRRefD11_47x</vt:lpstr>
      <vt:lpstr>'300'!OSRRefD11_48x</vt:lpstr>
      <vt:lpstr>'300 &amp; 317'!OSRRefD11_48x</vt:lpstr>
      <vt:lpstr>'Div 3'!OSRRefD11_48x</vt:lpstr>
      <vt:lpstr>Summary!OSRRefD11_48x</vt:lpstr>
      <vt:lpstr>'300'!OSRRefD11_49x</vt:lpstr>
      <vt:lpstr>'300 &amp; 317'!OSRRefD11_49x</vt:lpstr>
      <vt:lpstr>'Div 3'!OSRRefD11_49x</vt:lpstr>
      <vt:lpstr>Summary!OSRRefD11_49x</vt:lpstr>
      <vt:lpstr>'300'!OSRRefD11_4x</vt:lpstr>
      <vt:lpstr>'300 &amp; 317'!OSRRefD11_4x</vt:lpstr>
      <vt:lpstr>'307'!OSRRefD11_4x</vt:lpstr>
      <vt:lpstr>'308'!OSRRefD11_4x</vt:lpstr>
      <vt:lpstr>'310 &amp; 491'!OSRRefD11_4x</vt:lpstr>
      <vt:lpstr>'311'!OSRRefD11_4x</vt:lpstr>
      <vt:lpstr>'315'!OSRRefD11_4x</vt:lpstr>
      <vt:lpstr>'316'!OSRRefD11_4x</vt:lpstr>
      <vt:lpstr>'317'!OSRRefD11_4x</vt:lpstr>
      <vt:lpstr>'326'!OSRRefD11_4x</vt:lpstr>
      <vt:lpstr>'330'!OSRRefD11_4x</vt:lpstr>
      <vt:lpstr>'331'!OSRRefD11_4x</vt:lpstr>
      <vt:lpstr>'332'!OSRRefD11_4x</vt:lpstr>
      <vt:lpstr>'491'!OSRRefD11_4x</vt:lpstr>
      <vt:lpstr>'Div 3'!OSRRefD11_4x</vt:lpstr>
      <vt:lpstr>'Div 4'!OSRRefD11_4x</vt:lpstr>
      <vt:lpstr>'Div 6'!OSRRefD11_4x</vt:lpstr>
      <vt:lpstr>Summary!OSRRefD11_4x</vt:lpstr>
      <vt:lpstr>'300'!OSRRefD11_50x</vt:lpstr>
      <vt:lpstr>'300 &amp; 317'!OSRRefD11_50x</vt:lpstr>
      <vt:lpstr>'Div 3'!OSRRefD11_50x</vt:lpstr>
      <vt:lpstr>Summary!OSRRefD11_50x</vt:lpstr>
      <vt:lpstr>'300'!OSRRefD11_51x</vt:lpstr>
      <vt:lpstr>'300 &amp; 317'!OSRRefD11_51x</vt:lpstr>
      <vt:lpstr>'Div 3'!OSRRefD11_51x</vt:lpstr>
      <vt:lpstr>Summary!OSRRefD11_51x</vt:lpstr>
      <vt:lpstr>'300'!OSRRefD11_52x</vt:lpstr>
      <vt:lpstr>'300 &amp; 317'!OSRRefD11_52x</vt:lpstr>
      <vt:lpstr>'Div 3'!OSRRefD11_52x</vt:lpstr>
      <vt:lpstr>Summary!OSRRefD11_52x</vt:lpstr>
      <vt:lpstr>'300'!OSRRefD11_53x</vt:lpstr>
      <vt:lpstr>'300 &amp; 317'!OSRRefD11_53x</vt:lpstr>
      <vt:lpstr>'Div 3'!OSRRefD11_53x</vt:lpstr>
      <vt:lpstr>Summary!OSRRefD11_53x</vt:lpstr>
      <vt:lpstr>'300'!OSRRefD11_54x</vt:lpstr>
      <vt:lpstr>'300 &amp; 317'!OSRRefD11_54x</vt:lpstr>
      <vt:lpstr>'Div 3'!OSRRefD11_54x</vt:lpstr>
      <vt:lpstr>Summary!OSRRefD11_54x</vt:lpstr>
      <vt:lpstr>'300'!OSRRefD11_55x</vt:lpstr>
      <vt:lpstr>'300 &amp; 317'!OSRRefD11_55x</vt:lpstr>
      <vt:lpstr>'Div 3'!OSRRefD11_55x</vt:lpstr>
      <vt:lpstr>Summary!OSRRefD11_55x</vt:lpstr>
      <vt:lpstr>'300'!OSRRefD11_56x</vt:lpstr>
      <vt:lpstr>'300 &amp; 317'!OSRRefD11_56x</vt:lpstr>
      <vt:lpstr>'Div 3'!OSRRefD11_56x</vt:lpstr>
      <vt:lpstr>Summary!OSRRefD11_56x</vt:lpstr>
      <vt:lpstr>'300'!OSRRefD11_57x</vt:lpstr>
      <vt:lpstr>'300 &amp; 317'!OSRRefD11_57x</vt:lpstr>
      <vt:lpstr>'Div 3'!OSRRefD11_57x</vt:lpstr>
      <vt:lpstr>Summary!OSRRefD11_57x</vt:lpstr>
      <vt:lpstr>'300'!OSRRefD11_58x</vt:lpstr>
      <vt:lpstr>'300 &amp; 317'!OSRRefD11_58x</vt:lpstr>
      <vt:lpstr>'Div 3'!OSRRefD11_58x</vt:lpstr>
      <vt:lpstr>Summary!OSRRefD11_58x</vt:lpstr>
      <vt:lpstr>'300'!OSRRefD11_59x</vt:lpstr>
      <vt:lpstr>'300 &amp; 317'!OSRRefD11_59x</vt:lpstr>
      <vt:lpstr>'Div 3'!OSRRefD11_59x</vt:lpstr>
      <vt:lpstr>Summary!OSRRefD11_59x</vt:lpstr>
      <vt:lpstr>'300'!OSRRefD11_5x</vt:lpstr>
      <vt:lpstr>'300 &amp; 317'!OSRRefD11_5x</vt:lpstr>
      <vt:lpstr>'307'!OSRRefD11_5x</vt:lpstr>
      <vt:lpstr>'308'!OSRRefD11_5x</vt:lpstr>
      <vt:lpstr>'310 &amp; 491'!OSRRefD11_5x</vt:lpstr>
      <vt:lpstr>'311'!OSRRefD11_5x</vt:lpstr>
      <vt:lpstr>'315'!OSRRefD11_5x</vt:lpstr>
      <vt:lpstr>'316'!OSRRefD11_5x</vt:lpstr>
      <vt:lpstr>'317'!OSRRefD11_5x</vt:lpstr>
      <vt:lpstr>'326'!OSRRefD11_5x</vt:lpstr>
      <vt:lpstr>'330'!OSRRefD11_5x</vt:lpstr>
      <vt:lpstr>'331'!OSRRefD11_5x</vt:lpstr>
      <vt:lpstr>'332'!OSRRefD11_5x</vt:lpstr>
      <vt:lpstr>'491'!OSRRefD11_5x</vt:lpstr>
      <vt:lpstr>'Div 3'!OSRRefD11_5x</vt:lpstr>
      <vt:lpstr>'Div 4'!OSRRefD11_5x</vt:lpstr>
      <vt:lpstr>'Div 6'!OSRRefD11_5x</vt:lpstr>
      <vt:lpstr>Summary!OSRRefD11_5x</vt:lpstr>
      <vt:lpstr>'300'!OSRRefD11_60x</vt:lpstr>
      <vt:lpstr>'300 &amp; 317'!OSRRefD11_60x</vt:lpstr>
      <vt:lpstr>'Div 3'!OSRRefD11_60x</vt:lpstr>
      <vt:lpstr>Summary!OSRRefD11_60x</vt:lpstr>
      <vt:lpstr>'300 &amp; 317'!OSRRefD11_61x</vt:lpstr>
      <vt:lpstr>'Div 3'!OSRRefD11_61x</vt:lpstr>
      <vt:lpstr>Summary!OSRRefD11_61x</vt:lpstr>
      <vt:lpstr>'300 &amp; 317'!OSRRefD11_62x</vt:lpstr>
      <vt:lpstr>'Div 3'!OSRRefD11_62x</vt:lpstr>
      <vt:lpstr>Summary!OSRRefD11_62x</vt:lpstr>
      <vt:lpstr>'300 &amp; 317'!OSRRefD11_63x</vt:lpstr>
      <vt:lpstr>Summary!OSRRefD11_63x</vt:lpstr>
      <vt:lpstr>'300 &amp; 317'!OSRRefD11_64x</vt:lpstr>
      <vt:lpstr>Summary!OSRRefD11_64x</vt:lpstr>
      <vt:lpstr>'300 &amp; 317'!OSRRefD11_65x</vt:lpstr>
      <vt:lpstr>Summary!OSRRefD11_65x</vt:lpstr>
      <vt:lpstr>'300 &amp; 317'!OSRRefD11_66x</vt:lpstr>
      <vt:lpstr>Summary!OSRRefD11_66x</vt:lpstr>
      <vt:lpstr>'300 &amp; 317'!OSRRefD11_67x</vt:lpstr>
      <vt:lpstr>Summary!OSRRefD11_67x</vt:lpstr>
      <vt:lpstr>'300 &amp; 317'!OSRRefD11_68x</vt:lpstr>
      <vt:lpstr>Summary!OSRRefD11_68x</vt:lpstr>
      <vt:lpstr>'300 &amp; 317'!OSRRefD11_69x</vt:lpstr>
      <vt:lpstr>Summary!OSRRefD11_69x</vt:lpstr>
      <vt:lpstr>'300'!OSRRefD11_6x</vt:lpstr>
      <vt:lpstr>'300 &amp; 317'!OSRRefD11_6x</vt:lpstr>
      <vt:lpstr>'307'!OSRRefD11_6x</vt:lpstr>
      <vt:lpstr>'308'!OSRRefD11_6x</vt:lpstr>
      <vt:lpstr>'310 &amp; 491'!OSRRefD11_6x</vt:lpstr>
      <vt:lpstr>'311'!OSRRefD11_6x</vt:lpstr>
      <vt:lpstr>'315'!OSRRefD11_6x</vt:lpstr>
      <vt:lpstr>'316'!OSRRefD11_6x</vt:lpstr>
      <vt:lpstr>'317'!OSRRefD11_6x</vt:lpstr>
      <vt:lpstr>'326'!OSRRefD11_6x</vt:lpstr>
      <vt:lpstr>'330'!OSRRefD11_6x</vt:lpstr>
      <vt:lpstr>'331'!OSRRefD11_6x</vt:lpstr>
      <vt:lpstr>'332'!OSRRefD11_6x</vt:lpstr>
      <vt:lpstr>'Div 3'!OSRRefD11_6x</vt:lpstr>
      <vt:lpstr>'Div 4'!OSRRefD11_6x</vt:lpstr>
      <vt:lpstr>'Div 6'!OSRRefD11_6x</vt:lpstr>
      <vt:lpstr>Summary!OSRRefD11_6x</vt:lpstr>
      <vt:lpstr>'300 &amp; 317'!OSRRefD11_70x</vt:lpstr>
      <vt:lpstr>Summary!OSRRefD11_70x</vt:lpstr>
      <vt:lpstr>'300 &amp; 317'!OSRRefD11_71x</vt:lpstr>
      <vt:lpstr>Summary!OSRRefD11_71x</vt:lpstr>
      <vt:lpstr>'300 &amp; 317'!OSRRefD11_72x</vt:lpstr>
      <vt:lpstr>Summary!OSRRefD11_72x</vt:lpstr>
      <vt:lpstr>'300 &amp; 317'!OSRRefD11_73x</vt:lpstr>
      <vt:lpstr>Summary!OSRRefD11_73x</vt:lpstr>
      <vt:lpstr>'300 &amp; 317'!OSRRefD11_74x</vt:lpstr>
      <vt:lpstr>Summary!OSRRefD11_74x</vt:lpstr>
      <vt:lpstr>Summary!OSRRefD11_75x</vt:lpstr>
      <vt:lpstr>Summary!OSRRefD11_76x</vt:lpstr>
      <vt:lpstr>Summary!OSRRefD11_77x</vt:lpstr>
      <vt:lpstr>Summary!OSRRefD11_78x</vt:lpstr>
      <vt:lpstr>Summary!OSRRefD11_79x</vt:lpstr>
      <vt:lpstr>'300'!OSRRefD11_7x</vt:lpstr>
      <vt:lpstr>'300 &amp; 317'!OSRRefD11_7x</vt:lpstr>
      <vt:lpstr>'307'!OSRRefD11_7x</vt:lpstr>
      <vt:lpstr>'308'!OSRRefD11_7x</vt:lpstr>
      <vt:lpstr>'310 &amp; 491'!OSRRefD11_7x</vt:lpstr>
      <vt:lpstr>'311'!OSRRefD11_7x</vt:lpstr>
      <vt:lpstr>'315'!OSRRefD11_7x</vt:lpstr>
      <vt:lpstr>'316'!OSRRefD11_7x</vt:lpstr>
      <vt:lpstr>'317'!OSRRefD11_7x</vt:lpstr>
      <vt:lpstr>'326'!OSRRefD11_7x</vt:lpstr>
      <vt:lpstr>'330'!OSRRefD11_7x</vt:lpstr>
      <vt:lpstr>'331'!OSRRefD11_7x</vt:lpstr>
      <vt:lpstr>'332'!OSRRefD11_7x</vt:lpstr>
      <vt:lpstr>'Div 3'!OSRRefD11_7x</vt:lpstr>
      <vt:lpstr>'Div 4'!OSRRefD11_7x</vt:lpstr>
      <vt:lpstr>'Div 6'!OSRRefD11_7x</vt:lpstr>
      <vt:lpstr>Summary!OSRRefD11_7x</vt:lpstr>
      <vt:lpstr>Summary!OSRRefD11_80x</vt:lpstr>
      <vt:lpstr>Summary!OSRRefD11_81x</vt:lpstr>
      <vt:lpstr>'300'!OSRRefD11_8x</vt:lpstr>
      <vt:lpstr>'300 &amp; 317'!OSRRefD11_8x</vt:lpstr>
      <vt:lpstr>'307'!OSRRefD11_8x</vt:lpstr>
      <vt:lpstr>'308'!OSRRefD11_8x</vt:lpstr>
      <vt:lpstr>'310 &amp; 491'!OSRRefD11_8x</vt:lpstr>
      <vt:lpstr>'311'!OSRRefD11_8x</vt:lpstr>
      <vt:lpstr>'315'!OSRRefD11_8x</vt:lpstr>
      <vt:lpstr>'316'!OSRRefD11_8x</vt:lpstr>
      <vt:lpstr>'317'!OSRRefD11_8x</vt:lpstr>
      <vt:lpstr>'326'!OSRRefD11_8x</vt:lpstr>
      <vt:lpstr>'330'!OSRRefD11_8x</vt:lpstr>
      <vt:lpstr>'331'!OSRRefD11_8x</vt:lpstr>
      <vt:lpstr>'332'!OSRRefD11_8x</vt:lpstr>
      <vt:lpstr>'Div 3'!OSRRefD11_8x</vt:lpstr>
      <vt:lpstr>'Div 6'!OSRRefD11_8x</vt:lpstr>
      <vt:lpstr>Summary!OSRRefD11_8x</vt:lpstr>
      <vt:lpstr>'300'!OSRRefD11_9x</vt:lpstr>
      <vt:lpstr>'300 &amp; 317'!OSRRefD11_9x</vt:lpstr>
      <vt:lpstr>'307'!OSRRefD11_9x</vt:lpstr>
      <vt:lpstr>'308'!OSRRefD11_9x</vt:lpstr>
      <vt:lpstr>'311'!OSRRefD11_9x</vt:lpstr>
      <vt:lpstr>'315'!OSRRefD11_9x</vt:lpstr>
      <vt:lpstr>'316'!OSRRefD11_9x</vt:lpstr>
      <vt:lpstr>'317'!OSRRefD11_9x</vt:lpstr>
      <vt:lpstr>'326'!OSRRefD11_9x</vt:lpstr>
      <vt:lpstr>'330'!OSRRefD11_9x</vt:lpstr>
      <vt:lpstr>'331'!OSRRefD11_9x</vt:lpstr>
      <vt:lpstr>'332'!OSRRefD11_9x</vt:lpstr>
      <vt:lpstr>'Div 3'!OSRRefD11_9x</vt:lpstr>
      <vt:lpstr>'Div 6'!OSRRefD11_9x</vt:lpstr>
      <vt:lpstr>Summary!OSRRefD11_9x</vt:lpstr>
      <vt:lpstr>'300'!OSRRefD11x_0</vt:lpstr>
      <vt:lpstr>'300 &amp; 317'!OSRRefD11x_0</vt:lpstr>
      <vt:lpstr>'307'!OSRRefD11x_0</vt:lpstr>
      <vt:lpstr>'308'!OSRRefD11x_0</vt:lpstr>
      <vt:lpstr>'309'!OSRRefD11x_0</vt:lpstr>
      <vt:lpstr>'310'!OSRRefD11x_0</vt:lpstr>
      <vt:lpstr>'310 &amp; 491'!OSRRefD11x_0</vt:lpstr>
      <vt:lpstr>'311'!OSRRefD11x_0</vt:lpstr>
      <vt:lpstr>'315'!OSRRefD11x_0</vt:lpstr>
      <vt:lpstr>'316'!OSRRefD11x_0</vt:lpstr>
      <vt:lpstr>'317'!OSRRefD11x_0</vt:lpstr>
      <vt:lpstr>'321'!OSRRefD11x_0</vt:lpstr>
      <vt:lpstr>'322'!OSRRefD11x_0</vt:lpstr>
      <vt:lpstr>'324'!OSRRefD11x_0</vt:lpstr>
      <vt:lpstr>'326'!OSRRefD11x_0</vt:lpstr>
      <vt:lpstr>'327'!OSRRefD11x_0</vt:lpstr>
      <vt:lpstr>'330'!OSRRefD11x_0</vt:lpstr>
      <vt:lpstr>'331'!OSRRefD11x_0</vt:lpstr>
      <vt:lpstr>'332'!OSRRefD11x_0</vt:lpstr>
      <vt:lpstr>'405'!OSRRefD11x_0</vt:lpstr>
      <vt:lpstr>'412'!OSRRefD11x_0</vt:lpstr>
      <vt:lpstr>'413'!OSRRefD11x_0</vt:lpstr>
      <vt:lpstr>'414'!OSRRefD11x_0</vt:lpstr>
      <vt:lpstr>'415'!OSRRefD11x_0</vt:lpstr>
      <vt:lpstr>'418'!OSRRefD11x_0</vt:lpstr>
      <vt:lpstr>'420'!OSRRefD11x_0</vt:lpstr>
      <vt:lpstr>'433'!OSRRefD11x_0</vt:lpstr>
      <vt:lpstr>'444'!OSRRefD11x_0</vt:lpstr>
      <vt:lpstr>'450'!OSRRefD11x_0</vt:lpstr>
      <vt:lpstr>'491'!OSRRefD11x_0</vt:lpstr>
      <vt:lpstr>'492'!OSRRefD11x_0</vt:lpstr>
      <vt:lpstr>'501'!OSRRefD11x_0</vt:lpstr>
      <vt:lpstr>'Div 3'!OSRRefD11x_0</vt:lpstr>
      <vt:lpstr>'Div 4'!OSRRefD11x_0</vt:lpstr>
      <vt:lpstr>'Div 5'!OSRRefD11x_0</vt:lpstr>
      <vt:lpstr>'Div 6'!OSRRefD11x_0</vt:lpstr>
      <vt:lpstr>Summary!OSRRefD11x_0</vt:lpstr>
      <vt:lpstr>'300'!OSRRefD11x_1</vt:lpstr>
      <vt:lpstr>'300 &amp; 317'!OSRRefD11x_1</vt:lpstr>
      <vt:lpstr>'307'!OSRRefD11x_1</vt:lpstr>
      <vt:lpstr>'308'!OSRRefD11x_1</vt:lpstr>
      <vt:lpstr>'309'!OSRRefD11x_1</vt:lpstr>
      <vt:lpstr>'310'!OSRRefD11x_1</vt:lpstr>
      <vt:lpstr>'310 &amp; 491'!OSRRefD11x_1</vt:lpstr>
      <vt:lpstr>'311'!OSRRefD11x_1</vt:lpstr>
      <vt:lpstr>'315'!OSRRefD11x_1</vt:lpstr>
      <vt:lpstr>'316'!OSRRefD11x_1</vt:lpstr>
      <vt:lpstr>'317'!OSRRefD11x_1</vt:lpstr>
      <vt:lpstr>'321'!OSRRefD11x_1</vt:lpstr>
      <vt:lpstr>'322'!OSRRefD11x_1</vt:lpstr>
      <vt:lpstr>'324'!OSRRefD11x_1</vt:lpstr>
      <vt:lpstr>'326'!OSRRefD11x_1</vt:lpstr>
      <vt:lpstr>'327'!OSRRefD11x_1</vt:lpstr>
      <vt:lpstr>'330'!OSRRefD11x_1</vt:lpstr>
      <vt:lpstr>'331'!OSRRefD11x_1</vt:lpstr>
      <vt:lpstr>'332'!OSRRefD11x_1</vt:lpstr>
      <vt:lpstr>'405'!OSRRefD11x_1</vt:lpstr>
      <vt:lpstr>'412'!OSRRefD11x_1</vt:lpstr>
      <vt:lpstr>'413'!OSRRefD11x_1</vt:lpstr>
      <vt:lpstr>'414'!OSRRefD11x_1</vt:lpstr>
      <vt:lpstr>'415'!OSRRefD11x_1</vt:lpstr>
      <vt:lpstr>'418'!OSRRefD11x_1</vt:lpstr>
      <vt:lpstr>'420'!OSRRefD11x_1</vt:lpstr>
      <vt:lpstr>'433'!OSRRefD11x_1</vt:lpstr>
      <vt:lpstr>'444'!OSRRefD11x_1</vt:lpstr>
      <vt:lpstr>'450'!OSRRefD11x_1</vt:lpstr>
      <vt:lpstr>'491'!OSRRefD11x_1</vt:lpstr>
      <vt:lpstr>'492'!OSRRefD11x_1</vt:lpstr>
      <vt:lpstr>'501'!OSRRefD11x_1</vt:lpstr>
      <vt:lpstr>'Div 3'!OSRRefD11x_1</vt:lpstr>
      <vt:lpstr>'Div 4'!OSRRefD11x_1</vt:lpstr>
      <vt:lpstr>'Div 5'!OSRRefD11x_1</vt:lpstr>
      <vt:lpstr>'Div 6'!OSRRefD11x_1</vt:lpstr>
      <vt:lpstr>Summary!OSRRefD11x_1</vt:lpstr>
      <vt:lpstr>'300'!OSRRefD11x_2</vt:lpstr>
      <vt:lpstr>'300 &amp; 317'!OSRRefD11x_2</vt:lpstr>
      <vt:lpstr>'307'!OSRRefD11x_2</vt:lpstr>
      <vt:lpstr>'308'!OSRRefD11x_2</vt:lpstr>
      <vt:lpstr>'309'!OSRRefD11x_2</vt:lpstr>
      <vt:lpstr>'310'!OSRRefD11x_2</vt:lpstr>
      <vt:lpstr>'310 &amp; 491'!OSRRefD11x_2</vt:lpstr>
      <vt:lpstr>'311'!OSRRefD11x_2</vt:lpstr>
      <vt:lpstr>'315'!OSRRefD11x_2</vt:lpstr>
      <vt:lpstr>'316'!OSRRefD11x_2</vt:lpstr>
      <vt:lpstr>'317'!OSRRefD11x_2</vt:lpstr>
      <vt:lpstr>'321'!OSRRefD11x_2</vt:lpstr>
      <vt:lpstr>'322'!OSRRefD11x_2</vt:lpstr>
      <vt:lpstr>'324'!OSRRefD11x_2</vt:lpstr>
      <vt:lpstr>'326'!OSRRefD11x_2</vt:lpstr>
      <vt:lpstr>'327'!OSRRefD11x_2</vt:lpstr>
      <vt:lpstr>'330'!OSRRefD11x_2</vt:lpstr>
      <vt:lpstr>'331'!OSRRefD11x_2</vt:lpstr>
      <vt:lpstr>'332'!OSRRefD11x_2</vt:lpstr>
      <vt:lpstr>'405'!OSRRefD11x_2</vt:lpstr>
      <vt:lpstr>'412'!OSRRefD11x_2</vt:lpstr>
      <vt:lpstr>'413'!OSRRefD11x_2</vt:lpstr>
      <vt:lpstr>'414'!OSRRefD11x_2</vt:lpstr>
      <vt:lpstr>'415'!OSRRefD11x_2</vt:lpstr>
      <vt:lpstr>'418'!OSRRefD11x_2</vt:lpstr>
      <vt:lpstr>'420'!OSRRefD11x_2</vt:lpstr>
      <vt:lpstr>'433'!OSRRefD11x_2</vt:lpstr>
      <vt:lpstr>'444'!OSRRefD11x_2</vt:lpstr>
      <vt:lpstr>'450'!OSRRefD11x_2</vt:lpstr>
      <vt:lpstr>'491'!OSRRefD11x_2</vt:lpstr>
      <vt:lpstr>'492'!OSRRefD11x_2</vt:lpstr>
      <vt:lpstr>'501'!OSRRefD11x_2</vt:lpstr>
      <vt:lpstr>'Div 3'!OSRRefD11x_2</vt:lpstr>
      <vt:lpstr>'Div 4'!OSRRefD11x_2</vt:lpstr>
      <vt:lpstr>'Div 5'!OSRRefD11x_2</vt:lpstr>
      <vt:lpstr>'Div 6'!OSRRefD11x_2</vt:lpstr>
      <vt:lpstr>Summary!OSRRefD11x_2</vt:lpstr>
      <vt:lpstr>'300'!OSRRefD11x_3</vt:lpstr>
      <vt:lpstr>'300 &amp; 317'!OSRRefD11x_3</vt:lpstr>
      <vt:lpstr>'307'!OSRRefD11x_3</vt:lpstr>
      <vt:lpstr>'308'!OSRRefD11x_3</vt:lpstr>
      <vt:lpstr>'309'!OSRRefD11x_3</vt:lpstr>
      <vt:lpstr>'310'!OSRRefD11x_3</vt:lpstr>
      <vt:lpstr>'310 &amp; 491'!OSRRefD11x_3</vt:lpstr>
      <vt:lpstr>'311'!OSRRefD11x_3</vt:lpstr>
      <vt:lpstr>'315'!OSRRefD11x_3</vt:lpstr>
      <vt:lpstr>'316'!OSRRefD11x_3</vt:lpstr>
      <vt:lpstr>'317'!OSRRefD11x_3</vt:lpstr>
      <vt:lpstr>'321'!OSRRefD11x_3</vt:lpstr>
      <vt:lpstr>'322'!OSRRefD11x_3</vt:lpstr>
      <vt:lpstr>'324'!OSRRefD11x_3</vt:lpstr>
      <vt:lpstr>'326'!OSRRefD11x_3</vt:lpstr>
      <vt:lpstr>'327'!OSRRefD11x_3</vt:lpstr>
      <vt:lpstr>'330'!OSRRefD11x_3</vt:lpstr>
      <vt:lpstr>'331'!OSRRefD11x_3</vt:lpstr>
      <vt:lpstr>'332'!OSRRefD11x_3</vt:lpstr>
      <vt:lpstr>'405'!OSRRefD11x_3</vt:lpstr>
      <vt:lpstr>'412'!OSRRefD11x_3</vt:lpstr>
      <vt:lpstr>'413'!OSRRefD11x_3</vt:lpstr>
      <vt:lpstr>'414'!OSRRefD11x_3</vt:lpstr>
      <vt:lpstr>'415'!OSRRefD11x_3</vt:lpstr>
      <vt:lpstr>'418'!OSRRefD11x_3</vt:lpstr>
      <vt:lpstr>'420'!OSRRefD11x_3</vt:lpstr>
      <vt:lpstr>'433'!OSRRefD11x_3</vt:lpstr>
      <vt:lpstr>'444'!OSRRefD11x_3</vt:lpstr>
      <vt:lpstr>'450'!OSRRefD11x_3</vt:lpstr>
      <vt:lpstr>'491'!OSRRefD11x_3</vt:lpstr>
      <vt:lpstr>'492'!OSRRefD11x_3</vt:lpstr>
      <vt:lpstr>'501'!OSRRefD11x_3</vt:lpstr>
      <vt:lpstr>'Div 3'!OSRRefD11x_3</vt:lpstr>
      <vt:lpstr>'Div 4'!OSRRefD11x_3</vt:lpstr>
      <vt:lpstr>'Div 5'!OSRRefD11x_3</vt:lpstr>
      <vt:lpstr>'Div 6'!OSRRefD11x_3</vt:lpstr>
      <vt:lpstr>Summary!OSRRefD11x_3</vt:lpstr>
      <vt:lpstr>'300'!OSRRefD14_0x</vt:lpstr>
      <vt:lpstr>'300 &amp; 317'!OSRRefD14_0x</vt:lpstr>
      <vt:lpstr>'307'!OSRRefD14_0x</vt:lpstr>
      <vt:lpstr>'308'!OSRRefD14_0x</vt:lpstr>
      <vt:lpstr>'309'!OSRRefD14_0x</vt:lpstr>
      <vt:lpstr>'310'!OSRRefD14_0x</vt:lpstr>
      <vt:lpstr>'310 &amp; 491'!OSRRefD14_0x</vt:lpstr>
      <vt:lpstr>'311'!OSRRefD14_0x</vt:lpstr>
      <vt:lpstr>'313'!OSRRefD14_0x</vt:lpstr>
      <vt:lpstr>'315'!OSRRefD14_0x</vt:lpstr>
      <vt:lpstr>'317'!OSRRefD14_0x</vt:lpstr>
      <vt:lpstr>'321'!OSRRefD14_0x</vt:lpstr>
      <vt:lpstr>'322'!OSRRefD14_0x</vt:lpstr>
      <vt:lpstr>'324'!OSRRefD14_0x</vt:lpstr>
      <vt:lpstr>'325'!OSRRefD14_0x</vt:lpstr>
      <vt:lpstr>'326'!OSRRefD14_0x</vt:lpstr>
      <vt:lpstr>'327'!OSRRefD14_0x</vt:lpstr>
      <vt:lpstr>'330'!OSRRefD14_0x</vt:lpstr>
      <vt:lpstr>'331'!OSRRefD14_0x</vt:lpstr>
      <vt:lpstr>'405'!OSRRefD14_0x</vt:lpstr>
      <vt:lpstr>'412'!OSRRefD14_0x</vt:lpstr>
      <vt:lpstr>'413'!OSRRefD14_0x</vt:lpstr>
      <vt:lpstr>'414'!OSRRefD14_0x</vt:lpstr>
      <vt:lpstr>'415'!OSRRefD14_0x</vt:lpstr>
      <vt:lpstr>'418'!OSRRefD14_0x</vt:lpstr>
      <vt:lpstr>'433'!OSRRefD14_0x</vt:lpstr>
      <vt:lpstr>'444'!OSRRefD14_0x</vt:lpstr>
      <vt:lpstr>'450'!OSRRefD14_0x</vt:lpstr>
      <vt:lpstr>'491'!OSRRefD14_0x</vt:lpstr>
      <vt:lpstr>'492'!OSRRefD14_0x</vt:lpstr>
      <vt:lpstr>'Div 3'!OSRRefD14_0x</vt:lpstr>
      <vt:lpstr>'Div 4'!OSRRefD14_0x</vt:lpstr>
      <vt:lpstr>'Div 6'!OSRRefD14_0x</vt:lpstr>
      <vt:lpstr>Summary!OSRRefD14_0x</vt:lpstr>
      <vt:lpstr>'300'!OSRRefD14_10x</vt:lpstr>
      <vt:lpstr>'300 &amp; 317'!OSRRefD14_10x</vt:lpstr>
      <vt:lpstr>'308'!OSRRefD14_10x</vt:lpstr>
      <vt:lpstr>'311'!OSRRefD14_10x</vt:lpstr>
      <vt:lpstr>'315'!OSRRefD14_10x</vt:lpstr>
      <vt:lpstr>'317'!OSRRefD14_10x</vt:lpstr>
      <vt:lpstr>'331'!OSRRefD14_10x</vt:lpstr>
      <vt:lpstr>'Div 3'!OSRRefD14_10x</vt:lpstr>
      <vt:lpstr>'Div 6'!OSRRefD14_10x</vt:lpstr>
      <vt:lpstr>Summary!OSRRefD14_10x</vt:lpstr>
      <vt:lpstr>'300'!OSRRefD14_11x</vt:lpstr>
      <vt:lpstr>'300 &amp; 317'!OSRRefD14_11x</vt:lpstr>
      <vt:lpstr>'308'!OSRRefD14_11x</vt:lpstr>
      <vt:lpstr>'311'!OSRRefD14_11x</vt:lpstr>
      <vt:lpstr>'315'!OSRRefD14_11x</vt:lpstr>
      <vt:lpstr>'331'!OSRRefD14_11x</vt:lpstr>
      <vt:lpstr>'Div 3'!OSRRefD14_11x</vt:lpstr>
      <vt:lpstr>Summary!OSRRefD14_11x</vt:lpstr>
      <vt:lpstr>'300'!OSRRefD14_12x</vt:lpstr>
      <vt:lpstr>'300 &amp; 317'!OSRRefD14_12x</vt:lpstr>
      <vt:lpstr>'308'!OSRRefD14_12x</vt:lpstr>
      <vt:lpstr>'311'!OSRRefD14_12x</vt:lpstr>
      <vt:lpstr>'315'!OSRRefD14_12x</vt:lpstr>
      <vt:lpstr>'331'!OSRRefD14_12x</vt:lpstr>
      <vt:lpstr>'Div 3'!OSRRefD14_12x</vt:lpstr>
      <vt:lpstr>Summary!OSRRefD14_12x</vt:lpstr>
      <vt:lpstr>'300'!OSRRefD14_13x</vt:lpstr>
      <vt:lpstr>'300 &amp; 317'!OSRRefD14_13x</vt:lpstr>
      <vt:lpstr>'315'!OSRRefD14_13x</vt:lpstr>
      <vt:lpstr>'331'!OSRRefD14_13x</vt:lpstr>
      <vt:lpstr>'Div 3'!OSRRefD14_13x</vt:lpstr>
      <vt:lpstr>Summary!OSRRefD14_13x</vt:lpstr>
      <vt:lpstr>'300'!OSRRefD14_14x</vt:lpstr>
      <vt:lpstr>'300 &amp; 317'!OSRRefD14_14x</vt:lpstr>
      <vt:lpstr>'315'!OSRRefD14_14x</vt:lpstr>
      <vt:lpstr>'331'!OSRRefD14_14x</vt:lpstr>
      <vt:lpstr>'Div 3'!OSRRefD14_14x</vt:lpstr>
      <vt:lpstr>Summary!OSRRefD14_14x</vt:lpstr>
      <vt:lpstr>'300'!OSRRefD14_15x</vt:lpstr>
      <vt:lpstr>'300 &amp; 317'!OSRRefD14_15x</vt:lpstr>
      <vt:lpstr>'315'!OSRRefD14_15x</vt:lpstr>
      <vt:lpstr>'331'!OSRRefD14_15x</vt:lpstr>
      <vt:lpstr>'Div 3'!OSRRefD14_15x</vt:lpstr>
      <vt:lpstr>Summary!OSRRefD14_15x</vt:lpstr>
      <vt:lpstr>'300'!OSRRefD14_16x</vt:lpstr>
      <vt:lpstr>'300 &amp; 317'!OSRRefD14_16x</vt:lpstr>
      <vt:lpstr>'315'!OSRRefD14_16x</vt:lpstr>
      <vt:lpstr>'331'!OSRRefD14_16x</vt:lpstr>
      <vt:lpstr>'Div 3'!OSRRefD14_16x</vt:lpstr>
      <vt:lpstr>Summary!OSRRefD14_16x</vt:lpstr>
      <vt:lpstr>'300'!OSRRefD14_17x</vt:lpstr>
      <vt:lpstr>'300 &amp; 317'!OSRRefD14_17x</vt:lpstr>
      <vt:lpstr>'315'!OSRRefD14_17x</vt:lpstr>
      <vt:lpstr>'331'!OSRRefD14_17x</vt:lpstr>
      <vt:lpstr>'Div 3'!OSRRefD14_17x</vt:lpstr>
      <vt:lpstr>Summary!OSRRefD14_17x</vt:lpstr>
      <vt:lpstr>'300'!OSRRefD14_18x</vt:lpstr>
      <vt:lpstr>'300 &amp; 317'!OSRRefD14_18x</vt:lpstr>
      <vt:lpstr>'315'!OSRRefD14_18x</vt:lpstr>
      <vt:lpstr>'331'!OSRRefD14_18x</vt:lpstr>
      <vt:lpstr>'Div 3'!OSRRefD14_18x</vt:lpstr>
      <vt:lpstr>Summary!OSRRefD14_18x</vt:lpstr>
      <vt:lpstr>'300'!OSRRefD14_19x</vt:lpstr>
      <vt:lpstr>'300 &amp; 317'!OSRRefD14_19x</vt:lpstr>
      <vt:lpstr>'315'!OSRRefD14_19x</vt:lpstr>
      <vt:lpstr>'331'!OSRRefD14_19x</vt:lpstr>
      <vt:lpstr>'Div 3'!OSRRefD14_19x</vt:lpstr>
      <vt:lpstr>Summary!OSRRefD14_19x</vt:lpstr>
      <vt:lpstr>'300'!OSRRefD14_1x</vt:lpstr>
      <vt:lpstr>'300 &amp; 317'!OSRRefD14_1x</vt:lpstr>
      <vt:lpstr>'307'!OSRRefD14_1x</vt:lpstr>
      <vt:lpstr>'308'!OSRRefD14_1x</vt:lpstr>
      <vt:lpstr>'310'!OSRRefD14_1x</vt:lpstr>
      <vt:lpstr>'310 &amp; 491'!OSRRefD14_1x</vt:lpstr>
      <vt:lpstr>'311'!OSRRefD14_1x</vt:lpstr>
      <vt:lpstr>'315'!OSRRefD14_1x</vt:lpstr>
      <vt:lpstr>'317'!OSRRefD14_1x</vt:lpstr>
      <vt:lpstr>'322'!OSRRefD14_1x</vt:lpstr>
      <vt:lpstr>'324'!OSRRefD14_1x</vt:lpstr>
      <vt:lpstr>'325'!OSRRefD14_1x</vt:lpstr>
      <vt:lpstr>'326'!OSRRefD14_1x</vt:lpstr>
      <vt:lpstr>'327'!OSRRefD14_1x</vt:lpstr>
      <vt:lpstr>'330'!OSRRefD14_1x</vt:lpstr>
      <vt:lpstr>'331'!OSRRefD14_1x</vt:lpstr>
      <vt:lpstr>'415'!OSRRefD14_1x</vt:lpstr>
      <vt:lpstr>'433'!OSRRefD14_1x</vt:lpstr>
      <vt:lpstr>'444'!OSRRefD14_1x</vt:lpstr>
      <vt:lpstr>'491'!OSRRefD14_1x</vt:lpstr>
      <vt:lpstr>'492'!OSRRefD14_1x</vt:lpstr>
      <vt:lpstr>'Div 3'!OSRRefD14_1x</vt:lpstr>
      <vt:lpstr>'Div 4'!OSRRefD14_1x</vt:lpstr>
      <vt:lpstr>'Div 6'!OSRRefD14_1x</vt:lpstr>
      <vt:lpstr>Summary!OSRRefD14_1x</vt:lpstr>
      <vt:lpstr>'300'!OSRRefD14_20x</vt:lpstr>
      <vt:lpstr>'300 &amp; 317'!OSRRefD14_20x</vt:lpstr>
      <vt:lpstr>'315'!OSRRefD14_20x</vt:lpstr>
      <vt:lpstr>'331'!OSRRefD14_20x</vt:lpstr>
      <vt:lpstr>'Div 3'!OSRRefD14_20x</vt:lpstr>
      <vt:lpstr>Summary!OSRRefD14_20x</vt:lpstr>
      <vt:lpstr>'300'!OSRRefD14_21x</vt:lpstr>
      <vt:lpstr>'300 &amp; 317'!OSRRefD14_21x</vt:lpstr>
      <vt:lpstr>'Div 3'!OSRRefD14_21x</vt:lpstr>
      <vt:lpstr>Summary!OSRRefD14_21x</vt:lpstr>
      <vt:lpstr>'300'!OSRRefD14_22x</vt:lpstr>
      <vt:lpstr>'300 &amp; 317'!OSRRefD14_22x</vt:lpstr>
      <vt:lpstr>'Div 3'!OSRRefD14_22x</vt:lpstr>
      <vt:lpstr>Summary!OSRRefD14_22x</vt:lpstr>
      <vt:lpstr>'300'!OSRRefD14_23x</vt:lpstr>
      <vt:lpstr>'300 &amp; 317'!OSRRefD14_23x</vt:lpstr>
      <vt:lpstr>'Div 3'!OSRRefD14_23x</vt:lpstr>
      <vt:lpstr>Summary!OSRRefD14_23x</vt:lpstr>
      <vt:lpstr>'300'!OSRRefD14_24x</vt:lpstr>
      <vt:lpstr>'300 &amp; 317'!OSRRefD14_24x</vt:lpstr>
      <vt:lpstr>'Div 3'!OSRRefD14_24x</vt:lpstr>
      <vt:lpstr>Summary!OSRRefD14_24x</vt:lpstr>
      <vt:lpstr>'300'!OSRRefD14_25x</vt:lpstr>
      <vt:lpstr>'300 &amp; 317'!OSRRefD14_25x</vt:lpstr>
      <vt:lpstr>'Div 3'!OSRRefD14_25x</vt:lpstr>
      <vt:lpstr>Summary!OSRRefD14_25x</vt:lpstr>
      <vt:lpstr>'300'!OSRRefD14_26x</vt:lpstr>
      <vt:lpstr>'300 &amp; 317'!OSRRefD14_26x</vt:lpstr>
      <vt:lpstr>'Div 3'!OSRRefD14_26x</vt:lpstr>
      <vt:lpstr>Summary!OSRRefD14_26x</vt:lpstr>
      <vt:lpstr>'300'!OSRRefD14_27x</vt:lpstr>
      <vt:lpstr>'300 &amp; 317'!OSRRefD14_27x</vt:lpstr>
      <vt:lpstr>'Div 3'!OSRRefD14_27x</vt:lpstr>
      <vt:lpstr>Summary!OSRRefD14_27x</vt:lpstr>
      <vt:lpstr>'300'!OSRRefD14_28x</vt:lpstr>
      <vt:lpstr>'300 &amp; 317'!OSRRefD14_28x</vt:lpstr>
      <vt:lpstr>'Div 3'!OSRRefD14_28x</vt:lpstr>
      <vt:lpstr>Summary!OSRRefD14_28x</vt:lpstr>
      <vt:lpstr>'300'!OSRRefD14_29x</vt:lpstr>
      <vt:lpstr>'300 &amp; 317'!OSRRefD14_29x</vt:lpstr>
      <vt:lpstr>'Div 3'!OSRRefD14_29x</vt:lpstr>
      <vt:lpstr>Summary!OSRRefD14_29x</vt:lpstr>
      <vt:lpstr>'300'!OSRRefD14_2x</vt:lpstr>
      <vt:lpstr>'300 &amp; 317'!OSRRefD14_2x</vt:lpstr>
      <vt:lpstr>'307'!OSRRefD14_2x</vt:lpstr>
      <vt:lpstr>'308'!OSRRefD14_2x</vt:lpstr>
      <vt:lpstr>'310'!OSRRefD14_2x</vt:lpstr>
      <vt:lpstr>'310 &amp; 491'!OSRRefD14_2x</vt:lpstr>
      <vt:lpstr>'311'!OSRRefD14_2x</vt:lpstr>
      <vt:lpstr>'315'!OSRRefD14_2x</vt:lpstr>
      <vt:lpstr>'317'!OSRRefD14_2x</vt:lpstr>
      <vt:lpstr>'324'!OSRRefD14_2x</vt:lpstr>
      <vt:lpstr>'326'!OSRRefD14_2x</vt:lpstr>
      <vt:lpstr>'330'!OSRRefD14_2x</vt:lpstr>
      <vt:lpstr>'331'!OSRRefD14_2x</vt:lpstr>
      <vt:lpstr>'415'!OSRRefD14_2x</vt:lpstr>
      <vt:lpstr>'433'!OSRRefD14_2x</vt:lpstr>
      <vt:lpstr>'444'!OSRRefD14_2x</vt:lpstr>
      <vt:lpstr>'491'!OSRRefD14_2x</vt:lpstr>
      <vt:lpstr>'492'!OSRRefD14_2x</vt:lpstr>
      <vt:lpstr>'Div 3'!OSRRefD14_2x</vt:lpstr>
      <vt:lpstr>'Div 4'!OSRRefD14_2x</vt:lpstr>
      <vt:lpstr>'Div 6'!OSRRefD14_2x</vt:lpstr>
      <vt:lpstr>Summary!OSRRefD14_2x</vt:lpstr>
      <vt:lpstr>'300'!OSRRefD14_30x</vt:lpstr>
      <vt:lpstr>'300 &amp; 317'!OSRRefD14_30x</vt:lpstr>
      <vt:lpstr>'Div 3'!OSRRefD14_30x</vt:lpstr>
      <vt:lpstr>Summary!OSRRefD14_30x</vt:lpstr>
      <vt:lpstr>'300 &amp; 317'!OSRRefD14_31x</vt:lpstr>
      <vt:lpstr>'Div 3'!OSRRefD14_31x</vt:lpstr>
      <vt:lpstr>Summary!OSRRefD14_31x</vt:lpstr>
      <vt:lpstr>'300 &amp; 317'!OSRRefD14_32x</vt:lpstr>
      <vt:lpstr>'Div 3'!OSRRefD14_32x</vt:lpstr>
      <vt:lpstr>Summary!OSRRefD14_32x</vt:lpstr>
      <vt:lpstr>'300 &amp; 317'!OSRRefD14_33x</vt:lpstr>
      <vt:lpstr>Summary!OSRRefD14_33x</vt:lpstr>
      <vt:lpstr>'300 &amp; 317'!OSRRefD14_34x</vt:lpstr>
      <vt:lpstr>Summary!OSRRefD14_34x</vt:lpstr>
      <vt:lpstr>'300 &amp; 317'!OSRRefD14_35x</vt:lpstr>
      <vt:lpstr>Summary!OSRRefD14_35x</vt:lpstr>
      <vt:lpstr>'300 &amp; 317'!OSRRefD14_36x</vt:lpstr>
      <vt:lpstr>Summary!OSRRefD14_36x</vt:lpstr>
      <vt:lpstr>'300 &amp; 317'!OSRRefD14_37x</vt:lpstr>
      <vt:lpstr>Summary!OSRRefD14_37x</vt:lpstr>
      <vt:lpstr>'300 &amp; 317'!OSRRefD14_38x</vt:lpstr>
      <vt:lpstr>Summary!OSRRefD14_38x</vt:lpstr>
      <vt:lpstr>Summary!OSRRefD14_39x</vt:lpstr>
      <vt:lpstr>'300'!OSRRefD14_3x</vt:lpstr>
      <vt:lpstr>'300 &amp; 317'!OSRRefD14_3x</vt:lpstr>
      <vt:lpstr>'307'!OSRRefD14_3x</vt:lpstr>
      <vt:lpstr>'308'!OSRRefD14_3x</vt:lpstr>
      <vt:lpstr>'311'!OSRRefD14_3x</vt:lpstr>
      <vt:lpstr>'315'!OSRRefD14_3x</vt:lpstr>
      <vt:lpstr>'317'!OSRRefD14_3x</vt:lpstr>
      <vt:lpstr>'326'!OSRRefD14_3x</vt:lpstr>
      <vt:lpstr>'330'!OSRRefD14_3x</vt:lpstr>
      <vt:lpstr>'331'!OSRRefD14_3x</vt:lpstr>
      <vt:lpstr>'Div 3'!OSRRefD14_3x</vt:lpstr>
      <vt:lpstr>'Div 6'!OSRRefD14_3x</vt:lpstr>
      <vt:lpstr>Summary!OSRRefD14_3x</vt:lpstr>
      <vt:lpstr>Summary!OSRRefD14_40x</vt:lpstr>
      <vt:lpstr>'300'!OSRRefD14_4x</vt:lpstr>
      <vt:lpstr>'300 &amp; 317'!OSRRefD14_4x</vt:lpstr>
      <vt:lpstr>'307'!OSRRefD14_4x</vt:lpstr>
      <vt:lpstr>'308'!OSRRefD14_4x</vt:lpstr>
      <vt:lpstr>'311'!OSRRefD14_4x</vt:lpstr>
      <vt:lpstr>'315'!OSRRefD14_4x</vt:lpstr>
      <vt:lpstr>'317'!OSRRefD14_4x</vt:lpstr>
      <vt:lpstr>'326'!OSRRefD14_4x</vt:lpstr>
      <vt:lpstr>'330'!OSRRefD14_4x</vt:lpstr>
      <vt:lpstr>'331'!OSRRefD14_4x</vt:lpstr>
      <vt:lpstr>'Div 3'!OSRRefD14_4x</vt:lpstr>
      <vt:lpstr>'Div 6'!OSRRefD14_4x</vt:lpstr>
      <vt:lpstr>Summary!OSRRefD14_4x</vt:lpstr>
      <vt:lpstr>'300'!OSRRefD14_5x</vt:lpstr>
      <vt:lpstr>'300 &amp; 317'!OSRRefD14_5x</vt:lpstr>
      <vt:lpstr>'307'!OSRRefD14_5x</vt:lpstr>
      <vt:lpstr>'308'!OSRRefD14_5x</vt:lpstr>
      <vt:lpstr>'311'!OSRRefD14_5x</vt:lpstr>
      <vt:lpstr>'315'!OSRRefD14_5x</vt:lpstr>
      <vt:lpstr>'317'!OSRRefD14_5x</vt:lpstr>
      <vt:lpstr>'330'!OSRRefD14_5x</vt:lpstr>
      <vt:lpstr>'331'!OSRRefD14_5x</vt:lpstr>
      <vt:lpstr>'Div 3'!OSRRefD14_5x</vt:lpstr>
      <vt:lpstr>'Div 6'!OSRRefD14_5x</vt:lpstr>
      <vt:lpstr>Summary!OSRRefD14_5x</vt:lpstr>
      <vt:lpstr>'300'!OSRRefD14_6x</vt:lpstr>
      <vt:lpstr>'300 &amp; 317'!OSRRefD14_6x</vt:lpstr>
      <vt:lpstr>'307'!OSRRefD14_6x</vt:lpstr>
      <vt:lpstr>'308'!OSRRefD14_6x</vt:lpstr>
      <vt:lpstr>'311'!OSRRefD14_6x</vt:lpstr>
      <vt:lpstr>'315'!OSRRefD14_6x</vt:lpstr>
      <vt:lpstr>'317'!OSRRefD14_6x</vt:lpstr>
      <vt:lpstr>'330'!OSRRefD14_6x</vt:lpstr>
      <vt:lpstr>'331'!OSRRefD14_6x</vt:lpstr>
      <vt:lpstr>'Div 3'!OSRRefD14_6x</vt:lpstr>
      <vt:lpstr>'Div 6'!OSRRefD14_6x</vt:lpstr>
      <vt:lpstr>Summary!OSRRefD14_6x</vt:lpstr>
      <vt:lpstr>'300'!OSRRefD14_7x</vt:lpstr>
      <vt:lpstr>'300 &amp; 317'!OSRRefD14_7x</vt:lpstr>
      <vt:lpstr>'307'!OSRRefD14_7x</vt:lpstr>
      <vt:lpstr>'308'!OSRRefD14_7x</vt:lpstr>
      <vt:lpstr>'311'!OSRRefD14_7x</vt:lpstr>
      <vt:lpstr>'315'!OSRRefD14_7x</vt:lpstr>
      <vt:lpstr>'317'!OSRRefD14_7x</vt:lpstr>
      <vt:lpstr>'330'!OSRRefD14_7x</vt:lpstr>
      <vt:lpstr>'331'!OSRRefD14_7x</vt:lpstr>
      <vt:lpstr>'Div 3'!OSRRefD14_7x</vt:lpstr>
      <vt:lpstr>'Div 6'!OSRRefD14_7x</vt:lpstr>
      <vt:lpstr>Summary!OSRRefD14_7x</vt:lpstr>
      <vt:lpstr>'300'!OSRRefD14_8x</vt:lpstr>
      <vt:lpstr>'300 &amp; 317'!OSRRefD14_8x</vt:lpstr>
      <vt:lpstr>'308'!OSRRefD14_8x</vt:lpstr>
      <vt:lpstr>'311'!OSRRefD14_8x</vt:lpstr>
      <vt:lpstr>'315'!OSRRefD14_8x</vt:lpstr>
      <vt:lpstr>'317'!OSRRefD14_8x</vt:lpstr>
      <vt:lpstr>'331'!OSRRefD14_8x</vt:lpstr>
      <vt:lpstr>'Div 3'!OSRRefD14_8x</vt:lpstr>
      <vt:lpstr>'Div 6'!OSRRefD14_8x</vt:lpstr>
      <vt:lpstr>Summary!OSRRefD14_8x</vt:lpstr>
      <vt:lpstr>'300'!OSRRefD14_9x</vt:lpstr>
      <vt:lpstr>'300 &amp; 317'!OSRRefD14_9x</vt:lpstr>
      <vt:lpstr>'308'!OSRRefD14_9x</vt:lpstr>
      <vt:lpstr>'311'!OSRRefD14_9x</vt:lpstr>
      <vt:lpstr>'315'!OSRRefD14_9x</vt:lpstr>
      <vt:lpstr>'317'!OSRRefD14_9x</vt:lpstr>
      <vt:lpstr>'331'!OSRRefD14_9x</vt:lpstr>
      <vt:lpstr>'Div 3'!OSRRefD14_9x</vt:lpstr>
      <vt:lpstr>'Div 6'!OSRRefD14_9x</vt:lpstr>
      <vt:lpstr>Summary!OSRRefD14_9x</vt:lpstr>
      <vt:lpstr>'300'!OSRRefD14x_0</vt:lpstr>
      <vt:lpstr>'300 &amp; 317'!OSRRefD14x_0</vt:lpstr>
      <vt:lpstr>'307'!OSRRefD14x_0</vt:lpstr>
      <vt:lpstr>'308'!OSRRefD14x_0</vt:lpstr>
      <vt:lpstr>'309'!OSRRefD14x_0</vt:lpstr>
      <vt:lpstr>'310'!OSRRefD14x_0</vt:lpstr>
      <vt:lpstr>'310 &amp; 491'!OSRRefD14x_0</vt:lpstr>
      <vt:lpstr>'311'!OSRRefD14x_0</vt:lpstr>
      <vt:lpstr>'313'!OSRRefD14x_0</vt:lpstr>
      <vt:lpstr>'315'!OSRRefD14x_0</vt:lpstr>
      <vt:lpstr>'317'!OSRRefD14x_0</vt:lpstr>
      <vt:lpstr>'321'!OSRRefD14x_0</vt:lpstr>
      <vt:lpstr>'322'!OSRRefD14x_0</vt:lpstr>
      <vt:lpstr>'324'!OSRRefD14x_0</vt:lpstr>
      <vt:lpstr>'325'!OSRRefD14x_0</vt:lpstr>
      <vt:lpstr>'326'!OSRRefD14x_0</vt:lpstr>
      <vt:lpstr>'327'!OSRRefD14x_0</vt:lpstr>
      <vt:lpstr>'330'!OSRRefD14x_0</vt:lpstr>
      <vt:lpstr>'331'!OSRRefD14x_0</vt:lpstr>
      <vt:lpstr>'405'!OSRRefD14x_0</vt:lpstr>
      <vt:lpstr>'412'!OSRRefD14x_0</vt:lpstr>
      <vt:lpstr>'413'!OSRRefD14x_0</vt:lpstr>
      <vt:lpstr>'414'!OSRRefD14x_0</vt:lpstr>
      <vt:lpstr>'415'!OSRRefD14x_0</vt:lpstr>
      <vt:lpstr>'418'!OSRRefD14x_0</vt:lpstr>
      <vt:lpstr>'433'!OSRRefD14x_0</vt:lpstr>
      <vt:lpstr>'444'!OSRRefD14x_0</vt:lpstr>
      <vt:lpstr>'450'!OSRRefD14x_0</vt:lpstr>
      <vt:lpstr>'491'!OSRRefD14x_0</vt:lpstr>
      <vt:lpstr>'492'!OSRRefD14x_0</vt:lpstr>
      <vt:lpstr>'Div 3'!OSRRefD14x_0</vt:lpstr>
      <vt:lpstr>'Div 4'!OSRRefD14x_0</vt:lpstr>
      <vt:lpstr>'Div 6'!OSRRefD14x_0</vt:lpstr>
      <vt:lpstr>Summary!OSRRefD14x_0</vt:lpstr>
      <vt:lpstr>'300'!OSRRefD14x_1</vt:lpstr>
      <vt:lpstr>'300 &amp; 317'!OSRRefD14x_1</vt:lpstr>
      <vt:lpstr>'307'!OSRRefD14x_1</vt:lpstr>
      <vt:lpstr>'308'!OSRRefD14x_1</vt:lpstr>
      <vt:lpstr>'309'!OSRRefD14x_1</vt:lpstr>
      <vt:lpstr>'310'!OSRRefD14x_1</vt:lpstr>
      <vt:lpstr>'310 &amp; 491'!OSRRefD14x_1</vt:lpstr>
      <vt:lpstr>'311'!OSRRefD14x_1</vt:lpstr>
      <vt:lpstr>'313'!OSRRefD14x_1</vt:lpstr>
      <vt:lpstr>'315'!OSRRefD14x_1</vt:lpstr>
      <vt:lpstr>'317'!OSRRefD14x_1</vt:lpstr>
      <vt:lpstr>'321'!OSRRefD14x_1</vt:lpstr>
      <vt:lpstr>'322'!OSRRefD14x_1</vt:lpstr>
      <vt:lpstr>'324'!OSRRefD14x_1</vt:lpstr>
      <vt:lpstr>'325'!OSRRefD14x_1</vt:lpstr>
      <vt:lpstr>'326'!OSRRefD14x_1</vt:lpstr>
      <vt:lpstr>'327'!OSRRefD14x_1</vt:lpstr>
      <vt:lpstr>'330'!OSRRefD14x_1</vt:lpstr>
      <vt:lpstr>'331'!OSRRefD14x_1</vt:lpstr>
      <vt:lpstr>'405'!OSRRefD14x_1</vt:lpstr>
      <vt:lpstr>'412'!OSRRefD14x_1</vt:lpstr>
      <vt:lpstr>'413'!OSRRefD14x_1</vt:lpstr>
      <vt:lpstr>'414'!OSRRefD14x_1</vt:lpstr>
      <vt:lpstr>'415'!OSRRefD14x_1</vt:lpstr>
      <vt:lpstr>'418'!OSRRefD14x_1</vt:lpstr>
      <vt:lpstr>'433'!OSRRefD14x_1</vt:lpstr>
      <vt:lpstr>'444'!OSRRefD14x_1</vt:lpstr>
      <vt:lpstr>'450'!OSRRefD14x_1</vt:lpstr>
      <vt:lpstr>'491'!OSRRefD14x_1</vt:lpstr>
      <vt:lpstr>'492'!OSRRefD14x_1</vt:lpstr>
      <vt:lpstr>'Div 3'!OSRRefD14x_1</vt:lpstr>
      <vt:lpstr>'Div 4'!OSRRefD14x_1</vt:lpstr>
      <vt:lpstr>'Div 6'!OSRRefD14x_1</vt:lpstr>
      <vt:lpstr>Summary!OSRRefD14x_1</vt:lpstr>
      <vt:lpstr>'300'!OSRRefD14x_2</vt:lpstr>
      <vt:lpstr>'300 &amp; 317'!OSRRefD14x_2</vt:lpstr>
      <vt:lpstr>'307'!OSRRefD14x_2</vt:lpstr>
      <vt:lpstr>'308'!OSRRefD14x_2</vt:lpstr>
      <vt:lpstr>'309'!OSRRefD14x_2</vt:lpstr>
      <vt:lpstr>'310'!OSRRefD14x_2</vt:lpstr>
      <vt:lpstr>'310 &amp; 491'!OSRRefD14x_2</vt:lpstr>
      <vt:lpstr>'311'!OSRRefD14x_2</vt:lpstr>
      <vt:lpstr>'313'!OSRRefD14x_2</vt:lpstr>
      <vt:lpstr>'315'!OSRRefD14x_2</vt:lpstr>
      <vt:lpstr>'317'!OSRRefD14x_2</vt:lpstr>
      <vt:lpstr>'321'!OSRRefD14x_2</vt:lpstr>
      <vt:lpstr>'322'!OSRRefD14x_2</vt:lpstr>
      <vt:lpstr>'324'!OSRRefD14x_2</vt:lpstr>
      <vt:lpstr>'325'!OSRRefD14x_2</vt:lpstr>
      <vt:lpstr>'326'!OSRRefD14x_2</vt:lpstr>
      <vt:lpstr>'327'!OSRRefD14x_2</vt:lpstr>
      <vt:lpstr>'330'!OSRRefD14x_2</vt:lpstr>
      <vt:lpstr>'331'!OSRRefD14x_2</vt:lpstr>
      <vt:lpstr>'405'!OSRRefD14x_2</vt:lpstr>
      <vt:lpstr>'412'!OSRRefD14x_2</vt:lpstr>
      <vt:lpstr>'413'!OSRRefD14x_2</vt:lpstr>
      <vt:lpstr>'414'!OSRRefD14x_2</vt:lpstr>
      <vt:lpstr>'415'!OSRRefD14x_2</vt:lpstr>
      <vt:lpstr>'418'!OSRRefD14x_2</vt:lpstr>
      <vt:lpstr>'433'!OSRRefD14x_2</vt:lpstr>
      <vt:lpstr>'444'!OSRRefD14x_2</vt:lpstr>
      <vt:lpstr>'450'!OSRRefD14x_2</vt:lpstr>
      <vt:lpstr>'491'!OSRRefD14x_2</vt:lpstr>
      <vt:lpstr>'492'!OSRRefD14x_2</vt:lpstr>
      <vt:lpstr>'Div 3'!OSRRefD14x_2</vt:lpstr>
      <vt:lpstr>'Div 4'!OSRRefD14x_2</vt:lpstr>
      <vt:lpstr>'Div 6'!OSRRefD14x_2</vt:lpstr>
      <vt:lpstr>Summary!OSRRefD14x_2</vt:lpstr>
      <vt:lpstr>'300'!OSRRefD14x_3</vt:lpstr>
      <vt:lpstr>'300 &amp; 317'!OSRRefD14x_3</vt:lpstr>
      <vt:lpstr>'307'!OSRRefD14x_3</vt:lpstr>
      <vt:lpstr>'308'!OSRRefD14x_3</vt:lpstr>
      <vt:lpstr>'309'!OSRRefD14x_3</vt:lpstr>
      <vt:lpstr>'310'!OSRRefD14x_3</vt:lpstr>
      <vt:lpstr>'310 &amp; 491'!OSRRefD14x_3</vt:lpstr>
      <vt:lpstr>'311'!OSRRefD14x_3</vt:lpstr>
      <vt:lpstr>'313'!OSRRefD14x_3</vt:lpstr>
      <vt:lpstr>'315'!OSRRefD14x_3</vt:lpstr>
      <vt:lpstr>'317'!OSRRefD14x_3</vt:lpstr>
      <vt:lpstr>'321'!OSRRefD14x_3</vt:lpstr>
      <vt:lpstr>'322'!OSRRefD14x_3</vt:lpstr>
      <vt:lpstr>'324'!OSRRefD14x_3</vt:lpstr>
      <vt:lpstr>'325'!OSRRefD14x_3</vt:lpstr>
      <vt:lpstr>'326'!OSRRefD14x_3</vt:lpstr>
      <vt:lpstr>'327'!OSRRefD14x_3</vt:lpstr>
      <vt:lpstr>'330'!OSRRefD14x_3</vt:lpstr>
      <vt:lpstr>'331'!OSRRefD14x_3</vt:lpstr>
      <vt:lpstr>'405'!OSRRefD14x_3</vt:lpstr>
      <vt:lpstr>'412'!OSRRefD14x_3</vt:lpstr>
      <vt:lpstr>'413'!OSRRefD14x_3</vt:lpstr>
      <vt:lpstr>'414'!OSRRefD14x_3</vt:lpstr>
      <vt:lpstr>'415'!OSRRefD14x_3</vt:lpstr>
      <vt:lpstr>'418'!OSRRefD14x_3</vt:lpstr>
      <vt:lpstr>'433'!OSRRefD14x_3</vt:lpstr>
      <vt:lpstr>'444'!OSRRefD14x_3</vt:lpstr>
      <vt:lpstr>'450'!OSRRefD14x_3</vt:lpstr>
      <vt:lpstr>'491'!OSRRefD14x_3</vt:lpstr>
      <vt:lpstr>'492'!OSRRefD14x_3</vt:lpstr>
      <vt:lpstr>'Div 3'!OSRRefD14x_3</vt:lpstr>
      <vt:lpstr>'Div 4'!OSRRefD14x_3</vt:lpstr>
      <vt:lpstr>'Div 6'!OSRRefD14x_3</vt:lpstr>
      <vt:lpstr>Summary!OSRRefD14x_3</vt:lpstr>
      <vt:lpstr>'200'!OSRRefD20_0x</vt:lpstr>
      <vt:lpstr>'201'!OSRRefD20_0x</vt:lpstr>
      <vt:lpstr>'202'!OSRRefD20_0x</vt:lpstr>
      <vt:lpstr>'203'!OSRRefD20_0x</vt:lpstr>
      <vt:lpstr>'204'!OSRRefD20_0x</vt:lpstr>
      <vt:lpstr>'205'!OSRRefD20_0x</vt:lpstr>
      <vt:lpstr>'206'!OSRRefD20_0x</vt:lpstr>
      <vt:lpstr>'300'!OSRRefD20_0x</vt:lpstr>
      <vt:lpstr>'300 &amp; 317'!OSRRefD20_0x</vt:lpstr>
      <vt:lpstr>'301'!OSRRefD20_0x</vt:lpstr>
      <vt:lpstr>'307'!OSRRefD20_0x</vt:lpstr>
      <vt:lpstr>'308'!OSRRefD20_0x</vt:lpstr>
      <vt:lpstr>'309'!OSRRefD20_0x</vt:lpstr>
      <vt:lpstr>'310'!OSRRefD20_0x</vt:lpstr>
      <vt:lpstr>'310 &amp; 491'!OSRRefD20_0x</vt:lpstr>
      <vt:lpstr>'311'!OSRRefD20_0x</vt:lpstr>
      <vt:lpstr>'313'!OSRRefD20_0x</vt:lpstr>
      <vt:lpstr>'315'!OSRRefD20_0x</vt:lpstr>
      <vt:lpstr>'316'!OSRRefD20_0x</vt:lpstr>
      <vt:lpstr>'317'!OSRRefD20_0x</vt:lpstr>
      <vt:lpstr>'321'!OSRRefD20_0x</vt:lpstr>
      <vt:lpstr>'322'!OSRRefD20_0x</vt:lpstr>
      <vt:lpstr>'324'!OSRRefD20_0x</vt:lpstr>
      <vt:lpstr>'325'!OSRRefD20_0x</vt:lpstr>
      <vt:lpstr>'326'!OSRRefD20_0x</vt:lpstr>
      <vt:lpstr>'327'!OSRRefD20_0x</vt:lpstr>
      <vt:lpstr>'330'!OSRRefD20_0x</vt:lpstr>
      <vt:lpstr>'331'!OSRRefD20_0x</vt:lpstr>
      <vt:lpstr>'332'!OSRRefD20_0x</vt:lpstr>
      <vt:lpstr>'405'!OSRRefD20_0x</vt:lpstr>
      <vt:lpstr>'406'!OSRRefD20_0x</vt:lpstr>
      <vt:lpstr>'411'!OSRRefD20_0x</vt:lpstr>
      <vt:lpstr>'412'!OSRRefD20_0x</vt:lpstr>
      <vt:lpstr>'413'!OSRRefD20_0x</vt:lpstr>
      <vt:lpstr>'414'!OSRRefD20_0x</vt:lpstr>
      <vt:lpstr>'415'!OSRRefD20_0x</vt:lpstr>
      <vt:lpstr>'418'!OSRRefD20_0x</vt:lpstr>
      <vt:lpstr>'423'!OSRRefD20_0x</vt:lpstr>
      <vt:lpstr>'424'!OSRRefD20_0x</vt:lpstr>
      <vt:lpstr>'425'!OSRRefD20_0x</vt:lpstr>
      <vt:lpstr>'430'!OSRRefD20_0x</vt:lpstr>
      <vt:lpstr>'433'!OSRRefD20_0x</vt:lpstr>
      <vt:lpstr>'435'!OSRRefD20_0x</vt:lpstr>
      <vt:lpstr>'444'!OSRRefD20_0x</vt:lpstr>
      <vt:lpstr>'450'!OSRRefD20_0x</vt:lpstr>
      <vt:lpstr>'491'!OSRRefD20_0x</vt:lpstr>
      <vt:lpstr>'492'!OSRRefD20_0x</vt:lpstr>
      <vt:lpstr>'501'!OSRRefD20_0x</vt:lpstr>
      <vt:lpstr>'Div 2'!OSRRefD20_0x</vt:lpstr>
      <vt:lpstr>'Div 3'!OSRRefD20_0x</vt:lpstr>
      <vt:lpstr>'Div 4'!OSRRefD20_0x</vt:lpstr>
      <vt:lpstr>'Div 5'!OSRRefD20_0x</vt:lpstr>
      <vt:lpstr>'Div 6'!OSRRefD20_0x</vt:lpstr>
      <vt:lpstr>Summary!OSRRefD20_0x</vt:lpstr>
      <vt:lpstr>'201'!OSRRefD20_10x</vt:lpstr>
      <vt:lpstr>'202'!OSRRefD20_10x</vt:lpstr>
      <vt:lpstr>'203'!OSRRefD20_10x</vt:lpstr>
      <vt:lpstr>'300'!OSRRefD20_10x</vt:lpstr>
      <vt:lpstr>'300 &amp; 317'!OSRRefD20_10x</vt:lpstr>
      <vt:lpstr>'301'!OSRRefD20_10x</vt:lpstr>
      <vt:lpstr>'307'!OSRRefD20_10x</vt:lpstr>
      <vt:lpstr>'308'!OSRRefD20_10x</vt:lpstr>
      <vt:lpstr>'310'!OSRRefD20_10x</vt:lpstr>
      <vt:lpstr>'310 &amp; 491'!OSRRefD20_10x</vt:lpstr>
      <vt:lpstr>'311'!OSRRefD20_10x</vt:lpstr>
      <vt:lpstr>'315'!OSRRefD20_10x</vt:lpstr>
      <vt:lpstr>'316'!OSRRefD20_10x</vt:lpstr>
      <vt:lpstr>'317'!OSRRefD20_10x</vt:lpstr>
      <vt:lpstr>'321'!OSRRefD20_10x</vt:lpstr>
      <vt:lpstr>'322'!OSRRefD20_10x</vt:lpstr>
      <vt:lpstr>'325'!OSRRefD20_10x</vt:lpstr>
      <vt:lpstr>'326'!OSRRefD20_10x</vt:lpstr>
      <vt:lpstr>'330'!OSRRefD20_10x</vt:lpstr>
      <vt:lpstr>'331'!OSRRefD20_10x</vt:lpstr>
      <vt:lpstr>'332'!OSRRefD20_10x</vt:lpstr>
      <vt:lpstr>'405'!OSRRefD20_10x</vt:lpstr>
      <vt:lpstr>'411'!OSRRefD20_10x</vt:lpstr>
      <vt:lpstr>'412'!OSRRefD20_10x</vt:lpstr>
      <vt:lpstr>'413'!OSRRefD20_10x</vt:lpstr>
      <vt:lpstr>'414'!OSRRefD20_10x</vt:lpstr>
      <vt:lpstr>'415'!OSRRefD20_10x</vt:lpstr>
      <vt:lpstr>'418'!OSRRefD20_10x</vt:lpstr>
      <vt:lpstr>'433'!OSRRefD20_10x</vt:lpstr>
      <vt:lpstr>'444'!OSRRefD20_10x</vt:lpstr>
      <vt:lpstr>'450'!OSRRefD20_10x</vt:lpstr>
      <vt:lpstr>'491'!OSRRefD20_10x</vt:lpstr>
      <vt:lpstr>'492'!OSRRefD20_10x</vt:lpstr>
      <vt:lpstr>'501'!OSRRefD20_10x</vt:lpstr>
      <vt:lpstr>'Div 2'!OSRRefD20_10x</vt:lpstr>
      <vt:lpstr>'Div 3'!OSRRefD20_10x</vt:lpstr>
      <vt:lpstr>'Div 4'!OSRRefD20_10x</vt:lpstr>
      <vt:lpstr>'Div 5'!OSRRefD20_10x</vt:lpstr>
      <vt:lpstr>'Div 6'!OSRRefD20_10x</vt:lpstr>
      <vt:lpstr>Summary!OSRRefD20_10x</vt:lpstr>
      <vt:lpstr>'201'!OSRRefD20_11x</vt:lpstr>
      <vt:lpstr>'202'!OSRRefD20_11x</vt:lpstr>
      <vt:lpstr>'203'!OSRRefD20_11x</vt:lpstr>
      <vt:lpstr>'300'!OSRRefD20_11x</vt:lpstr>
      <vt:lpstr>'300 &amp; 317'!OSRRefD20_11x</vt:lpstr>
      <vt:lpstr>'301'!OSRRefD20_11x</vt:lpstr>
      <vt:lpstr>'307'!OSRRefD20_11x</vt:lpstr>
      <vt:lpstr>'308'!OSRRefD20_11x</vt:lpstr>
      <vt:lpstr>'310'!OSRRefD20_11x</vt:lpstr>
      <vt:lpstr>'310 &amp; 491'!OSRRefD20_11x</vt:lpstr>
      <vt:lpstr>'311'!OSRRefD20_11x</vt:lpstr>
      <vt:lpstr>'315'!OSRRefD20_11x</vt:lpstr>
      <vt:lpstr>'316'!OSRRefD20_11x</vt:lpstr>
      <vt:lpstr>'317'!OSRRefD20_11x</vt:lpstr>
      <vt:lpstr>'321'!OSRRefD20_11x</vt:lpstr>
      <vt:lpstr>'325'!OSRRefD20_11x</vt:lpstr>
      <vt:lpstr>'326'!OSRRefD20_11x</vt:lpstr>
      <vt:lpstr>'330'!OSRRefD20_11x</vt:lpstr>
      <vt:lpstr>'331'!OSRRefD20_11x</vt:lpstr>
      <vt:lpstr>'332'!OSRRefD20_11x</vt:lpstr>
      <vt:lpstr>'405'!OSRRefD20_11x</vt:lpstr>
      <vt:lpstr>'411'!OSRRefD20_11x</vt:lpstr>
      <vt:lpstr>'412'!OSRRefD20_11x</vt:lpstr>
      <vt:lpstr>'413'!OSRRefD20_11x</vt:lpstr>
      <vt:lpstr>'414'!OSRRefD20_11x</vt:lpstr>
      <vt:lpstr>'415'!OSRRefD20_11x</vt:lpstr>
      <vt:lpstr>'418'!OSRRefD20_11x</vt:lpstr>
      <vt:lpstr>'433'!OSRRefD20_11x</vt:lpstr>
      <vt:lpstr>'444'!OSRRefD20_11x</vt:lpstr>
      <vt:lpstr>'450'!OSRRefD20_11x</vt:lpstr>
      <vt:lpstr>'491'!OSRRefD20_11x</vt:lpstr>
      <vt:lpstr>'492'!OSRRefD20_11x</vt:lpstr>
      <vt:lpstr>'501'!OSRRefD20_11x</vt:lpstr>
      <vt:lpstr>'Div 2'!OSRRefD20_11x</vt:lpstr>
      <vt:lpstr>'Div 3'!OSRRefD20_11x</vt:lpstr>
      <vt:lpstr>'Div 4'!OSRRefD20_11x</vt:lpstr>
      <vt:lpstr>'Div 5'!OSRRefD20_11x</vt:lpstr>
      <vt:lpstr>'Div 6'!OSRRefD20_11x</vt:lpstr>
      <vt:lpstr>Summary!OSRRefD20_11x</vt:lpstr>
      <vt:lpstr>'201'!OSRRefD20_12x</vt:lpstr>
      <vt:lpstr>'202'!OSRRefD20_12x</vt:lpstr>
      <vt:lpstr>'203'!OSRRefD20_12x</vt:lpstr>
      <vt:lpstr>'300'!OSRRefD20_12x</vt:lpstr>
      <vt:lpstr>'300 &amp; 317'!OSRRefD20_12x</vt:lpstr>
      <vt:lpstr>'301'!OSRRefD20_12x</vt:lpstr>
      <vt:lpstr>'307'!OSRRefD20_12x</vt:lpstr>
      <vt:lpstr>'308'!OSRRefD20_12x</vt:lpstr>
      <vt:lpstr>'310'!OSRRefD20_12x</vt:lpstr>
      <vt:lpstr>'310 &amp; 491'!OSRRefD20_12x</vt:lpstr>
      <vt:lpstr>'311'!OSRRefD20_12x</vt:lpstr>
      <vt:lpstr>'315'!OSRRefD20_12x</vt:lpstr>
      <vt:lpstr>'317'!OSRRefD20_12x</vt:lpstr>
      <vt:lpstr>'321'!OSRRefD20_12x</vt:lpstr>
      <vt:lpstr>'325'!OSRRefD20_12x</vt:lpstr>
      <vt:lpstr>'326'!OSRRefD20_12x</vt:lpstr>
      <vt:lpstr>'330'!OSRRefD20_12x</vt:lpstr>
      <vt:lpstr>'331'!OSRRefD20_12x</vt:lpstr>
      <vt:lpstr>'405'!OSRRefD20_12x</vt:lpstr>
      <vt:lpstr>'411'!OSRRefD20_12x</vt:lpstr>
      <vt:lpstr>'412'!OSRRefD20_12x</vt:lpstr>
      <vt:lpstr>'414'!OSRRefD20_12x</vt:lpstr>
      <vt:lpstr>'415'!OSRRefD20_12x</vt:lpstr>
      <vt:lpstr>'418'!OSRRefD20_12x</vt:lpstr>
      <vt:lpstr>'433'!OSRRefD20_12x</vt:lpstr>
      <vt:lpstr>'444'!OSRRefD20_12x</vt:lpstr>
      <vt:lpstr>'450'!OSRRefD20_12x</vt:lpstr>
      <vt:lpstr>'491'!OSRRefD20_12x</vt:lpstr>
      <vt:lpstr>'492'!OSRRefD20_12x</vt:lpstr>
      <vt:lpstr>'501'!OSRRefD20_12x</vt:lpstr>
      <vt:lpstr>'Div 2'!OSRRefD20_12x</vt:lpstr>
      <vt:lpstr>'Div 3'!OSRRefD20_12x</vt:lpstr>
      <vt:lpstr>'Div 4'!OSRRefD20_12x</vt:lpstr>
      <vt:lpstr>'Div 5'!OSRRefD20_12x</vt:lpstr>
      <vt:lpstr>'Div 6'!OSRRefD20_12x</vt:lpstr>
      <vt:lpstr>Summary!OSRRefD20_12x</vt:lpstr>
      <vt:lpstr>'201'!OSRRefD20_13x</vt:lpstr>
      <vt:lpstr>'203'!OSRRefD20_13x</vt:lpstr>
      <vt:lpstr>'300'!OSRRefD20_13x</vt:lpstr>
      <vt:lpstr>'300 &amp; 317'!OSRRefD20_13x</vt:lpstr>
      <vt:lpstr>'301'!OSRRefD20_13x</vt:lpstr>
      <vt:lpstr>'308'!OSRRefD20_13x</vt:lpstr>
      <vt:lpstr>'310'!OSRRefD20_13x</vt:lpstr>
      <vt:lpstr>'310 &amp; 491'!OSRRefD20_13x</vt:lpstr>
      <vt:lpstr>'311'!OSRRefD20_13x</vt:lpstr>
      <vt:lpstr>'315'!OSRRefD20_13x</vt:lpstr>
      <vt:lpstr>'325'!OSRRefD20_13x</vt:lpstr>
      <vt:lpstr>'326'!OSRRefD20_13x</vt:lpstr>
      <vt:lpstr>'331'!OSRRefD20_13x</vt:lpstr>
      <vt:lpstr>'405'!OSRRefD20_13x</vt:lpstr>
      <vt:lpstr>'411'!OSRRefD20_13x</vt:lpstr>
      <vt:lpstr>'412'!OSRRefD20_13x</vt:lpstr>
      <vt:lpstr>'414'!OSRRefD20_13x</vt:lpstr>
      <vt:lpstr>'415'!OSRRefD20_13x</vt:lpstr>
      <vt:lpstr>'418'!OSRRefD20_13x</vt:lpstr>
      <vt:lpstr>'433'!OSRRefD20_13x</vt:lpstr>
      <vt:lpstr>'444'!OSRRefD20_13x</vt:lpstr>
      <vt:lpstr>'450'!OSRRefD20_13x</vt:lpstr>
      <vt:lpstr>'491'!OSRRefD20_13x</vt:lpstr>
      <vt:lpstr>'492'!OSRRefD20_13x</vt:lpstr>
      <vt:lpstr>'501'!OSRRefD20_13x</vt:lpstr>
      <vt:lpstr>'Div 2'!OSRRefD20_13x</vt:lpstr>
      <vt:lpstr>'Div 3'!OSRRefD20_13x</vt:lpstr>
      <vt:lpstr>'Div 4'!OSRRefD20_13x</vt:lpstr>
      <vt:lpstr>'Div 5'!OSRRefD20_13x</vt:lpstr>
      <vt:lpstr>Summary!OSRRefD20_13x</vt:lpstr>
      <vt:lpstr>'201'!OSRRefD20_14x</vt:lpstr>
      <vt:lpstr>'300'!OSRRefD20_14x</vt:lpstr>
      <vt:lpstr>'300 &amp; 317'!OSRRefD20_14x</vt:lpstr>
      <vt:lpstr>'301'!OSRRefD20_14x</vt:lpstr>
      <vt:lpstr>'308'!OSRRefD20_14x</vt:lpstr>
      <vt:lpstr>'310'!OSRRefD20_14x</vt:lpstr>
      <vt:lpstr>'310 &amp; 491'!OSRRefD20_14x</vt:lpstr>
      <vt:lpstr>'311'!OSRRefD20_14x</vt:lpstr>
      <vt:lpstr>'315'!OSRRefD20_14x</vt:lpstr>
      <vt:lpstr>'325'!OSRRefD20_14x</vt:lpstr>
      <vt:lpstr>'326'!OSRRefD20_14x</vt:lpstr>
      <vt:lpstr>'331'!OSRRefD20_14x</vt:lpstr>
      <vt:lpstr>'405'!OSRRefD20_14x</vt:lpstr>
      <vt:lpstr>'411'!OSRRefD20_14x</vt:lpstr>
      <vt:lpstr>'414'!OSRRefD20_14x</vt:lpstr>
      <vt:lpstr>'415'!OSRRefD20_14x</vt:lpstr>
      <vt:lpstr>'433'!OSRRefD20_14x</vt:lpstr>
      <vt:lpstr>'444'!OSRRefD20_14x</vt:lpstr>
      <vt:lpstr>'450'!OSRRefD20_14x</vt:lpstr>
      <vt:lpstr>'491'!OSRRefD20_14x</vt:lpstr>
      <vt:lpstr>'492'!OSRRefD20_14x</vt:lpstr>
      <vt:lpstr>'Div 2'!OSRRefD20_14x</vt:lpstr>
      <vt:lpstr>'Div 3'!OSRRefD20_14x</vt:lpstr>
      <vt:lpstr>'Div 4'!OSRRefD20_14x</vt:lpstr>
      <vt:lpstr>Summary!OSRRefD20_14x</vt:lpstr>
      <vt:lpstr>'201'!OSRRefD20_15x</vt:lpstr>
      <vt:lpstr>'300'!OSRRefD20_15x</vt:lpstr>
      <vt:lpstr>'300 &amp; 317'!OSRRefD20_15x</vt:lpstr>
      <vt:lpstr>'301'!OSRRefD20_15x</vt:lpstr>
      <vt:lpstr>'310'!OSRRefD20_15x</vt:lpstr>
      <vt:lpstr>'310 &amp; 491'!OSRRefD20_15x</vt:lpstr>
      <vt:lpstr>'315'!OSRRefD20_15x</vt:lpstr>
      <vt:lpstr>'326'!OSRRefD20_15x</vt:lpstr>
      <vt:lpstr>'331'!OSRRefD20_15x</vt:lpstr>
      <vt:lpstr>'405'!OSRRefD20_15x</vt:lpstr>
      <vt:lpstr>'411'!OSRRefD20_15x</vt:lpstr>
      <vt:lpstr>'415'!OSRRefD20_15x</vt:lpstr>
      <vt:lpstr>'433'!OSRRefD20_15x</vt:lpstr>
      <vt:lpstr>'444'!OSRRefD20_15x</vt:lpstr>
      <vt:lpstr>'450'!OSRRefD20_15x</vt:lpstr>
      <vt:lpstr>'491'!OSRRefD20_15x</vt:lpstr>
      <vt:lpstr>'492'!OSRRefD20_15x</vt:lpstr>
      <vt:lpstr>'Div 2'!OSRRefD20_15x</vt:lpstr>
      <vt:lpstr>'Div 3'!OSRRefD20_15x</vt:lpstr>
      <vt:lpstr>'Div 4'!OSRRefD20_15x</vt:lpstr>
      <vt:lpstr>Summary!OSRRefD20_15x</vt:lpstr>
      <vt:lpstr>'201'!OSRRefD20_16x</vt:lpstr>
      <vt:lpstr>'300'!OSRRefD20_16x</vt:lpstr>
      <vt:lpstr>'300 &amp; 317'!OSRRefD20_16x</vt:lpstr>
      <vt:lpstr>'301'!OSRRefD20_16x</vt:lpstr>
      <vt:lpstr>'310'!OSRRefD20_16x</vt:lpstr>
      <vt:lpstr>'310 &amp; 491'!OSRRefD20_16x</vt:lpstr>
      <vt:lpstr>'315'!OSRRefD20_16x</vt:lpstr>
      <vt:lpstr>'326'!OSRRefD20_16x</vt:lpstr>
      <vt:lpstr>'331'!OSRRefD20_16x</vt:lpstr>
      <vt:lpstr>'405'!OSRRefD20_16x</vt:lpstr>
      <vt:lpstr>'415'!OSRRefD20_16x</vt:lpstr>
      <vt:lpstr>'450'!OSRRefD20_16x</vt:lpstr>
      <vt:lpstr>'491'!OSRRefD20_16x</vt:lpstr>
      <vt:lpstr>'492'!OSRRefD20_16x</vt:lpstr>
      <vt:lpstr>'Div 2'!OSRRefD20_16x</vt:lpstr>
      <vt:lpstr>'Div 3'!OSRRefD20_16x</vt:lpstr>
      <vt:lpstr>'Div 4'!OSRRefD20_16x</vt:lpstr>
      <vt:lpstr>Summary!OSRRefD20_16x</vt:lpstr>
      <vt:lpstr>'300'!OSRRefD20_17x</vt:lpstr>
      <vt:lpstr>'300 &amp; 317'!OSRRefD20_17x</vt:lpstr>
      <vt:lpstr>'301'!OSRRefD20_17x</vt:lpstr>
      <vt:lpstr>'310'!OSRRefD20_17x</vt:lpstr>
      <vt:lpstr>'310 &amp; 491'!OSRRefD20_17x</vt:lpstr>
      <vt:lpstr>'315'!OSRRefD20_17x</vt:lpstr>
      <vt:lpstr>'326'!OSRRefD20_17x</vt:lpstr>
      <vt:lpstr>'331'!OSRRefD20_17x</vt:lpstr>
      <vt:lpstr>'491'!OSRRefD20_17x</vt:lpstr>
      <vt:lpstr>'492'!OSRRefD20_17x</vt:lpstr>
      <vt:lpstr>'Div 2'!OSRRefD20_17x</vt:lpstr>
      <vt:lpstr>'Div 3'!OSRRefD20_17x</vt:lpstr>
      <vt:lpstr>'Div 4'!OSRRefD20_17x</vt:lpstr>
      <vt:lpstr>Summary!OSRRefD20_17x</vt:lpstr>
      <vt:lpstr>'300'!OSRRefD20_18x</vt:lpstr>
      <vt:lpstr>'300 &amp; 317'!OSRRefD20_18x</vt:lpstr>
      <vt:lpstr>'301'!OSRRefD20_18x</vt:lpstr>
      <vt:lpstr>'310'!OSRRefD20_18x</vt:lpstr>
      <vt:lpstr>'310 &amp; 491'!OSRRefD20_18x</vt:lpstr>
      <vt:lpstr>'326'!OSRRefD20_18x</vt:lpstr>
      <vt:lpstr>'331'!OSRRefD20_18x</vt:lpstr>
      <vt:lpstr>'491'!OSRRefD20_18x</vt:lpstr>
      <vt:lpstr>'Div 2'!OSRRefD20_18x</vt:lpstr>
      <vt:lpstr>'Div 3'!OSRRefD20_18x</vt:lpstr>
      <vt:lpstr>'Div 4'!OSRRefD20_18x</vt:lpstr>
      <vt:lpstr>Summary!OSRRefD20_18x</vt:lpstr>
      <vt:lpstr>'300'!OSRRefD20_19x</vt:lpstr>
      <vt:lpstr>'300 &amp; 317'!OSRRefD20_19x</vt:lpstr>
      <vt:lpstr>'301'!OSRRefD20_19x</vt:lpstr>
      <vt:lpstr>'310'!OSRRefD20_19x</vt:lpstr>
      <vt:lpstr>'310 &amp; 491'!OSRRefD20_19x</vt:lpstr>
      <vt:lpstr>'326'!OSRRefD20_19x</vt:lpstr>
      <vt:lpstr>'331'!OSRRefD20_19x</vt:lpstr>
      <vt:lpstr>'491'!OSRRefD20_19x</vt:lpstr>
      <vt:lpstr>'Div 2'!OSRRefD20_19x</vt:lpstr>
      <vt:lpstr>'Div 3'!OSRRefD20_19x</vt:lpstr>
      <vt:lpstr>'Div 4'!OSRRefD20_19x</vt:lpstr>
      <vt:lpstr>Summary!OSRRefD20_19x</vt:lpstr>
      <vt:lpstr>'200'!OSRRefD20_1x</vt:lpstr>
      <vt:lpstr>'201'!OSRRefD20_1x</vt:lpstr>
      <vt:lpstr>'202'!OSRRefD20_1x</vt:lpstr>
      <vt:lpstr>'203'!OSRRefD20_1x</vt:lpstr>
      <vt:lpstr>'204'!OSRRefD20_1x</vt:lpstr>
      <vt:lpstr>'205'!OSRRefD20_1x</vt:lpstr>
      <vt:lpstr>'206'!OSRRefD20_1x</vt:lpstr>
      <vt:lpstr>'300'!OSRRefD20_1x</vt:lpstr>
      <vt:lpstr>'300 &amp; 317'!OSRRefD20_1x</vt:lpstr>
      <vt:lpstr>'301'!OSRRefD20_1x</vt:lpstr>
      <vt:lpstr>'307'!OSRRefD20_1x</vt:lpstr>
      <vt:lpstr>'308'!OSRRefD20_1x</vt:lpstr>
      <vt:lpstr>'309'!OSRRefD20_1x</vt:lpstr>
      <vt:lpstr>'310'!OSRRefD20_1x</vt:lpstr>
      <vt:lpstr>'310 &amp; 491'!OSRRefD20_1x</vt:lpstr>
      <vt:lpstr>'311'!OSRRefD20_1x</vt:lpstr>
      <vt:lpstr>'313'!OSRRefD20_1x</vt:lpstr>
      <vt:lpstr>'315'!OSRRefD20_1x</vt:lpstr>
      <vt:lpstr>'316'!OSRRefD20_1x</vt:lpstr>
      <vt:lpstr>'317'!OSRRefD20_1x</vt:lpstr>
      <vt:lpstr>'321'!OSRRefD20_1x</vt:lpstr>
      <vt:lpstr>'322'!OSRRefD20_1x</vt:lpstr>
      <vt:lpstr>'324'!OSRRefD20_1x</vt:lpstr>
      <vt:lpstr>'325'!OSRRefD20_1x</vt:lpstr>
      <vt:lpstr>'326'!OSRRefD20_1x</vt:lpstr>
      <vt:lpstr>'330'!OSRRefD20_1x</vt:lpstr>
      <vt:lpstr>'331'!OSRRefD20_1x</vt:lpstr>
      <vt:lpstr>'332'!OSRRefD20_1x</vt:lpstr>
      <vt:lpstr>'405'!OSRRefD20_1x</vt:lpstr>
      <vt:lpstr>'406'!OSRRefD20_1x</vt:lpstr>
      <vt:lpstr>'411'!OSRRefD20_1x</vt:lpstr>
      <vt:lpstr>'412'!OSRRefD20_1x</vt:lpstr>
      <vt:lpstr>'413'!OSRRefD20_1x</vt:lpstr>
      <vt:lpstr>'414'!OSRRefD20_1x</vt:lpstr>
      <vt:lpstr>'415'!OSRRefD20_1x</vt:lpstr>
      <vt:lpstr>'418'!OSRRefD20_1x</vt:lpstr>
      <vt:lpstr>'423'!OSRRefD20_1x</vt:lpstr>
      <vt:lpstr>'424'!OSRRefD20_1x</vt:lpstr>
      <vt:lpstr>'425'!OSRRefD20_1x</vt:lpstr>
      <vt:lpstr>'430'!OSRRefD20_1x</vt:lpstr>
      <vt:lpstr>'433'!OSRRefD20_1x</vt:lpstr>
      <vt:lpstr>'444'!OSRRefD20_1x</vt:lpstr>
      <vt:lpstr>'450'!OSRRefD20_1x</vt:lpstr>
      <vt:lpstr>'491'!OSRRefD20_1x</vt:lpstr>
      <vt:lpstr>'492'!OSRRefD20_1x</vt:lpstr>
      <vt:lpstr>'501'!OSRRefD20_1x</vt:lpstr>
      <vt:lpstr>'Div 2'!OSRRefD20_1x</vt:lpstr>
      <vt:lpstr>'Div 3'!OSRRefD20_1x</vt:lpstr>
      <vt:lpstr>'Div 4'!OSRRefD20_1x</vt:lpstr>
      <vt:lpstr>'Div 5'!OSRRefD20_1x</vt:lpstr>
      <vt:lpstr>'Div 6'!OSRRefD20_1x</vt:lpstr>
      <vt:lpstr>Summary!OSRRefD20_1x</vt:lpstr>
      <vt:lpstr>'300'!OSRRefD20_20x</vt:lpstr>
      <vt:lpstr>'300 &amp; 317'!OSRRefD20_20x</vt:lpstr>
      <vt:lpstr>'301'!OSRRefD20_20x</vt:lpstr>
      <vt:lpstr>'310 &amp; 491'!OSRRefD20_20x</vt:lpstr>
      <vt:lpstr>'331'!OSRRefD20_20x</vt:lpstr>
      <vt:lpstr>'491'!OSRRefD20_20x</vt:lpstr>
      <vt:lpstr>'Div 3'!OSRRefD20_20x</vt:lpstr>
      <vt:lpstr>'Div 4'!OSRRefD20_20x</vt:lpstr>
      <vt:lpstr>Summary!OSRRefD20_20x</vt:lpstr>
      <vt:lpstr>'300'!OSRRefD20_21x</vt:lpstr>
      <vt:lpstr>'300 &amp; 317'!OSRRefD20_21x</vt:lpstr>
      <vt:lpstr>'310 &amp; 491'!OSRRefD20_21x</vt:lpstr>
      <vt:lpstr>'331'!OSRRefD20_21x</vt:lpstr>
      <vt:lpstr>'491'!OSRRefD20_21x</vt:lpstr>
      <vt:lpstr>'Div 3'!OSRRefD20_21x</vt:lpstr>
      <vt:lpstr>'Div 4'!OSRRefD20_21x</vt:lpstr>
      <vt:lpstr>Summary!OSRRefD20_21x</vt:lpstr>
      <vt:lpstr>'300'!OSRRefD20_22x</vt:lpstr>
      <vt:lpstr>'300 &amp; 317'!OSRRefD20_22x</vt:lpstr>
      <vt:lpstr>'310 &amp; 491'!OSRRefD20_22x</vt:lpstr>
      <vt:lpstr>'491'!OSRRefD20_22x</vt:lpstr>
      <vt:lpstr>'Div 3'!OSRRefD20_22x</vt:lpstr>
      <vt:lpstr>'Div 4'!OSRRefD20_22x</vt:lpstr>
      <vt:lpstr>Summary!OSRRefD20_22x</vt:lpstr>
      <vt:lpstr>'300'!OSRRefD20_23x</vt:lpstr>
      <vt:lpstr>'300 &amp; 317'!OSRRefD20_23x</vt:lpstr>
      <vt:lpstr>'Div 3'!OSRRefD20_23x</vt:lpstr>
      <vt:lpstr>'Div 4'!OSRRefD20_23x</vt:lpstr>
      <vt:lpstr>Summary!OSRRefD20_23x</vt:lpstr>
      <vt:lpstr>'300'!OSRRefD20_24x</vt:lpstr>
      <vt:lpstr>'300 &amp; 317'!OSRRefD20_24x</vt:lpstr>
      <vt:lpstr>'Div 3'!OSRRefD20_24x</vt:lpstr>
      <vt:lpstr>Summary!OSRRefD20_24x</vt:lpstr>
      <vt:lpstr>'Div 3'!OSRRefD20_25x</vt:lpstr>
      <vt:lpstr>Summary!OSRRefD20_25x</vt:lpstr>
      <vt:lpstr>Summary!OSRRefD20_26x</vt:lpstr>
      <vt:lpstr>'200'!OSRRefD20_2x</vt:lpstr>
      <vt:lpstr>'201'!OSRRefD20_2x</vt:lpstr>
      <vt:lpstr>'202'!OSRRefD20_2x</vt:lpstr>
      <vt:lpstr>'203'!OSRRefD20_2x</vt:lpstr>
      <vt:lpstr>'204'!OSRRefD20_2x</vt:lpstr>
      <vt:lpstr>'205'!OSRRefD20_2x</vt:lpstr>
      <vt:lpstr>'206'!OSRRefD20_2x</vt:lpstr>
      <vt:lpstr>'300'!OSRRefD20_2x</vt:lpstr>
      <vt:lpstr>'300 &amp; 317'!OSRRefD20_2x</vt:lpstr>
      <vt:lpstr>'301'!OSRRefD20_2x</vt:lpstr>
      <vt:lpstr>'307'!OSRRefD20_2x</vt:lpstr>
      <vt:lpstr>'308'!OSRRefD20_2x</vt:lpstr>
      <vt:lpstr>'309'!OSRRefD20_2x</vt:lpstr>
      <vt:lpstr>'310'!OSRRefD20_2x</vt:lpstr>
      <vt:lpstr>'310 &amp; 491'!OSRRefD20_2x</vt:lpstr>
      <vt:lpstr>'311'!OSRRefD20_2x</vt:lpstr>
      <vt:lpstr>'313'!OSRRefD20_2x</vt:lpstr>
      <vt:lpstr>'315'!OSRRefD20_2x</vt:lpstr>
      <vt:lpstr>'316'!OSRRefD20_2x</vt:lpstr>
      <vt:lpstr>'317'!OSRRefD20_2x</vt:lpstr>
      <vt:lpstr>'321'!OSRRefD20_2x</vt:lpstr>
      <vt:lpstr>'322'!OSRRefD20_2x</vt:lpstr>
      <vt:lpstr>'325'!OSRRefD20_2x</vt:lpstr>
      <vt:lpstr>'326'!OSRRefD20_2x</vt:lpstr>
      <vt:lpstr>'330'!OSRRefD20_2x</vt:lpstr>
      <vt:lpstr>'331'!OSRRefD20_2x</vt:lpstr>
      <vt:lpstr>'332'!OSRRefD20_2x</vt:lpstr>
      <vt:lpstr>'405'!OSRRefD20_2x</vt:lpstr>
      <vt:lpstr>'406'!OSRRefD20_2x</vt:lpstr>
      <vt:lpstr>'411'!OSRRefD20_2x</vt:lpstr>
      <vt:lpstr>'412'!OSRRefD20_2x</vt:lpstr>
      <vt:lpstr>'413'!OSRRefD20_2x</vt:lpstr>
      <vt:lpstr>'414'!OSRRefD20_2x</vt:lpstr>
      <vt:lpstr>'415'!OSRRefD20_2x</vt:lpstr>
      <vt:lpstr>'418'!OSRRefD20_2x</vt:lpstr>
      <vt:lpstr>'423'!OSRRefD20_2x</vt:lpstr>
      <vt:lpstr>'424'!OSRRefD20_2x</vt:lpstr>
      <vt:lpstr>'425'!OSRRefD20_2x</vt:lpstr>
      <vt:lpstr>'430'!OSRRefD20_2x</vt:lpstr>
      <vt:lpstr>'433'!OSRRefD20_2x</vt:lpstr>
      <vt:lpstr>'444'!OSRRefD20_2x</vt:lpstr>
      <vt:lpstr>'450'!OSRRefD20_2x</vt:lpstr>
      <vt:lpstr>'491'!OSRRefD20_2x</vt:lpstr>
      <vt:lpstr>'492'!OSRRefD20_2x</vt:lpstr>
      <vt:lpstr>'501'!OSRRefD20_2x</vt:lpstr>
      <vt:lpstr>'Div 2'!OSRRefD20_2x</vt:lpstr>
      <vt:lpstr>'Div 3'!OSRRefD20_2x</vt:lpstr>
      <vt:lpstr>'Div 4'!OSRRefD20_2x</vt:lpstr>
      <vt:lpstr>'Div 5'!OSRRefD20_2x</vt:lpstr>
      <vt:lpstr>'Div 6'!OSRRefD20_2x</vt:lpstr>
      <vt:lpstr>Summary!OSRRefD20_2x</vt:lpstr>
      <vt:lpstr>'200'!OSRRefD20_3x</vt:lpstr>
      <vt:lpstr>'201'!OSRRefD20_3x</vt:lpstr>
      <vt:lpstr>'202'!OSRRefD20_3x</vt:lpstr>
      <vt:lpstr>'203'!OSRRefD20_3x</vt:lpstr>
      <vt:lpstr>'204'!OSRRefD20_3x</vt:lpstr>
      <vt:lpstr>'205'!OSRRefD20_3x</vt:lpstr>
      <vt:lpstr>'206'!OSRRefD20_3x</vt:lpstr>
      <vt:lpstr>'300'!OSRRefD20_3x</vt:lpstr>
      <vt:lpstr>'300 &amp; 317'!OSRRefD20_3x</vt:lpstr>
      <vt:lpstr>'301'!OSRRefD20_3x</vt:lpstr>
      <vt:lpstr>'307'!OSRRefD20_3x</vt:lpstr>
      <vt:lpstr>'308'!OSRRefD20_3x</vt:lpstr>
      <vt:lpstr>'309'!OSRRefD20_3x</vt:lpstr>
      <vt:lpstr>'310'!OSRRefD20_3x</vt:lpstr>
      <vt:lpstr>'310 &amp; 491'!OSRRefD20_3x</vt:lpstr>
      <vt:lpstr>'311'!OSRRefD20_3x</vt:lpstr>
      <vt:lpstr>'313'!OSRRefD20_3x</vt:lpstr>
      <vt:lpstr>'315'!OSRRefD20_3x</vt:lpstr>
      <vt:lpstr>'316'!OSRRefD20_3x</vt:lpstr>
      <vt:lpstr>'317'!OSRRefD20_3x</vt:lpstr>
      <vt:lpstr>'321'!OSRRefD20_3x</vt:lpstr>
      <vt:lpstr>'322'!OSRRefD20_3x</vt:lpstr>
      <vt:lpstr>'325'!OSRRefD20_3x</vt:lpstr>
      <vt:lpstr>'326'!OSRRefD20_3x</vt:lpstr>
      <vt:lpstr>'330'!OSRRefD20_3x</vt:lpstr>
      <vt:lpstr>'331'!OSRRefD20_3x</vt:lpstr>
      <vt:lpstr>'332'!OSRRefD20_3x</vt:lpstr>
      <vt:lpstr>'405'!OSRRefD20_3x</vt:lpstr>
      <vt:lpstr>'406'!OSRRefD20_3x</vt:lpstr>
      <vt:lpstr>'411'!OSRRefD20_3x</vt:lpstr>
      <vt:lpstr>'412'!OSRRefD20_3x</vt:lpstr>
      <vt:lpstr>'413'!OSRRefD20_3x</vt:lpstr>
      <vt:lpstr>'414'!OSRRefD20_3x</vt:lpstr>
      <vt:lpstr>'415'!OSRRefD20_3x</vt:lpstr>
      <vt:lpstr>'418'!OSRRefD20_3x</vt:lpstr>
      <vt:lpstr>'423'!OSRRefD20_3x</vt:lpstr>
      <vt:lpstr>'424'!OSRRefD20_3x</vt:lpstr>
      <vt:lpstr>'425'!OSRRefD20_3x</vt:lpstr>
      <vt:lpstr>'430'!OSRRefD20_3x</vt:lpstr>
      <vt:lpstr>'433'!OSRRefD20_3x</vt:lpstr>
      <vt:lpstr>'444'!OSRRefD20_3x</vt:lpstr>
      <vt:lpstr>'450'!OSRRefD20_3x</vt:lpstr>
      <vt:lpstr>'491'!OSRRefD20_3x</vt:lpstr>
      <vt:lpstr>'492'!OSRRefD20_3x</vt:lpstr>
      <vt:lpstr>'501'!OSRRefD20_3x</vt:lpstr>
      <vt:lpstr>'Div 2'!OSRRefD20_3x</vt:lpstr>
      <vt:lpstr>'Div 3'!OSRRefD20_3x</vt:lpstr>
      <vt:lpstr>'Div 4'!OSRRefD20_3x</vt:lpstr>
      <vt:lpstr>'Div 5'!OSRRefD20_3x</vt:lpstr>
      <vt:lpstr>'Div 6'!OSRRefD20_3x</vt:lpstr>
      <vt:lpstr>Summary!OSRRefD20_3x</vt:lpstr>
      <vt:lpstr>'200'!OSRRefD20_4x</vt:lpstr>
      <vt:lpstr>'201'!OSRRefD20_4x</vt:lpstr>
      <vt:lpstr>'202'!OSRRefD20_4x</vt:lpstr>
      <vt:lpstr>'203'!OSRRefD20_4x</vt:lpstr>
      <vt:lpstr>'204'!OSRRefD20_4x</vt:lpstr>
      <vt:lpstr>'205'!OSRRefD20_4x</vt:lpstr>
      <vt:lpstr>'206'!OSRRefD20_4x</vt:lpstr>
      <vt:lpstr>'300'!OSRRefD20_4x</vt:lpstr>
      <vt:lpstr>'300 &amp; 317'!OSRRefD20_4x</vt:lpstr>
      <vt:lpstr>'301'!OSRRefD20_4x</vt:lpstr>
      <vt:lpstr>'307'!OSRRefD20_4x</vt:lpstr>
      <vt:lpstr>'308'!OSRRefD20_4x</vt:lpstr>
      <vt:lpstr>'309'!OSRRefD20_4x</vt:lpstr>
      <vt:lpstr>'310'!OSRRefD20_4x</vt:lpstr>
      <vt:lpstr>'310 &amp; 491'!OSRRefD20_4x</vt:lpstr>
      <vt:lpstr>'311'!OSRRefD20_4x</vt:lpstr>
      <vt:lpstr>'313'!OSRRefD20_4x</vt:lpstr>
      <vt:lpstr>'315'!OSRRefD20_4x</vt:lpstr>
      <vt:lpstr>'316'!OSRRefD20_4x</vt:lpstr>
      <vt:lpstr>'317'!OSRRefD20_4x</vt:lpstr>
      <vt:lpstr>'321'!OSRRefD20_4x</vt:lpstr>
      <vt:lpstr>'322'!OSRRefD20_4x</vt:lpstr>
      <vt:lpstr>'325'!OSRRefD20_4x</vt:lpstr>
      <vt:lpstr>'326'!OSRRefD20_4x</vt:lpstr>
      <vt:lpstr>'330'!OSRRefD20_4x</vt:lpstr>
      <vt:lpstr>'331'!OSRRefD20_4x</vt:lpstr>
      <vt:lpstr>'332'!OSRRefD20_4x</vt:lpstr>
      <vt:lpstr>'405'!OSRRefD20_4x</vt:lpstr>
      <vt:lpstr>'406'!OSRRefD20_4x</vt:lpstr>
      <vt:lpstr>'411'!OSRRefD20_4x</vt:lpstr>
      <vt:lpstr>'412'!OSRRefD20_4x</vt:lpstr>
      <vt:lpstr>'413'!OSRRefD20_4x</vt:lpstr>
      <vt:lpstr>'414'!OSRRefD20_4x</vt:lpstr>
      <vt:lpstr>'415'!OSRRefD20_4x</vt:lpstr>
      <vt:lpstr>'418'!OSRRefD20_4x</vt:lpstr>
      <vt:lpstr>'423'!OSRRefD20_4x</vt:lpstr>
      <vt:lpstr>'425'!OSRRefD20_4x</vt:lpstr>
      <vt:lpstr>'430'!OSRRefD20_4x</vt:lpstr>
      <vt:lpstr>'433'!OSRRefD20_4x</vt:lpstr>
      <vt:lpstr>'444'!OSRRefD20_4x</vt:lpstr>
      <vt:lpstr>'450'!OSRRefD20_4x</vt:lpstr>
      <vt:lpstr>'491'!OSRRefD20_4x</vt:lpstr>
      <vt:lpstr>'492'!OSRRefD20_4x</vt:lpstr>
      <vt:lpstr>'501'!OSRRefD20_4x</vt:lpstr>
      <vt:lpstr>'Div 2'!OSRRefD20_4x</vt:lpstr>
      <vt:lpstr>'Div 3'!OSRRefD20_4x</vt:lpstr>
      <vt:lpstr>'Div 4'!OSRRefD20_4x</vt:lpstr>
      <vt:lpstr>'Div 5'!OSRRefD20_4x</vt:lpstr>
      <vt:lpstr>'Div 6'!OSRRefD20_4x</vt:lpstr>
      <vt:lpstr>Summary!OSRRefD20_4x</vt:lpstr>
      <vt:lpstr>'201'!OSRRefD20_5x</vt:lpstr>
      <vt:lpstr>'202'!OSRRefD20_5x</vt:lpstr>
      <vt:lpstr>'203'!OSRRefD20_5x</vt:lpstr>
      <vt:lpstr>'204'!OSRRefD20_5x</vt:lpstr>
      <vt:lpstr>'205'!OSRRefD20_5x</vt:lpstr>
      <vt:lpstr>'206'!OSRRefD20_5x</vt:lpstr>
      <vt:lpstr>'300'!OSRRefD20_5x</vt:lpstr>
      <vt:lpstr>'300 &amp; 317'!OSRRefD20_5x</vt:lpstr>
      <vt:lpstr>'301'!OSRRefD20_5x</vt:lpstr>
      <vt:lpstr>'307'!OSRRefD20_5x</vt:lpstr>
      <vt:lpstr>'308'!OSRRefD20_5x</vt:lpstr>
      <vt:lpstr>'309'!OSRRefD20_5x</vt:lpstr>
      <vt:lpstr>'310'!OSRRefD20_5x</vt:lpstr>
      <vt:lpstr>'310 &amp; 491'!OSRRefD20_5x</vt:lpstr>
      <vt:lpstr>'311'!OSRRefD20_5x</vt:lpstr>
      <vt:lpstr>'313'!OSRRefD20_5x</vt:lpstr>
      <vt:lpstr>'315'!OSRRefD20_5x</vt:lpstr>
      <vt:lpstr>'316'!OSRRefD20_5x</vt:lpstr>
      <vt:lpstr>'317'!OSRRefD20_5x</vt:lpstr>
      <vt:lpstr>'321'!OSRRefD20_5x</vt:lpstr>
      <vt:lpstr>'322'!OSRRefD20_5x</vt:lpstr>
      <vt:lpstr>'325'!OSRRefD20_5x</vt:lpstr>
      <vt:lpstr>'326'!OSRRefD20_5x</vt:lpstr>
      <vt:lpstr>'330'!OSRRefD20_5x</vt:lpstr>
      <vt:lpstr>'331'!OSRRefD20_5x</vt:lpstr>
      <vt:lpstr>'332'!OSRRefD20_5x</vt:lpstr>
      <vt:lpstr>'405'!OSRRefD20_5x</vt:lpstr>
      <vt:lpstr>'411'!OSRRefD20_5x</vt:lpstr>
      <vt:lpstr>'412'!OSRRefD20_5x</vt:lpstr>
      <vt:lpstr>'413'!OSRRefD20_5x</vt:lpstr>
      <vt:lpstr>'414'!OSRRefD20_5x</vt:lpstr>
      <vt:lpstr>'415'!OSRRefD20_5x</vt:lpstr>
      <vt:lpstr>'418'!OSRRefD20_5x</vt:lpstr>
      <vt:lpstr>'423'!OSRRefD20_5x</vt:lpstr>
      <vt:lpstr>'430'!OSRRefD20_5x</vt:lpstr>
      <vt:lpstr>'433'!OSRRefD20_5x</vt:lpstr>
      <vt:lpstr>'444'!OSRRefD20_5x</vt:lpstr>
      <vt:lpstr>'450'!OSRRefD20_5x</vt:lpstr>
      <vt:lpstr>'491'!OSRRefD20_5x</vt:lpstr>
      <vt:lpstr>'492'!OSRRefD20_5x</vt:lpstr>
      <vt:lpstr>'501'!OSRRefD20_5x</vt:lpstr>
      <vt:lpstr>'Div 2'!OSRRefD20_5x</vt:lpstr>
      <vt:lpstr>'Div 3'!OSRRefD20_5x</vt:lpstr>
      <vt:lpstr>'Div 4'!OSRRefD20_5x</vt:lpstr>
      <vt:lpstr>'Div 5'!OSRRefD20_5x</vt:lpstr>
      <vt:lpstr>'Div 6'!OSRRefD20_5x</vt:lpstr>
      <vt:lpstr>Summary!OSRRefD20_5x</vt:lpstr>
      <vt:lpstr>'201'!OSRRefD20_6x</vt:lpstr>
      <vt:lpstr>'202'!OSRRefD20_6x</vt:lpstr>
      <vt:lpstr>'203'!OSRRefD20_6x</vt:lpstr>
      <vt:lpstr>'204'!OSRRefD20_6x</vt:lpstr>
      <vt:lpstr>'205'!OSRRefD20_6x</vt:lpstr>
      <vt:lpstr>'206'!OSRRefD20_6x</vt:lpstr>
      <vt:lpstr>'300'!OSRRefD20_6x</vt:lpstr>
      <vt:lpstr>'300 &amp; 317'!OSRRefD20_6x</vt:lpstr>
      <vt:lpstr>'301'!OSRRefD20_6x</vt:lpstr>
      <vt:lpstr>'307'!OSRRefD20_6x</vt:lpstr>
      <vt:lpstr>'308'!OSRRefD20_6x</vt:lpstr>
      <vt:lpstr>'309'!OSRRefD20_6x</vt:lpstr>
      <vt:lpstr>'310'!OSRRefD20_6x</vt:lpstr>
      <vt:lpstr>'310 &amp; 491'!OSRRefD20_6x</vt:lpstr>
      <vt:lpstr>'311'!OSRRefD20_6x</vt:lpstr>
      <vt:lpstr>'313'!OSRRefD20_6x</vt:lpstr>
      <vt:lpstr>'315'!OSRRefD20_6x</vt:lpstr>
      <vt:lpstr>'316'!OSRRefD20_6x</vt:lpstr>
      <vt:lpstr>'317'!OSRRefD20_6x</vt:lpstr>
      <vt:lpstr>'321'!OSRRefD20_6x</vt:lpstr>
      <vt:lpstr>'322'!OSRRefD20_6x</vt:lpstr>
      <vt:lpstr>'325'!OSRRefD20_6x</vt:lpstr>
      <vt:lpstr>'326'!OSRRefD20_6x</vt:lpstr>
      <vt:lpstr>'330'!OSRRefD20_6x</vt:lpstr>
      <vt:lpstr>'331'!OSRRefD20_6x</vt:lpstr>
      <vt:lpstr>'332'!OSRRefD20_6x</vt:lpstr>
      <vt:lpstr>'405'!OSRRefD20_6x</vt:lpstr>
      <vt:lpstr>'411'!OSRRefD20_6x</vt:lpstr>
      <vt:lpstr>'412'!OSRRefD20_6x</vt:lpstr>
      <vt:lpstr>'413'!OSRRefD20_6x</vt:lpstr>
      <vt:lpstr>'414'!OSRRefD20_6x</vt:lpstr>
      <vt:lpstr>'415'!OSRRefD20_6x</vt:lpstr>
      <vt:lpstr>'418'!OSRRefD20_6x</vt:lpstr>
      <vt:lpstr>'423'!OSRRefD20_6x</vt:lpstr>
      <vt:lpstr>'430'!OSRRefD20_6x</vt:lpstr>
      <vt:lpstr>'433'!OSRRefD20_6x</vt:lpstr>
      <vt:lpstr>'444'!OSRRefD20_6x</vt:lpstr>
      <vt:lpstr>'450'!OSRRefD20_6x</vt:lpstr>
      <vt:lpstr>'491'!OSRRefD20_6x</vt:lpstr>
      <vt:lpstr>'492'!OSRRefD20_6x</vt:lpstr>
      <vt:lpstr>'501'!OSRRefD20_6x</vt:lpstr>
      <vt:lpstr>'Div 2'!OSRRefD20_6x</vt:lpstr>
      <vt:lpstr>'Div 3'!OSRRefD20_6x</vt:lpstr>
      <vt:lpstr>'Div 4'!OSRRefD20_6x</vt:lpstr>
      <vt:lpstr>'Div 5'!OSRRefD20_6x</vt:lpstr>
      <vt:lpstr>'Div 6'!OSRRefD20_6x</vt:lpstr>
      <vt:lpstr>Summary!OSRRefD20_6x</vt:lpstr>
      <vt:lpstr>'201'!OSRRefD20_7x</vt:lpstr>
      <vt:lpstr>'202'!OSRRefD20_7x</vt:lpstr>
      <vt:lpstr>'203'!OSRRefD20_7x</vt:lpstr>
      <vt:lpstr>'204'!OSRRefD20_7x</vt:lpstr>
      <vt:lpstr>'205'!OSRRefD20_7x</vt:lpstr>
      <vt:lpstr>'300'!OSRRefD20_7x</vt:lpstr>
      <vt:lpstr>'300 &amp; 317'!OSRRefD20_7x</vt:lpstr>
      <vt:lpstr>'301'!OSRRefD20_7x</vt:lpstr>
      <vt:lpstr>'307'!OSRRefD20_7x</vt:lpstr>
      <vt:lpstr>'308'!OSRRefD20_7x</vt:lpstr>
      <vt:lpstr>'309'!OSRRefD20_7x</vt:lpstr>
      <vt:lpstr>'310'!OSRRefD20_7x</vt:lpstr>
      <vt:lpstr>'310 &amp; 491'!OSRRefD20_7x</vt:lpstr>
      <vt:lpstr>'311'!OSRRefD20_7x</vt:lpstr>
      <vt:lpstr>'313'!OSRRefD20_7x</vt:lpstr>
      <vt:lpstr>'315'!OSRRefD20_7x</vt:lpstr>
      <vt:lpstr>'316'!OSRRefD20_7x</vt:lpstr>
      <vt:lpstr>'317'!OSRRefD20_7x</vt:lpstr>
      <vt:lpstr>'321'!OSRRefD20_7x</vt:lpstr>
      <vt:lpstr>'322'!OSRRefD20_7x</vt:lpstr>
      <vt:lpstr>'325'!OSRRefD20_7x</vt:lpstr>
      <vt:lpstr>'326'!OSRRefD20_7x</vt:lpstr>
      <vt:lpstr>'330'!OSRRefD20_7x</vt:lpstr>
      <vt:lpstr>'331'!OSRRefD20_7x</vt:lpstr>
      <vt:lpstr>'332'!OSRRefD20_7x</vt:lpstr>
      <vt:lpstr>'405'!OSRRefD20_7x</vt:lpstr>
      <vt:lpstr>'411'!OSRRefD20_7x</vt:lpstr>
      <vt:lpstr>'412'!OSRRefD20_7x</vt:lpstr>
      <vt:lpstr>'413'!OSRRefD20_7x</vt:lpstr>
      <vt:lpstr>'414'!OSRRefD20_7x</vt:lpstr>
      <vt:lpstr>'415'!OSRRefD20_7x</vt:lpstr>
      <vt:lpstr>'418'!OSRRefD20_7x</vt:lpstr>
      <vt:lpstr>'430'!OSRRefD20_7x</vt:lpstr>
      <vt:lpstr>'433'!OSRRefD20_7x</vt:lpstr>
      <vt:lpstr>'444'!OSRRefD20_7x</vt:lpstr>
      <vt:lpstr>'450'!OSRRefD20_7x</vt:lpstr>
      <vt:lpstr>'491'!OSRRefD20_7x</vt:lpstr>
      <vt:lpstr>'492'!OSRRefD20_7x</vt:lpstr>
      <vt:lpstr>'501'!OSRRefD20_7x</vt:lpstr>
      <vt:lpstr>'Div 2'!OSRRefD20_7x</vt:lpstr>
      <vt:lpstr>'Div 3'!OSRRefD20_7x</vt:lpstr>
      <vt:lpstr>'Div 4'!OSRRefD20_7x</vt:lpstr>
      <vt:lpstr>'Div 5'!OSRRefD20_7x</vt:lpstr>
      <vt:lpstr>'Div 6'!OSRRefD20_7x</vt:lpstr>
      <vt:lpstr>Summary!OSRRefD20_7x</vt:lpstr>
      <vt:lpstr>'201'!OSRRefD20_8x</vt:lpstr>
      <vt:lpstr>'202'!OSRRefD20_8x</vt:lpstr>
      <vt:lpstr>'203'!OSRRefD20_8x</vt:lpstr>
      <vt:lpstr>'204'!OSRRefD20_8x</vt:lpstr>
      <vt:lpstr>'300'!OSRRefD20_8x</vt:lpstr>
      <vt:lpstr>'300 &amp; 317'!OSRRefD20_8x</vt:lpstr>
      <vt:lpstr>'301'!OSRRefD20_8x</vt:lpstr>
      <vt:lpstr>'307'!OSRRefD20_8x</vt:lpstr>
      <vt:lpstr>'308'!OSRRefD20_8x</vt:lpstr>
      <vt:lpstr>'309'!OSRRefD20_8x</vt:lpstr>
      <vt:lpstr>'310'!OSRRefD20_8x</vt:lpstr>
      <vt:lpstr>'310 &amp; 491'!OSRRefD20_8x</vt:lpstr>
      <vt:lpstr>'311'!OSRRefD20_8x</vt:lpstr>
      <vt:lpstr>'315'!OSRRefD20_8x</vt:lpstr>
      <vt:lpstr>'316'!OSRRefD20_8x</vt:lpstr>
      <vt:lpstr>'317'!OSRRefD20_8x</vt:lpstr>
      <vt:lpstr>'321'!OSRRefD20_8x</vt:lpstr>
      <vt:lpstr>'322'!OSRRefD20_8x</vt:lpstr>
      <vt:lpstr>'325'!OSRRefD20_8x</vt:lpstr>
      <vt:lpstr>'326'!OSRRefD20_8x</vt:lpstr>
      <vt:lpstr>'330'!OSRRefD20_8x</vt:lpstr>
      <vt:lpstr>'331'!OSRRefD20_8x</vt:lpstr>
      <vt:lpstr>'332'!OSRRefD20_8x</vt:lpstr>
      <vt:lpstr>'405'!OSRRefD20_8x</vt:lpstr>
      <vt:lpstr>'411'!OSRRefD20_8x</vt:lpstr>
      <vt:lpstr>'412'!OSRRefD20_8x</vt:lpstr>
      <vt:lpstr>'413'!OSRRefD20_8x</vt:lpstr>
      <vt:lpstr>'414'!OSRRefD20_8x</vt:lpstr>
      <vt:lpstr>'415'!OSRRefD20_8x</vt:lpstr>
      <vt:lpstr>'418'!OSRRefD20_8x</vt:lpstr>
      <vt:lpstr>'433'!OSRRefD20_8x</vt:lpstr>
      <vt:lpstr>'444'!OSRRefD20_8x</vt:lpstr>
      <vt:lpstr>'450'!OSRRefD20_8x</vt:lpstr>
      <vt:lpstr>'491'!OSRRefD20_8x</vt:lpstr>
      <vt:lpstr>'492'!OSRRefD20_8x</vt:lpstr>
      <vt:lpstr>'501'!OSRRefD20_8x</vt:lpstr>
      <vt:lpstr>'Div 2'!OSRRefD20_8x</vt:lpstr>
      <vt:lpstr>'Div 3'!OSRRefD20_8x</vt:lpstr>
      <vt:lpstr>'Div 4'!OSRRefD20_8x</vt:lpstr>
      <vt:lpstr>'Div 5'!OSRRefD20_8x</vt:lpstr>
      <vt:lpstr>'Div 6'!OSRRefD20_8x</vt:lpstr>
      <vt:lpstr>Summary!OSRRefD20_8x</vt:lpstr>
      <vt:lpstr>'201'!OSRRefD20_9x</vt:lpstr>
      <vt:lpstr>'202'!OSRRefD20_9x</vt:lpstr>
      <vt:lpstr>'203'!OSRRefD20_9x</vt:lpstr>
      <vt:lpstr>'300'!OSRRefD20_9x</vt:lpstr>
      <vt:lpstr>'300 &amp; 317'!OSRRefD20_9x</vt:lpstr>
      <vt:lpstr>'301'!OSRRefD20_9x</vt:lpstr>
      <vt:lpstr>'307'!OSRRefD20_9x</vt:lpstr>
      <vt:lpstr>'308'!OSRRefD20_9x</vt:lpstr>
      <vt:lpstr>'310'!OSRRefD20_9x</vt:lpstr>
      <vt:lpstr>'310 &amp; 491'!OSRRefD20_9x</vt:lpstr>
      <vt:lpstr>'311'!OSRRefD20_9x</vt:lpstr>
      <vt:lpstr>'315'!OSRRefD20_9x</vt:lpstr>
      <vt:lpstr>'316'!OSRRefD20_9x</vt:lpstr>
      <vt:lpstr>'317'!OSRRefD20_9x</vt:lpstr>
      <vt:lpstr>'321'!OSRRefD20_9x</vt:lpstr>
      <vt:lpstr>'322'!OSRRefD20_9x</vt:lpstr>
      <vt:lpstr>'325'!OSRRefD20_9x</vt:lpstr>
      <vt:lpstr>'326'!OSRRefD20_9x</vt:lpstr>
      <vt:lpstr>'330'!OSRRefD20_9x</vt:lpstr>
      <vt:lpstr>'331'!OSRRefD20_9x</vt:lpstr>
      <vt:lpstr>'332'!OSRRefD20_9x</vt:lpstr>
      <vt:lpstr>'405'!OSRRefD20_9x</vt:lpstr>
      <vt:lpstr>'411'!OSRRefD20_9x</vt:lpstr>
      <vt:lpstr>'412'!OSRRefD20_9x</vt:lpstr>
      <vt:lpstr>'413'!OSRRefD20_9x</vt:lpstr>
      <vt:lpstr>'414'!OSRRefD20_9x</vt:lpstr>
      <vt:lpstr>'415'!OSRRefD20_9x</vt:lpstr>
      <vt:lpstr>'418'!OSRRefD20_9x</vt:lpstr>
      <vt:lpstr>'433'!OSRRefD20_9x</vt:lpstr>
      <vt:lpstr>'444'!OSRRefD20_9x</vt:lpstr>
      <vt:lpstr>'450'!OSRRefD20_9x</vt:lpstr>
      <vt:lpstr>'491'!OSRRefD20_9x</vt:lpstr>
      <vt:lpstr>'492'!OSRRefD20_9x</vt:lpstr>
      <vt:lpstr>'501'!OSRRefD20_9x</vt:lpstr>
      <vt:lpstr>'Div 2'!OSRRefD20_9x</vt:lpstr>
      <vt:lpstr>'Div 3'!OSRRefD20_9x</vt:lpstr>
      <vt:lpstr>'Div 4'!OSRRefD20_9x</vt:lpstr>
      <vt:lpstr>'Div 5'!OSRRefD20_9x</vt:lpstr>
      <vt:lpstr>'Div 6'!OSRRefD20_9x</vt:lpstr>
      <vt:lpstr>Summary!OSRRefD20_9x</vt:lpstr>
      <vt:lpstr>'200'!OSRRefD20x_0</vt:lpstr>
      <vt:lpstr>'201'!OSRRefD20x_0</vt:lpstr>
      <vt:lpstr>'202'!OSRRefD20x_0</vt:lpstr>
      <vt:lpstr>'203'!OSRRefD20x_0</vt:lpstr>
      <vt:lpstr>'204'!OSRRefD20x_0</vt:lpstr>
      <vt:lpstr>'205'!OSRRefD20x_0</vt:lpstr>
      <vt:lpstr>'206'!OSRRefD20x_0</vt:lpstr>
      <vt:lpstr>'300'!OSRRefD20x_0</vt:lpstr>
      <vt:lpstr>'300 &amp; 317'!OSRRefD20x_0</vt:lpstr>
      <vt:lpstr>'301'!OSRRefD20x_0</vt:lpstr>
      <vt:lpstr>'307'!OSRRefD20x_0</vt:lpstr>
      <vt:lpstr>'308'!OSRRefD20x_0</vt:lpstr>
      <vt:lpstr>'309'!OSRRefD20x_0</vt:lpstr>
      <vt:lpstr>'310'!OSRRefD20x_0</vt:lpstr>
      <vt:lpstr>'310 &amp; 491'!OSRRefD20x_0</vt:lpstr>
      <vt:lpstr>'311'!OSRRefD20x_0</vt:lpstr>
      <vt:lpstr>'313'!OSRRefD20x_0</vt:lpstr>
      <vt:lpstr>'315'!OSRRefD20x_0</vt:lpstr>
      <vt:lpstr>'316'!OSRRefD20x_0</vt:lpstr>
      <vt:lpstr>'317'!OSRRefD20x_0</vt:lpstr>
      <vt:lpstr>'321'!OSRRefD20x_0</vt:lpstr>
      <vt:lpstr>'322'!OSRRefD20x_0</vt:lpstr>
      <vt:lpstr>'324'!OSRRefD20x_0</vt:lpstr>
      <vt:lpstr>'325'!OSRRefD20x_0</vt:lpstr>
      <vt:lpstr>'326'!OSRRefD20x_0</vt:lpstr>
      <vt:lpstr>'327'!OSRRefD20x_0</vt:lpstr>
      <vt:lpstr>'330'!OSRRefD20x_0</vt:lpstr>
      <vt:lpstr>'331'!OSRRefD20x_0</vt:lpstr>
      <vt:lpstr>'332'!OSRRefD20x_0</vt:lpstr>
      <vt:lpstr>'405'!OSRRefD20x_0</vt:lpstr>
      <vt:lpstr>'406'!OSRRefD20x_0</vt:lpstr>
      <vt:lpstr>'411'!OSRRefD20x_0</vt:lpstr>
      <vt:lpstr>'412'!OSRRefD20x_0</vt:lpstr>
      <vt:lpstr>'413'!OSRRefD20x_0</vt:lpstr>
      <vt:lpstr>'414'!OSRRefD20x_0</vt:lpstr>
      <vt:lpstr>'415'!OSRRefD20x_0</vt:lpstr>
      <vt:lpstr>'418'!OSRRefD20x_0</vt:lpstr>
      <vt:lpstr>'423'!OSRRefD20x_0</vt:lpstr>
      <vt:lpstr>'424'!OSRRefD20x_0</vt:lpstr>
      <vt:lpstr>'425'!OSRRefD20x_0</vt:lpstr>
      <vt:lpstr>'430'!OSRRefD20x_0</vt:lpstr>
      <vt:lpstr>'433'!OSRRefD20x_0</vt:lpstr>
      <vt:lpstr>'435'!OSRRefD20x_0</vt:lpstr>
      <vt:lpstr>'444'!OSRRefD20x_0</vt:lpstr>
      <vt:lpstr>'450'!OSRRefD20x_0</vt:lpstr>
      <vt:lpstr>'491'!OSRRefD20x_0</vt:lpstr>
      <vt:lpstr>'492'!OSRRefD20x_0</vt:lpstr>
      <vt:lpstr>'501'!OSRRefD20x_0</vt:lpstr>
      <vt:lpstr>'Div 2'!OSRRefD20x_0</vt:lpstr>
      <vt:lpstr>'Div 3'!OSRRefD20x_0</vt:lpstr>
      <vt:lpstr>'Div 4'!OSRRefD20x_0</vt:lpstr>
      <vt:lpstr>'Div 5'!OSRRefD20x_0</vt:lpstr>
      <vt:lpstr>'Div 6'!OSRRefD20x_0</vt:lpstr>
      <vt:lpstr>Summary!OSRRefD20x_0</vt:lpstr>
      <vt:lpstr>'200'!OSRRefD20x_1</vt:lpstr>
      <vt:lpstr>'201'!OSRRefD20x_1</vt:lpstr>
      <vt:lpstr>'202'!OSRRefD20x_1</vt:lpstr>
      <vt:lpstr>'203'!OSRRefD20x_1</vt:lpstr>
      <vt:lpstr>'204'!OSRRefD20x_1</vt:lpstr>
      <vt:lpstr>'205'!OSRRefD20x_1</vt:lpstr>
      <vt:lpstr>'206'!OSRRefD20x_1</vt:lpstr>
      <vt:lpstr>'300'!OSRRefD20x_1</vt:lpstr>
      <vt:lpstr>'300 &amp; 317'!OSRRefD20x_1</vt:lpstr>
      <vt:lpstr>'301'!OSRRefD20x_1</vt:lpstr>
      <vt:lpstr>'307'!OSRRefD20x_1</vt:lpstr>
      <vt:lpstr>'308'!OSRRefD20x_1</vt:lpstr>
      <vt:lpstr>'309'!OSRRefD20x_1</vt:lpstr>
      <vt:lpstr>'310'!OSRRefD20x_1</vt:lpstr>
      <vt:lpstr>'310 &amp; 491'!OSRRefD20x_1</vt:lpstr>
      <vt:lpstr>'311'!OSRRefD20x_1</vt:lpstr>
      <vt:lpstr>'313'!OSRRefD20x_1</vt:lpstr>
      <vt:lpstr>'315'!OSRRefD20x_1</vt:lpstr>
      <vt:lpstr>'316'!OSRRefD20x_1</vt:lpstr>
      <vt:lpstr>'317'!OSRRefD20x_1</vt:lpstr>
      <vt:lpstr>'321'!OSRRefD20x_1</vt:lpstr>
      <vt:lpstr>'322'!OSRRefD20x_1</vt:lpstr>
      <vt:lpstr>'324'!OSRRefD20x_1</vt:lpstr>
      <vt:lpstr>'325'!OSRRefD20x_1</vt:lpstr>
      <vt:lpstr>'326'!OSRRefD20x_1</vt:lpstr>
      <vt:lpstr>'327'!OSRRefD20x_1</vt:lpstr>
      <vt:lpstr>'330'!OSRRefD20x_1</vt:lpstr>
      <vt:lpstr>'331'!OSRRefD20x_1</vt:lpstr>
      <vt:lpstr>'332'!OSRRefD20x_1</vt:lpstr>
      <vt:lpstr>'405'!OSRRefD20x_1</vt:lpstr>
      <vt:lpstr>'406'!OSRRefD20x_1</vt:lpstr>
      <vt:lpstr>'411'!OSRRefD20x_1</vt:lpstr>
      <vt:lpstr>'412'!OSRRefD20x_1</vt:lpstr>
      <vt:lpstr>'413'!OSRRefD20x_1</vt:lpstr>
      <vt:lpstr>'414'!OSRRefD20x_1</vt:lpstr>
      <vt:lpstr>'415'!OSRRefD20x_1</vt:lpstr>
      <vt:lpstr>'418'!OSRRefD20x_1</vt:lpstr>
      <vt:lpstr>'423'!OSRRefD20x_1</vt:lpstr>
      <vt:lpstr>'424'!OSRRefD20x_1</vt:lpstr>
      <vt:lpstr>'425'!OSRRefD20x_1</vt:lpstr>
      <vt:lpstr>'430'!OSRRefD20x_1</vt:lpstr>
      <vt:lpstr>'433'!OSRRefD20x_1</vt:lpstr>
      <vt:lpstr>'435'!OSRRefD20x_1</vt:lpstr>
      <vt:lpstr>'444'!OSRRefD20x_1</vt:lpstr>
      <vt:lpstr>'450'!OSRRefD20x_1</vt:lpstr>
      <vt:lpstr>'491'!OSRRefD20x_1</vt:lpstr>
      <vt:lpstr>'492'!OSRRefD20x_1</vt:lpstr>
      <vt:lpstr>'501'!OSRRefD20x_1</vt:lpstr>
      <vt:lpstr>'Div 2'!OSRRefD20x_1</vt:lpstr>
      <vt:lpstr>'Div 3'!OSRRefD20x_1</vt:lpstr>
      <vt:lpstr>'Div 4'!OSRRefD20x_1</vt:lpstr>
      <vt:lpstr>'Div 5'!OSRRefD20x_1</vt:lpstr>
      <vt:lpstr>'Div 6'!OSRRefD20x_1</vt:lpstr>
      <vt:lpstr>Summary!OSRRefD20x_1</vt:lpstr>
      <vt:lpstr>'200'!OSRRefD20x_2</vt:lpstr>
      <vt:lpstr>'201'!OSRRefD20x_2</vt:lpstr>
      <vt:lpstr>'202'!OSRRefD20x_2</vt:lpstr>
      <vt:lpstr>'203'!OSRRefD20x_2</vt:lpstr>
      <vt:lpstr>'204'!OSRRefD20x_2</vt:lpstr>
      <vt:lpstr>'205'!OSRRefD20x_2</vt:lpstr>
      <vt:lpstr>'206'!OSRRefD20x_2</vt:lpstr>
      <vt:lpstr>'300'!OSRRefD20x_2</vt:lpstr>
      <vt:lpstr>'300 &amp; 317'!OSRRefD20x_2</vt:lpstr>
      <vt:lpstr>'301'!OSRRefD20x_2</vt:lpstr>
      <vt:lpstr>'307'!OSRRefD20x_2</vt:lpstr>
      <vt:lpstr>'308'!OSRRefD20x_2</vt:lpstr>
      <vt:lpstr>'309'!OSRRefD20x_2</vt:lpstr>
      <vt:lpstr>'310'!OSRRefD20x_2</vt:lpstr>
      <vt:lpstr>'310 &amp; 491'!OSRRefD20x_2</vt:lpstr>
      <vt:lpstr>'311'!OSRRefD20x_2</vt:lpstr>
      <vt:lpstr>'313'!OSRRefD20x_2</vt:lpstr>
      <vt:lpstr>'315'!OSRRefD20x_2</vt:lpstr>
      <vt:lpstr>'316'!OSRRefD20x_2</vt:lpstr>
      <vt:lpstr>'317'!OSRRefD20x_2</vt:lpstr>
      <vt:lpstr>'321'!OSRRefD20x_2</vt:lpstr>
      <vt:lpstr>'322'!OSRRefD20x_2</vt:lpstr>
      <vt:lpstr>'324'!OSRRefD20x_2</vt:lpstr>
      <vt:lpstr>'325'!OSRRefD20x_2</vt:lpstr>
      <vt:lpstr>'326'!OSRRefD20x_2</vt:lpstr>
      <vt:lpstr>'327'!OSRRefD20x_2</vt:lpstr>
      <vt:lpstr>'330'!OSRRefD20x_2</vt:lpstr>
      <vt:lpstr>'331'!OSRRefD20x_2</vt:lpstr>
      <vt:lpstr>'332'!OSRRefD20x_2</vt:lpstr>
      <vt:lpstr>'405'!OSRRefD20x_2</vt:lpstr>
      <vt:lpstr>'406'!OSRRefD20x_2</vt:lpstr>
      <vt:lpstr>'411'!OSRRefD20x_2</vt:lpstr>
      <vt:lpstr>'412'!OSRRefD20x_2</vt:lpstr>
      <vt:lpstr>'413'!OSRRefD20x_2</vt:lpstr>
      <vt:lpstr>'414'!OSRRefD20x_2</vt:lpstr>
      <vt:lpstr>'415'!OSRRefD20x_2</vt:lpstr>
      <vt:lpstr>'418'!OSRRefD20x_2</vt:lpstr>
      <vt:lpstr>'423'!OSRRefD20x_2</vt:lpstr>
      <vt:lpstr>'424'!OSRRefD20x_2</vt:lpstr>
      <vt:lpstr>'425'!OSRRefD20x_2</vt:lpstr>
      <vt:lpstr>'430'!OSRRefD20x_2</vt:lpstr>
      <vt:lpstr>'433'!OSRRefD20x_2</vt:lpstr>
      <vt:lpstr>'435'!OSRRefD20x_2</vt:lpstr>
      <vt:lpstr>'444'!OSRRefD20x_2</vt:lpstr>
      <vt:lpstr>'450'!OSRRefD20x_2</vt:lpstr>
      <vt:lpstr>'491'!OSRRefD20x_2</vt:lpstr>
      <vt:lpstr>'492'!OSRRefD20x_2</vt:lpstr>
      <vt:lpstr>'501'!OSRRefD20x_2</vt:lpstr>
      <vt:lpstr>'Div 2'!OSRRefD20x_2</vt:lpstr>
      <vt:lpstr>'Div 3'!OSRRefD20x_2</vt:lpstr>
      <vt:lpstr>'Div 4'!OSRRefD20x_2</vt:lpstr>
      <vt:lpstr>'Div 5'!OSRRefD20x_2</vt:lpstr>
      <vt:lpstr>'Div 6'!OSRRefD20x_2</vt:lpstr>
      <vt:lpstr>Summary!OSRRefD20x_2</vt:lpstr>
      <vt:lpstr>'200'!OSRRefD20x_3</vt:lpstr>
      <vt:lpstr>'201'!OSRRefD20x_3</vt:lpstr>
      <vt:lpstr>'202'!OSRRefD20x_3</vt:lpstr>
      <vt:lpstr>'203'!OSRRefD20x_3</vt:lpstr>
      <vt:lpstr>'204'!OSRRefD20x_3</vt:lpstr>
      <vt:lpstr>'205'!OSRRefD20x_3</vt:lpstr>
      <vt:lpstr>'206'!OSRRefD20x_3</vt:lpstr>
      <vt:lpstr>'300'!OSRRefD20x_3</vt:lpstr>
      <vt:lpstr>'300 &amp; 317'!OSRRefD20x_3</vt:lpstr>
      <vt:lpstr>'301'!OSRRefD20x_3</vt:lpstr>
      <vt:lpstr>'307'!OSRRefD20x_3</vt:lpstr>
      <vt:lpstr>'308'!OSRRefD20x_3</vt:lpstr>
      <vt:lpstr>'309'!OSRRefD20x_3</vt:lpstr>
      <vt:lpstr>'310'!OSRRefD20x_3</vt:lpstr>
      <vt:lpstr>'310 &amp; 491'!OSRRefD20x_3</vt:lpstr>
      <vt:lpstr>'311'!OSRRefD20x_3</vt:lpstr>
      <vt:lpstr>'313'!OSRRefD20x_3</vt:lpstr>
      <vt:lpstr>'315'!OSRRefD20x_3</vt:lpstr>
      <vt:lpstr>'316'!OSRRefD20x_3</vt:lpstr>
      <vt:lpstr>'317'!OSRRefD20x_3</vt:lpstr>
      <vt:lpstr>'321'!OSRRefD20x_3</vt:lpstr>
      <vt:lpstr>'322'!OSRRefD20x_3</vt:lpstr>
      <vt:lpstr>'324'!OSRRefD20x_3</vt:lpstr>
      <vt:lpstr>'325'!OSRRefD20x_3</vt:lpstr>
      <vt:lpstr>'326'!OSRRefD20x_3</vt:lpstr>
      <vt:lpstr>'327'!OSRRefD20x_3</vt:lpstr>
      <vt:lpstr>'330'!OSRRefD20x_3</vt:lpstr>
      <vt:lpstr>'331'!OSRRefD20x_3</vt:lpstr>
      <vt:lpstr>'332'!OSRRefD20x_3</vt:lpstr>
      <vt:lpstr>'405'!OSRRefD20x_3</vt:lpstr>
      <vt:lpstr>'406'!OSRRefD20x_3</vt:lpstr>
      <vt:lpstr>'411'!OSRRefD20x_3</vt:lpstr>
      <vt:lpstr>'412'!OSRRefD20x_3</vt:lpstr>
      <vt:lpstr>'413'!OSRRefD20x_3</vt:lpstr>
      <vt:lpstr>'414'!OSRRefD20x_3</vt:lpstr>
      <vt:lpstr>'415'!OSRRefD20x_3</vt:lpstr>
      <vt:lpstr>'418'!OSRRefD20x_3</vt:lpstr>
      <vt:lpstr>'423'!OSRRefD20x_3</vt:lpstr>
      <vt:lpstr>'424'!OSRRefD20x_3</vt:lpstr>
      <vt:lpstr>'425'!OSRRefD20x_3</vt:lpstr>
      <vt:lpstr>'430'!OSRRefD20x_3</vt:lpstr>
      <vt:lpstr>'433'!OSRRefD20x_3</vt:lpstr>
      <vt:lpstr>'435'!OSRRefD20x_3</vt:lpstr>
      <vt:lpstr>'444'!OSRRefD20x_3</vt:lpstr>
      <vt:lpstr>'450'!OSRRefD20x_3</vt:lpstr>
      <vt:lpstr>'491'!OSRRefD20x_3</vt:lpstr>
      <vt:lpstr>'492'!OSRRefD20x_3</vt:lpstr>
      <vt:lpstr>'501'!OSRRefD20x_3</vt:lpstr>
      <vt:lpstr>'Div 2'!OSRRefD20x_3</vt:lpstr>
      <vt:lpstr>'Div 3'!OSRRefD20x_3</vt:lpstr>
      <vt:lpstr>'Div 4'!OSRRefD20x_3</vt:lpstr>
      <vt:lpstr>'Div 5'!OSRRefD20x_3</vt:lpstr>
      <vt:lpstr>'Div 6'!OSRRefD20x_3</vt:lpstr>
      <vt:lpstr>Summary!OSRRefD20x_3</vt:lpstr>
      <vt:lpstr>'200'!OSRRefD21_0_0x</vt:lpstr>
      <vt:lpstr>'201'!OSRRefD21_0_0x</vt:lpstr>
      <vt:lpstr>'202'!OSRRefD21_0_0x</vt:lpstr>
      <vt:lpstr>'203'!OSRRefD21_0_0x</vt:lpstr>
      <vt:lpstr>'204'!OSRRefD21_0_0x</vt:lpstr>
      <vt:lpstr>'205'!OSRRefD21_0_0x</vt:lpstr>
      <vt:lpstr>'206'!OSRRefD21_0_0x</vt:lpstr>
      <vt:lpstr>'300'!OSRRefD21_0_0x</vt:lpstr>
      <vt:lpstr>'300 &amp; 317'!OSRRefD21_0_0x</vt:lpstr>
      <vt:lpstr>'301'!OSRRefD21_0_0x</vt:lpstr>
      <vt:lpstr>'307'!OSRRefD21_0_0x</vt:lpstr>
      <vt:lpstr>'308'!OSRRefD21_0_0x</vt:lpstr>
      <vt:lpstr>'309'!OSRRefD21_0_0x</vt:lpstr>
      <vt:lpstr>'310'!OSRRefD21_0_0x</vt:lpstr>
      <vt:lpstr>'310 &amp; 491'!OSRRefD21_0_0x</vt:lpstr>
      <vt:lpstr>'311'!OSRRefD21_0_0x</vt:lpstr>
      <vt:lpstr>'313'!OSRRefD21_0_0x</vt:lpstr>
      <vt:lpstr>'315'!OSRRefD21_0_0x</vt:lpstr>
      <vt:lpstr>'316'!OSRRefD21_0_0x</vt:lpstr>
      <vt:lpstr>'317'!OSRRefD21_0_0x</vt:lpstr>
      <vt:lpstr>'321'!OSRRefD21_0_0x</vt:lpstr>
      <vt:lpstr>'322'!OSRRefD21_0_0x</vt:lpstr>
      <vt:lpstr>'324'!OSRRefD21_0_0x</vt:lpstr>
      <vt:lpstr>'325'!OSRRefD21_0_0x</vt:lpstr>
      <vt:lpstr>'326'!OSRRefD21_0_0x</vt:lpstr>
      <vt:lpstr>'327'!OSRRefD21_0_0x</vt:lpstr>
      <vt:lpstr>'330'!OSRRefD21_0_0x</vt:lpstr>
      <vt:lpstr>'331'!OSRRefD21_0_0x</vt:lpstr>
      <vt:lpstr>'332'!OSRRefD21_0_0x</vt:lpstr>
      <vt:lpstr>'405'!OSRRefD21_0_0x</vt:lpstr>
      <vt:lpstr>'406'!OSRRefD21_0_0x</vt:lpstr>
      <vt:lpstr>'411'!OSRRefD21_0_0x</vt:lpstr>
      <vt:lpstr>'412'!OSRRefD21_0_0x</vt:lpstr>
      <vt:lpstr>'413'!OSRRefD21_0_0x</vt:lpstr>
      <vt:lpstr>'414'!OSRRefD21_0_0x</vt:lpstr>
      <vt:lpstr>'415'!OSRRefD21_0_0x</vt:lpstr>
      <vt:lpstr>'418'!OSRRefD21_0_0x</vt:lpstr>
      <vt:lpstr>'423'!OSRRefD21_0_0x</vt:lpstr>
      <vt:lpstr>'424'!OSRRefD21_0_0x</vt:lpstr>
      <vt:lpstr>'425'!OSRRefD21_0_0x</vt:lpstr>
      <vt:lpstr>'430'!OSRRefD21_0_0x</vt:lpstr>
      <vt:lpstr>'433'!OSRRefD21_0_0x</vt:lpstr>
      <vt:lpstr>'435'!OSRRefD21_0_0x</vt:lpstr>
      <vt:lpstr>'444'!OSRRefD21_0_0x</vt:lpstr>
      <vt:lpstr>'450'!OSRRefD21_0_0x</vt:lpstr>
      <vt:lpstr>'491'!OSRRefD21_0_0x</vt:lpstr>
      <vt:lpstr>'492'!OSRRefD21_0_0x</vt:lpstr>
      <vt:lpstr>'501'!OSRRefD21_0_0x</vt:lpstr>
      <vt:lpstr>'Div 2'!OSRRefD21_0_0x</vt:lpstr>
      <vt:lpstr>'Div 3'!OSRRefD21_0_0x</vt:lpstr>
      <vt:lpstr>'Div 4'!OSRRefD21_0_0x</vt:lpstr>
      <vt:lpstr>'Div 5'!OSRRefD21_0_0x</vt:lpstr>
      <vt:lpstr>'Div 6'!OSRRefD21_0_0x</vt:lpstr>
      <vt:lpstr>Summary!OSRRefD21_0_0x</vt:lpstr>
      <vt:lpstr>'Div 2'!OSRRefD21_0_10x</vt:lpstr>
      <vt:lpstr>'201'!OSRRefD21_0_1x</vt:lpstr>
      <vt:lpstr>'202'!OSRRefD21_0_1x</vt:lpstr>
      <vt:lpstr>'203'!OSRRefD21_0_1x</vt:lpstr>
      <vt:lpstr>'204'!OSRRefD21_0_1x</vt:lpstr>
      <vt:lpstr>'205'!OSRRefD21_0_1x</vt:lpstr>
      <vt:lpstr>'206'!OSRRefD21_0_1x</vt:lpstr>
      <vt:lpstr>'300'!OSRRefD21_0_1x</vt:lpstr>
      <vt:lpstr>'300 &amp; 317'!OSRRefD21_0_1x</vt:lpstr>
      <vt:lpstr>'301'!OSRRefD21_0_1x</vt:lpstr>
      <vt:lpstr>'307'!OSRRefD21_0_1x</vt:lpstr>
      <vt:lpstr>'308'!OSRRefD21_0_1x</vt:lpstr>
      <vt:lpstr>'309'!OSRRefD21_0_1x</vt:lpstr>
      <vt:lpstr>'310'!OSRRefD21_0_1x</vt:lpstr>
      <vt:lpstr>'310 &amp; 491'!OSRRefD21_0_1x</vt:lpstr>
      <vt:lpstr>'311'!OSRRefD21_0_1x</vt:lpstr>
      <vt:lpstr>'313'!OSRRefD21_0_1x</vt:lpstr>
      <vt:lpstr>'315'!OSRRefD21_0_1x</vt:lpstr>
      <vt:lpstr>'316'!OSRRefD21_0_1x</vt:lpstr>
      <vt:lpstr>'317'!OSRRefD21_0_1x</vt:lpstr>
      <vt:lpstr>'321'!OSRRefD21_0_1x</vt:lpstr>
      <vt:lpstr>'322'!OSRRefD21_0_1x</vt:lpstr>
      <vt:lpstr>'324'!OSRRefD21_0_1x</vt:lpstr>
      <vt:lpstr>'325'!OSRRefD21_0_1x</vt:lpstr>
      <vt:lpstr>'326'!OSRRefD21_0_1x</vt:lpstr>
      <vt:lpstr>'330'!OSRRefD21_0_1x</vt:lpstr>
      <vt:lpstr>'331'!OSRRefD21_0_1x</vt:lpstr>
      <vt:lpstr>'332'!OSRRefD21_0_1x</vt:lpstr>
      <vt:lpstr>'405'!OSRRefD21_0_1x</vt:lpstr>
      <vt:lpstr>'411'!OSRRefD21_0_1x</vt:lpstr>
      <vt:lpstr>'412'!OSRRefD21_0_1x</vt:lpstr>
      <vt:lpstr>'413'!OSRRefD21_0_1x</vt:lpstr>
      <vt:lpstr>'414'!OSRRefD21_0_1x</vt:lpstr>
      <vt:lpstr>'415'!OSRRefD21_0_1x</vt:lpstr>
      <vt:lpstr>'418'!OSRRefD21_0_1x</vt:lpstr>
      <vt:lpstr>'423'!OSRRefD21_0_1x</vt:lpstr>
      <vt:lpstr>'425'!OSRRefD21_0_1x</vt:lpstr>
      <vt:lpstr>'430'!OSRRefD21_0_1x</vt:lpstr>
      <vt:lpstr>'433'!OSRRefD21_0_1x</vt:lpstr>
      <vt:lpstr>'444'!OSRRefD21_0_1x</vt:lpstr>
      <vt:lpstr>'450'!OSRRefD21_0_1x</vt:lpstr>
      <vt:lpstr>'491'!OSRRefD21_0_1x</vt:lpstr>
      <vt:lpstr>'492'!OSRRefD21_0_1x</vt:lpstr>
      <vt:lpstr>'501'!OSRRefD21_0_1x</vt:lpstr>
      <vt:lpstr>'Div 2'!OSRRefD21_0_1x</vt:lpstr>
      <vt:lpstr>'Div 3'!OSRRefD21_0_1x</vt:lpstr>
      <vt:lpstr>'Div 4'!OSRRefD21_0_1x</vt:lpstr>
      <vt:lpstr>'Div 5'!OSRRefD21_0_1x</vt:lpstr>
      <vt:lpstr>'Div 6'!OSRRefD21_0_1x</vt:lpstr>
      <vt:lpstr>Summary!OSRRefD21_0_1x</vt:lpstr>
      <vt:lpstr>'201'!OSRRefD21_0_2x</vt:lpstr>
      <vt:lpstr>'202'!OSRRefD21_0_2x</vt:lpstr>
      <vt:lpstr>'203'!OSRRefD21_0_2x</vt:lpstr>
      <vt:lpstr>'204'!OSRRefD21_0_2x</vt:lpstr>
      <vt:lpstr>'205'!OSRRefD21_0_2x</vt:lpstr>
      <vt:lpstr>'206'!OSRRefD21_0_2x</vt:lpstr>
      <vt:lpstr>'300'!OSRRefD21_0_2x</vt:lpstr>
      <vt:lpstr>'300 &amp; 317'!OSRRefD21_0_2x</vt:lpstr>
      <vt:lpstr>'301'!OSRRefD21_0_2x</vt:lpstr>
      <vt:lpstr>'307'!OSRRefD21_0_2x</vt:lpstr>
      <vt:lpstr>'308'!OSRRefD21_0_2x</vt:lpstr>
      <vt:lpstr>'309'!OSRRefD21_0_2x</vt:lpstr>
      <vt:lpstr>'310'!OSRRefD21_0_2x</vt:lpstr>
      <vt:lpstr>'310 &amp; 491'!OSRRefD21_0_2x</vt:lpstr>
      <vt:lpstr>'311'!OSRRefD21_0_2x</vt:lpstr>
      <vt:lpstr>'313'!OSRRefD21_0_2x</vt:lpstr>
      <vt:lpstr>'315'!OSRRefD21_0_2x</vt:lpstr>
      <vt:lpstr>'316'!OSRRefD21_0_2x</vt:lpstr>
      <vt:lpstr>'317'!OSRRefD21_0_2x</vt:lpstr>
      <vt:lpstr>'321'!OSRRefD21_0_2x</vt:lpstr>
      <vt:lpstr>'322'!OSRRefD21_0_2x</vt:lpstr>
      <vt:lpstr>'324'!OSRRefD21_0_2x</vt:lpstr>
      <vt:lpstr>'325'!OSRRefD21_0_2x</vt:lpstr>
      <vt:lpstr>'326'!OSRRefD21_0_2x</vt:lpstr>
      <vt:lpstr>'330'!OSRRefD21_0_2x</vt:lpstr>
      <vt:lpstr>'331'!OSRRefD21_0_2x</vt:lpstr>
      <vt:lpstr>'332'!OSRRefD21_0_2x</vt:lpstr>
      <vt:lpstr>'405'!OSRRefD21_0_2x</vt:lpstr>
      <vt:lpstr>'411'!OSRRefD21_0_2x</vt:lpstr>
      <vt:lpstr>'412'!OSRRefD21_0_2x</vt:lpstr>
      <vt:lpstr>'413'!OSRRefD21_0_2x</vt:lpstr>
      <vt:lpstr>'414'!OSRRefD21_0_2x</vt:lpstr>
      <vt:lpstr>'415'!OSRRefD21_0_2x</vt:lpstr>
      <vt:lpstr>'418'!OSRRefD21_0_2x</vt:lpstr>
      <vt:lpstr>'423'!OSRRefD21_0_2x</vt:lpstr>
      <vt:lpstr>'425'!OSRRefD21_0_2x</vt:lpstr>
      <vt:lpstr>'430'!OSRRefD21_0_2x</vt:lpstr>
      <vt:lpstr>'433'!OSRRefD21_0_2x</vt:lpstr>
      <vt:lpstr>'444'!OSRRefD21_0_2x</vt:lpstr>
      <vt:lpstr>'450'!OSRRefD21_0_2x</vt:lpstr>
      <vt:lpstr>'491'!OSRRefD21_0_2x</vt:lpstr>
      <vt:lpstr>'492'!OSRRefD21_0_2x</vt:lpstr>
      <vt:lpstr>'501'!OSRRefD21_0_2x</vt:lpstr>
      <vt:lpstr>'Div 2'!OSRRefD21_0_2x</vt:lpstr>
      <vt:lpstr>'Div 3'!OSRRefD21_0_2x</vt:lpstr>
      <vt:lpstr>'Div 4'!OSRRefD21_0_2x</vt:lpstr>
      <vt:lpstr>'Div 5'!OSRRefD21_0_2x</vt:lpstr>
      <vt:lpstr>'Div 6'!OSRRefD21_0_2x</vt:lpstr>
      <vt:lpstr>Summary!OSRRefD21_0_2x</vt:lpstr>
      <vt:lpstr>'201'!OSRRefD21_0_3x</vt:lpstr>
      <vt:lpstr>'202'!OSRRefD21_0_3x</vt:lpstr>
      <vt:lpstr>'203'!OSRRefD21_0_3x</vt:lpstr>
      <vt:lpstr>'204'!OSRRefD21_0_3x</vt:lpstr>
      <vt:lpstr>'205'!OSRRefD21_0_3x</vt:lpstr>
      <vt:lpstr>'206'!OSRRefD21_0_3x</vt:lpstr>
      <vt:lpstr>'300'!OSRRefD21_0_3x</vt:lpstr>
      <vt:lpstr>'300 &amp; 317'!OSRRefD21_0_3x</vt:lpstr>
      <vt:lpstr>'301'!OSRRefD21_0_3x</vt:lpstr>
      <vt:lpstr>'307'!OSRRefD21_0_3x</vt:lpstr>
      <vt:lpstr>'308'!OSRRefD21_0_3x</vt:lpstr>
      <vt:lpstr>'309'!OSRRefD21_0_3x</vt:lpstr>
      <vt:lpstr>'310'!OSRRefD21_0_3x</vt:lpstr>
      <vt:lpstr>'310 &amp; 491'!OSRRefD21_0_3x</vt:lpstr>
      <vt:lpstr>'311'!OSRRefD21_0_3x</vt:lpstr>
      <vt:lpstr>'313'!OSRRefD21_0_3x</vt:lpstr>
      <vt:lpstr>'315'!OSRRefD21_0_3x</vt:lpstr>
      <vt:lpstr>'316'!OSRRefD21_0_3x</vt:lpstr>
      <vt:lpstr>'317'!OSRRefD21_0_3x</vt:lpstr>
      <vt:lpstr>'321'!OSRRefD21_0_3x</vt:lpstr>
      <vt:lpstr>'322'!OSRRefD21_0_3x</vt:lpstr>
      <vt:lpstr>'324'!OSRRefD21_0_3x</vt:lpstr>
      <vt:lpstr>'325'!OSRRefD21_0_3x</vt:lpstr>
      <vt:lpstr>'326'!OSRRefD21_0_3x</vt:lpstr>
      <vt:lpstr>'330'!OSRRefD21_0_3x</vt:lpstr>
      <vt:lpstr>'331'!OSRRefD21_0_3x</vt:lpstr>
      <vt:lpstr>'332'!OSRRefD21_0_3x</vt:lpstr>
      <vt:lpstr>'405'!OSRRefD21_0_3x</vt:lpstr>
      <vt:lpstr>'411'!OSRRefD21_0_3x</vt:lpstr>
      <vt:lpstr>'412'!OSRRefD21_0_3x</vt:lpstr>
      <vt:lpstr>'413'!OSRRefD21_0_3x</vt:lpstr>
      <vt:lpstr>'414'!OSRRefD21_0_3x</vt:lpstr>
      <vt:lpstr>'415'!OSRRefD21_0_3x</vt:lpstr>
      <vt:lpstr>'418'!OSRRefD21_0_3x</vt:lpstr>
      <vt:lpstr>'423'!OSRRefD21_0_3x</vt:lpstr>
      <vt:lpstr>'425'!OSRRefD21_0_3x</vt:lpstr>
      <vt:lpstr>'430'!OSRRefD21_0_3x</vt:lpstr>
      <vt:lpstr>'433'!OSRRefD21_0_3x</vt:lpstr>
      <vt:lpstr>'444'!OSRRefD21_0_3x</vt:lpstr>
      <vt:lpstr>'450'!OSRRefD21_0_3x</vt:lpstr>
      <vt:lpstr>'491'!OSRRefD21_0_3x</vt:lpstr>
      <vt:lpstr>'492'!OSRRefD21_0_3x</vt:lpstr>
      <vt:lpstr>'501'!OSRRefD21_0_3x</vt:lpstr>
      <vt:lpstr>'Div 2'!OSRRefD21_0_3x</vt:lpstr>
      <vt:lpstr>'Div 3'!OSRRefD21_0_3x</vt:lpstr>
      <vt:lpstr>'Div 4'!OSRRefD21_0_3x</vt:lpstr>
      <vt:lpstr>'Div 5'!OSRRefD21_0_3x</vt:lpstr>
      <vt:lpstr>'Div 6'!OSRRefD21_0_3x</vt:lpstr>
      <vt:lpstr>Summary!OSRRefD21_0_3x</vt:lpstr>
      <vt:lpstr>'201'!OSRRefD21_0_4x</vt:lpstr>
      <vt:lpstr>'202'!OSRRefD21_0_4x</vt:lpstr>
      <vt:lpstr>'203'!OSRRefD21_0_4x</vt:lpstr>
      <vt:lpstr>'204'!OSRRefD21_0_4x</vt:lpstr>
      <vt:lpstr>'205'!OSRRefD21_0_4x</vt:lpstr>
      <vt:lpstr>'206'!OSRRefD21_0_4x</vt:lpstr>
      <vt:lpstr>'300'!OSRRefD21_0_4x</vt:lpstr>
      <vt:lpstr>'300 &amp; 317'!OSRRefD21_0_4x</vt:lpstr>
      <vt:lpstr>'301'!OSRRefD21_0_4x</vt:lpstr>
      <vt:lpstr>'307'!OSRRefD21_0_4x</vt:lpstr>
      <vt:lpstr>'308'!OSRRefD21_0_4x</vt:lpstr>
      <vt:lpstr>'309'!OSRRefD21_0_4x</vt:lpstr>
      <vt:lpstr>'310'!OSRRefD21_0_4x</vt:lpstr>
      <vt:lpstr>'310 &amp; 491'!OSRRefD21_0_4x</vt:lpstr>
      <vt:lpstr>'311'!OSRRefD21_0_4x</vt:lpstr>
      <vt:lpstr>'313'!OSRRefD21_0_4x</vt:lpstr>
      <vt:lpstr>'315'!OSRRefD21_0_4x</vt:lpstr>
      <vt:lpstr>'316'!OSRRefD21_0_4x</vt:lpstr>
      <vt:lpstr>'317'!OSRRefD21_0_4x</vt:lpstr>
      <vt:lpstr>'321'!OSRRefD21_0_4x</vt:lpstr>
      <vt:lpstr>'322'!OSRRefD21_0_4x</vt:lpstr>
      <vt:lpstr>'324'!OSRRefD21_0_4x</vt:lpstr>
      <vt:lpstr>'325'!OSRRefD21_0_4x</vt:lpstr>
      <vt:lpstr>'326'!OSRRefD21_0_4x</vt:lpstr>
      <vt:lpstr>'330'!OSRRefD21_0_4x</vt:lpstr>
      <vt:lpstr>'331'!OSRRefD21_0_4x</vt:lpstr>
      <vt:lpstr>'332'!OSRRefD21_0_4x</vt:lpstr>
      <vt:lpstr>'405'!OSRRefD21_0_4x</vt:lpstr>
      <vt:lpstr>'411'!OSRRefD21_0_4x</vt:lpstr>
      <vt:lpstr>'412'!OSRRefD21_0_4x</vt:lpstr>
      <vt:lpstr>'413'!OSRRefD21_0_4x</vt:lpstr>
      <vt:lpstr>'414'!OSRRefD21_0_4x</vt:lpstr>
      <vt:lpstr>'415'!OSRRefD21_0_4x</vt:lpstr>
      <vt:lpstr>'418'!OSRRefD21_0_4x</vt:lpstr>
      <vt:lpstr>'423'!OSRRefD21_0_4x</vt:lpstr>
      <vt:lpstr>'425'!OSRRefD21_0_4x</vt:lpstr>
      <vt:lpstr>'430'!OSRRefD21_0_4x</vt:lpstr>
      <vt:lpstr>'433'!OSRRefD21_0_4x</vt:lpstr>
      <vt:lpstr>'444'!OSRRefD21_0_4x</vt:lpstr>
      <vt:lpstr>'450'!OSRRefD21_0_4x</vt:lpstr>
      <vt:lpstr>'491'!OSRRefD21_0_4x</vt:lpstr>
      <vt:lpstr>'492'!OSRRefD21_0_4x</vt:lpstr>
      <vt:lpstr>'501'!OSRRefD21_0_4x</vt:lpstr>
      <vt:lpstr>'Div 2'!OSRRefD21_0_4x</vt:lpstr>
      <vt:lpstr>'Div 3'!OSRRefD21_0_4x</vt:lpstr>
      <vt:lpstr>'Div 4'!OSRRefD21_0_4x</vt:lpstr>
      <vt:lpstr>'Div 5'!OSRRefD21_0_4x</vt:lpstr>
      <vt:lpstr>'Div 6'!OSRRefD21_0_4x</vt:lpstr>
      <vt:lpstr>Summary!OSRRefD21_0_4x</vt:lpstr>
      <vt:lpstr>'201'!OSRRefD21_0_5x</vt:lpstr>
      <vt:lpstr>'202'!OSRRefD21_0_5x</vt:lpstr>
      <vt:lpstr>'203'!OSRRefD21_0_5x</vt:lpstr>
      <vt:lpstr>'204'!OSRRefD21_0_5x</vt:lpstr>
      <vt:lpstr>'205'!OSRRefD21_0_5x</vt:lpstr>
      <vt:lpstr>'206'!OSRRefD21_0_5x</vt:lpstr>
      <vt:lpstr>'300'!OSRRefD21_0_5x</vt:lpstr>
      <vt:lpstr>'300 &amp; 317'!OSRRefD21_0_5x</vt:lpstr>
      <vt:lpstr>'301'!OSRRefD21_0_5x</vt:lpstr>
      <vt:lpstr>'307'!OSRRefD21_0_5x</vt:lpstr>
      <vt:lpstr>'308'!OSRRefD21_0_5x</vt:lpstr>
      <vt:lpstr>'309'!OSRRefD21_0_5x</vt:lpstr>
      <vt:lpstr>'310'!OSRRefD21_0_5x</vt:lpstr>
      <vt:lpstr>'310 &amp; 491'!OSRRefD21_0_5x</vt:lpstr>
      <vt:lpstr>'311'!OSRRefD21_0_5x</vt:lpstr>
      <vt:lpstr>'313'!OSRRefD21_0_5x</vt:lpstr>
      <vt:lpstr>'315'!OSRRefD21_0_5x</vt:lpstr>
      <vt:lpstr>'316'!OSRRefD21_0_5x</vt:lpstr>
      <vt:lpstr>'317'!OSRRefD21_0_5x</vt:lpstr>
      <vt:lpstr>'321'!OSRRefD21_0_5x</vt:lpstr>
      <vt:lpstr>'322'!OSRRefD21_0_5x</vt:lpstr>
      <vt:lpstr>'324'!OSRRefD21_0_5x</vt:lpstr>
      <vt:lpstr>'325'!OSRRefD21_0_5x</vt:lpstr>
      <vt:lpstr>'326'!OSRRefD21_0_5x</vt:lpstr>
      <vt:lpstr>'330'!OSRRefD21_0_5x</vt:lpstr>
      <vt:lpstr>'331'!OSRRefD21_0_5x</vt:lpstr>
      <vt:lpstr>'332'!OSRRefD21_0_5x</vt:lpstr>
      <vt:lpstr>'405'!OSRRefD21_0_5x</vt:lpstr>
      <vt:lpstr>'411'!OSRRefD21_0_5x</vt:lpstr>
      <vt:lpstr>'412'!OSRRefD21_0_5x</vt:lpstr>
      <vt:lpstr>'413'!OSRRefD21_0_5x</vt:lpstr>
      <vt:lpstr>'414'!OSRRefD21_0_5x</vt:lpstr>
      <vt:lpstr>'415'!OSRRefD21_0_5x</vt:lpstr>
      <vt:lpstr>'418'!OSRRefD21_0_5x</vt:lpstr>
      <vt:lpstr>'423'!OSRRefD21_0_5x</vt:lpstr>
      <vt:lpstr>'430'!OSRRefD21_0_5x</vt:lpstr>
      <vt:lpstr>'433'!OSRRefD21_0_5x</vt:lpstr>
      <vt:lpstr>'444'!OSRRefD21_0_5x</vt:lpstr>
      <vt:lpstr>'450'!OSRRefD21_0_5x</vt:lpstr>
      <vt:lpstr>'491'!OSRRefD21_0_5x</vt:lpstr>
      <vt:lpstr>'492'!OSRRefD21_0_5x</vt:lpstr>
      <vt:lpstr>'501'!OSRRefD21_0_5x</vt:lpstr>
      <vt:lpstr>'Div 2'!OSRRefD21_0_5x</vt:lpstr>
      <vt:lpstr>'Div 3'!OSRRefD21_0_5x</vt:lpstr>
      <vt:lpstr>'Div 4'!OSRRefD21_0_5x</vt:lpstr>
      <vt:lpstr>'Div 5'!OSRRefD21_0_5x</vt:lpstr>
      <vt:lpstr>'Div 6'!OSRRefD21_0_5x</vt:lpstr>
      <vt:lpstr>Summary!OSRRefD21_0_5x</vt:lpstr>
      <vt:lpstr>'201'!OSRRefD21_0_6x</vt:lpstr>
      <vt:lpstr>'202'!OSRRefD21_0_6x</vt:lpstr>
      <vt:lpstr>'203'!OSRRefD21_0_6x</vt:lpstr>
      <vt:lpstr>'204'!OSRRefD21_0_6x</vt:lpstr>
      <vt:lpstr>'205'!OSRRefD21_0_6x</vt:lpstr>
      <vt:lpstr>'206'!OSRRefD21_0_6x</vt:lpstr>
      <vt:lpstr>'300'!OSRRefD21_0_6x</vt:lpstr>
      <vt:lpstr>'300 &amp; 317'!OSRRefD21_0_6x</vt:lpstr>
      <vt:lpstr>'301'!OSRRefD21_0_6x</vt:lpstr>
      <vt:lpstr>'307'!OSRRefD21_0_6x</vt:lpstr>
      <vt:lpstr>'308'!OSRRefD21_0_6x</vt:lpstr>
      <vt:lpstr>'309'!OSRRefD21_0_6x</vt:lpstr>
      <vt:lpstr>'310'!OSRRefD21_0_6x</vt:lpstr>
      <vt:lpstr>'310 &amp; 491'!OSRRefD21_0_6x</vt:lpstr>
      <vt:lpstr>'311'!OSRRefD21_0_6x</vt:lpstr>
      <vt:lpstr>'313'!OSRRefD21_0_6x</vt:lpstr>
      <vt:lpstr>'315'!OSRRefD21_0_6x</vt:lpstr>
      <vt:lpstr>'316'!OSRRefD21_0_6x</vt:lpstr>
      <vt:lpstr>'317'!OSRRefD21_0_6x</vt:lpstr>
      <vt:lpstr>'321'!OSRRefD21_0_6x</vt:lpstr>
      <vt:lpstr>'322'!OSRRefD21_0_6x</vt:lpstr>
      <vt:lpstr>'324'!OSRRefD21_0_6x</vt:lpstr>
      <vt:lpstr>'325'!OSRRefD21_0_6x</vt:lpstr>
      <vt:lpstr>'326'!OSRRefD21_0_6x</vt:lpstr>
      <vt:lpstr>'330'!OSRRefD21_0_6x</vt:lpstr>
      <vt:lpstr>'331'!OSRRefD21_0_6x</vt:lpstr>
      <vt:lpstr>'332'!OSRRefD21_0_6x</vt:lpstr>
      <vt:lpstr>'405'!OSRRefD21_0_6x</vt:lpstr>
      <vt:lpstr>'411'!OSRRefD21_0_6x</vt:lpstr>
      <vt:lpstr>'412'!OSRRefD21_0_6x</vt:lpstr>
      <vt:lpstr>'413'!OSRRefD21_0_6x</vt:lpstr>
      <vt:lpstr>'414'!OSRRefD21_0_6x</vt:lpstr>
      <vt:lpstr>'415'!OSRRefD21_0_6x</vt:lpstr>
      <vt:lpstr>'418'!OSRRefD21_0_6x</vt:lpstr>
      <vt:lpstr>'423'!OSRRefD21_0_6x</vt:lpstr>
      <vt:lpstr>'430'!OSRRefD21_0_6x</vt:lpstr>
      <vt:lpstr>'433'!OSRRefD21_0_6x</vt:lpstr>
      <vt:lpstr>'444'!OSRRefD21_0_6x</vt:lpstr>
      <vt:lpstr>'450'!OSRRefD21_0_6x</vt:lpstr>
      <vt:lpstr>'491'!OSRRefD21_0_6x</vt:lpstr>
      <vt:lpstr>'492'!OSRRefD21_0_6x</vt:lpstr>
      <vt:lpstr>'501'!OSRRefD21_0_6x</vt:lpstr>
      <vt:lpstr>'Div 2'!OSRRefD21_0_6x</vt:lpstr>
      <vt:lpstr>'Div 3'!OSRRefD21_0_6x</vt:lpstr>
      <vt:lpstr>'Div 4'!OSRRefD21_0_6x</vt:lpstr>
      <vt:lpstr>'Div 5'!OSRRefD21_0_6x</vt:lpstr>
      <vt:lpstr>'Div 6'!OSRRefD21_0_6x</vt:lpstr>
      <vt:lpstr>Summary!OSRRefD21_0_6x</vt:lpstr>
      <vt:lpstr>'201'!OSRRefD21_0_7x</vt:lpstr>
      <vt:lpstr>'202'!OSRRefD21_0_7x</vt:lpstr>
      <vt:lpstr>'203'!OSRRefD21_0_7x</vt:lpstr>
      <vt:lpstr>'204'!OSRRefD21_0_7x</vt:lpstr>
      <vt:lpstr>'205'!OSRRefD21_0_7x</vt:lpstr>
      <vt:lpstr>'206'!OSRRefD21_0_7x</vt:lpstr>
      <vt:lpstr>'300'!OSRRefD21_0_7x</vt:lpstr>
      <vt:lpstr>'300 &amp; 317'!OSRRefD21_0_7x</vt:lpstr>
      <vt:lpstr>'301'!OSRRefD21_0_7x</vt:lpstr>
      <vt:lpstr>'307'!OSRRefD21_0_7x</vt:lpstr>
      <vt:lpstr>'308'!OSRRefD21_0_7x</vt:lpstr>
      <vt:lpstr>'309'!OSRRefD21_0_7x</vt:lpstr>
      <vt:lpstr>'310'!OSRRefD21_0_7x</vt:lpstr>
      <vt:lpstr>'310 &amp; 491'!OSRRefD21_0_7x</vt:lpstr>
      <vt:lpstr>'311'!OSRRefD21_0_7x</vt:lpstr>
      <vt:lpstr>'313'!OSRRefD21_0_7x</vt:lpstr>
      <vt:lpstr>'315'!OSRRefD21_0_7x</vt:lpstr>
      <vt:lpstr>'316'!OSRRefD21_0_7x</vt:lpstr>
      <vt:lpstr>'317'!OSRRefD21_0_7x</vt:lpstr>
      <vt:lpstr>'321'!OSRRefD21_0_7x</vt:lpstr>
      <vt:lpstr>'322'!OSRRefD21_0_7x</vt:lpstr>
      <vt:lpstr>'324'!OSRRefD21_0_7x</vt:lpstr>
      <vt:lpstr>'325'!OSRRefD21_0_7x</vt:lpstr>
      <vt:lpstr>'326'!OSRRefD21_0_7x</vt:lpstr>
      <vt:lpstr>'330'!OSRRefD21_0_7x</vt:lpstr>
      <vt:lpstr>'331'!OSRRefD21_0_7x</vt:lpstr>
      <vt:lpstr>'332'!OSRRefD21_0_7x</vt:lpstr>
      <vt:lpstr>'405'!OSRRefD21_0_7x</vt:lpstr>
      <vt:lpstr>'411'!OSRRefD21_0_7x</vt:lpstr>
      <vt:lpstr>'412'!OSRRefD21_0_7x</vt:lpstr>
      <vt:lpstr>'413'!OSRRefD21_0_7x</vt:lpstr>
      <vt:lpstr>'414'!OSRRefD21_0_7x</vt:lpstr>
      <vt:lpstr>'415'!OSRRefD21_0_7x</vt:lpstr>
      <vt:lpstr>'418'!OSRRefD21_0_7x</vt:lpstr>
      <vt:lpstr>'423'!OSRRefD21_0_7x</vt:lpstr>
      <vt:lpstr>'430'!OSRRefD21_0_7x</vt:lpstr>
      <vt:lpstr>'433'!OSRRefD21_0_7x</vt:lpstr>
      <vt:lpstr>'444'!OSRRefD21_0_7x</vt:lpstr>
      <vt:lpstr>'450'!OSRRefD21_0_7x</vt:lpstr>
      <vt:lpstr>'491'!OSRRefD21_0_7x</vt:lpstr>
      <vt:lpstr>'492'!OSRRefD21_0_7x</vt:lpstr>
      <vt:lpstr>'501'!OSRRefD21_0_7x</vt:lpstr>
      <vt:lpstr>'Div 2'!OSRRefD21_0_7x</vt:lpstr>
      <vt:lpstr>'Div 3'!OSRRefD21_0_7x</vt:lpstr>
      <vt:lpstr>'Div 4'!OSRRefD21_0_7x</vt:lpstr>
      <vt:lpstr>'Div 5'!OSRRefD21_0_7x</vt:lpstr>
      <vt:lpstr>'Div 6'!OSRRefD21_0_7x</vt:lpstr>
      <vt:lpstr>Summary!OSRRefD21_0_7x</vt:lpstr>
      <vt:lpstr>'201'!OSRRefD21_0_8x</vt:lpstr>
      <vt:lpstr>'202'!OSRRefD21_0_8x</vt:lpstr>
      <vt:lpstr>'203'!OSRRefD21_0_8x</vt:lpstr>
      <vt:lpstr>'204'!OSRRefD21_0_8x</vt:lpstr>
      <vt:lpstr>'205'!OSRRefD21_0_8x</vt:lpstr>
      <vt:lpstr>'206'!OSRRefD21_0_8x</vt:lpstr>
      <vt:lpstr>'300'!OSRRefD21_0_8x</vt:lpstr>
      <vt:lpstr>'300 &amp; 317'!OSRRefD21_0_8x</vt:lpstr>
      <vt:lpstr>'301'!OSRRefD21_0_8x</vt:lpstr>
      <vt:lpstr>'308'!OSRRefD21_0_8x</vt:lpstr>
      <vt:lpstr>'310'!OSRRefD21_0_8x</vt:lpstr>
      <vt:lpstr>'310 &amp; 491'!OSRRefD21_0_8x</vt:lpstr>
      <vt:lpstr>'311'!OSRRefD21_0_8x</vt:lpstr>
      <vt:lpstr>'313'!OSRRefD21_0_8x</vt:lpstr>
      <vt:lpstr>'315'!OSRRefD21_0_8x</vt:lpstr>
      <vt:lpstr>'316'!OSRRefD21_0_8x</vt:lpstr>
      <vt:lpstr>'317'!OSRRefD21_0_8x</vt:lpstr>
      <vt:lpstr>'321'!OSRRefD21_0_8x</vt:lpstr>
      <vt:lpstr>'326'!OSRRefD21_0_8x</vt:lpstr>
      <vt:lpstr>'331'!OSRRefD21_0_8x</vt:lpstr>
      <vt:lpstr>'332'!OSRRefD21_0_8x</vt:lpstr>
      <vt:lpstr>'411'!OSRRefD21_0_8x</vt:lpstr>
      <vt:lpstr>'413'!OSRRefD21_0_8x</vt:lpstr>
      <vt:lpstr>'414'!OSRRefD21_0_8x</vt:lpstr>
      <vt:lpstr>'415'!OSRRefD21_0_8x</vt:lpstr>
      <vt:lpstr>'430'!OSRRefD21_0_8x</vt:lpstr>
      <vt:lpstr>'433'!OSRRefD21_0_8x</vt:lpstr>
      <vt:lpstr>'444'!OSRRefD21_0_8x</vt:lpstr>
      <vt:lpstr>'450'!OSRRefD21_0_8x</vt:lpstr>
      <vt:lpstr>'491'!OSRRefD21_0_8x</vt:lpstr>
      <vt:lpstr>'492'!OSRRefD21_0_8x</vt:lpstr>
      <vt:lpstr>'501'!OSRRefD21_0_8x</vt:lpstr>
      <vt:lpstr>'Div 2'!OSRRefD21_0_8x</vt:lpstr>
      <vt:lpstr>'Div 3'!OSRRefD21_0_8x</vt:lpstr>
      <vt:lpstr>'Div 4'!OSRRefD21_0_8x</vt:lpstr>
      <vt:lpstr>'Div 5'!OSRRefD21_0_8x</vt:lpstr>
      <vt:lpstr>'Div 6'!OSRRefD21_0_8x</vt:lpstr>
      <vt:lpstr>Summary!OSRRefD21_0_8x</vt:lpstr>
      <vt:lpstr>'203'!OSRRefD21_0_9x</vt:lpstr>
      <vt:lpstr>'204'!OSRRefD21_0_9x</vt:lpstr>
      <vt:lpstr>'300'!OSRRefD21_0_9x</vt:lpstr>
      <vt:lpstr>'300 &amp; 317'!OSRRefD21_0_9x</vt:lpstr>
      <vt:lpstr>'308'!OSRRefD21_0_9x</vt:lpstr>
      <vt:lpstr>'311'!OSRRefD21_0_9x</vt:lpstr>
      <vt:lpstr>'317'!OSRRefD21_0_9x</vt:lpstr>
      <vt:lpstr>'433'!OSRRefD21_0_9x</vt:lpstr>
      <vt:lpstr>'444'!OSRRefD21_0_9x</vt:lpstr>
      <vt:lpstr>'450'!OSRRefD21_0_9x</vt:lpstr>
      <vt:lpstr>'492'!OSRRefD21_0_9x</vt:lpstr>
      <vt:lpstr>'501'!OSRRefD21_0_9x</vt:lpstr>
      <vt:lpstr>'Div 2'!OSRRefD21_0_9x</vt:lpstr>
      <vt:lpstr>'Div 3'!OSRRefD21_0_9x</vt:lpstr>
      <vt:lpstr>'Div 4'!OSRRefD21_0_9x</vt:lpstr>
      <vt:lpstr>'Div 5'!OSRRefD21_0_9x</vt:lpstr>
      <vt:lpstr>'Div 6'!OSRRefD21_0_9x</vt:lpstr>
      <vt:lpstr>Summary!OSRRefD21_0_9x</vt:lpstr>
      <vt:lpstr>'200'!OSRRefD21_0x_0</vt:lpstr>
      <vt:lpstr>'201'!OSRRefD21_0x_0</vt:lpstr>
      <vt:lpstr>'202'!OSRRefD21_0x_0</vt:lpstr>
      <vt:lpstr>'203'!OSRRefD21_0x_0</vt:lpstr>
      <vt:lpstr>'204'!OSRRefD21_0x_0</vt:lpstr>
      <vt:lpstr>'205'!OSRRefD21_0x_0</vt:lpstr>
      <vt:lpstr>'206'!OSRRefD21_0x_0</vt:lpstr>
      <vt:lpstr>'300'!OSRRefD21_0x_0</vt:lpstr>
      <vt:lpstr>'300 &amp; 317'!OSRRefD21_0x_0</vt:lpstr>
      <vt:lpstr>'301'!OSRRefD21_0x_0</vt:lpstr>
      <vt:lpstr>'307'!OSRRefD21_0x_0</vt:lpstr>
      <vt:lpstr>'308'!OSRRefD21_0x_0</vt:lpstr>
      <vt:lpstr>'309'!OSRRefD21_0x_0</vt:lpstr>
      <vt:lpstr>'310'!OSRRefD21_0x_0</vt:lpstr>
      <vt:lpstr>'310 &amp; 491'!OSRRefD21_0x_0</vt:lpstr>
      <vt:lpstr>'311'!OSRRefD21_0x_0</vt:lpstr>
      <vt:lpstr>'313'!OSRRefD21_0x_0</vt:lpstr>
      <vt:lpstr>'315'!OSRRefD21_0x_0</vt:lpstr>
      <vt:lpstr>'316'!OSRRefD21_0x_0</vt:lpstr>
      <vt:lpstr>'317'!OSRRefD21_0x_0</vt:lpstr>
      <vt:lpstr>'321'!OSRRefD21_0x_0</vt:lpstr>
      <vt:lpstr>'322'!OSRRefD21_0x_0</vt:lpstr>
      <vt:lpstr>'324'!OSRRefD21_0x_0</vt:lpstr>
      <vt:lpstr>'325'!OSRRefD21_0x_0</vt:lpstr>
      <vt:lpstr>'326'!OSRRefD21_0x_0</vt:lpstr>
      <vt:lpstr>'327'!OSRRefD21_0x_0</vt:lpstr>
      <vt:lpstr>'330'!OSRRefD21_0x_0</vt:lpstr>
      <vt:lpstr>'331'!OSRRefD21_0x_0</vt:lpstr>
      <vt:lpstr>'332'!OSRRefD21_0x_0</vt:lpstr>
      <vt:lpstr>'405'!OSRRefD21_0x_0</vt:lpstr>
      <vt:lpstr>'406'!OSRRefD21_0x_0</vt:lpstr>
      <vt:lpstr>'411'!OSRRefD21_0x_0</vt:lpstr>
      <vt:lpstr>'412'!OSRRefD21_0x_0</vt:lpstr>
      <vt:lpstr>'413'!OSRRefD21_0x_0</vt:lpstr>
      <vt:lpstr>'414'!OSRRefD21_0x_0</vt:lpstr>
      <vt:lpstr>'415'!OSRRefD21_0x_0</vt:lpstr>
      <vt:lpstr>'418'!OSRRefD21_0x_0</vt:lpstr>
      <vt:lpstr>'423'!OSRRefD21_0x_0</vt:lpstr>
      <vt:lpstr>'424'!OSRRefD21_0x_0</vt:lpstr>
      <vt:lpstr>'425'!OSRRefD21_0x_0</vt:lpstr>
      <vt:lpstr>'430'!OSRRefD21_0x_0</vt:lpstr>
      <vt:lpstr>'433'!OSRRefD21_0x_0</vt:lpstr>
      <vt:lpstr>'435'!OSRRefD21_0x_0</vt:lpstr>
      <vt:lpstr>'444'!OSRRefD21_0x_0</vt:lpstr>
      <vt:lpstr>'450'!OSRRefD21_0x_0</vt:lpstr>
      <vt:lpstr>'491'!OSRRefD21_0x_0</vt:lpstr>
      <vt:lpstr>'492'!OSRRefD21_0x_0</vt:lpstr>
      <vt:lpstr>'501'!OSRRefD21_0x_0</vt:lpstr>
      <vt:lpstr>'Div 2'!OSRRefD21_0x_0</vt:lpstr>
      <vt:lpstr>'Div 3'!OSRRefD21_0x_0</vt:lpstr>
      <vt:lpstr>'Div 4'!OSRRefD21_0x_0</vt:lpstr>
      <vt:lpstr>'Div 5'!OSRRefD21_0x_0</vt:lpstr>
      <vt:lpstr>'Div 6'!OSRRefD21_0x_0</vt:lpstr>
      <vt:lpstr>Summary!OSRRefD21_0x_0</vt:lpstr>
      <vt:lpstr>'200'!OSRRefD21_0x_1</vt:lpstr>
      <vt:lpstr>'201'!OSRRefD21_0x_1</vt:lpstr>
      <vt:lpstr>'202'!OSRRefD21_0x_1</vt:lpstr>
      <vt:lpstr>'203'!OSRRefD21_0x_1</vt:lpstr>
      <vt:lpstr>'204'!OSRRefD21_0x_1</vt:lpstr>
      <vt:lpstr>'205'!OSRRefD21_0x_1</vt:lpstr>
      <vt:lpstr>'206'!OSRRefD21_0x_1</vt:lpstr>
      <vt:lpstr>'300'!OSRRefD21_0x_1</vt:lpstr>
      <vt:lpstr>'300 &amp; 317'!OSRRefD21_0x_1</vt:lpstr>
      <vt:lpstr>'301'!OSRRefD21_0x_1</vt:lpstr>
      <vt:lpstr>'307'!OSRRefD21_0x_1</vt:lpstr>
      <vt:lpstr>'308'!OSRRefD21_0x_1</vt:lpstr>
      <vt:lpstr>'309'!OSRRefD21_0x_1</vt:lpstr>
      <vt:lpstr>'310'!OSRRefD21_0x_1</vt:lpstr>
      <vt:lpstr>'310 &amp; 491'!OSRRefD21_0x_1</vt:lpstr>
      <vt:lpstr>'311'!OSRRefD21_0x_1</vt:lpstr>
      <vt:lpstr>'313'!OSRRefD21_0x_1</vt:lpstr>
      <vt:lpstr>'315'!OSRRefD21_0x_1</vt:lpstr>
      <vt:lpstr>'316'!OSRRefD21_0x_1</vt:lpstr>
      <vt:lpstr>'317'!OSRRefD21_0x_1</vt:lpstr>
      <vt:lpstr>'321'!OSRRefD21_0x_1</vt:lpstr>
      <vt:lpstr>'322'!OSRRefD21_0x_1</vt:lpstr>
      <vt:lpstr>'324'!OSRRefD21_0x_1</vt:lpstr>
      <vt:lpstr>'325'!OSRRefD21_0x_1</vt:lpstr>
      <vt:lpstr>'326'!OSRRefD21_0x_1</vt:lpstr>
      <vt:lpstr>'327'!OSRRefD21_0x_1</vt:lpstr>
      <vt:lpstr>'330'!OSRRefD21_0x_1</vt:lpstr>
      <vt:lpstr>'331'!OSRRefD21_0x_1</vt:lpstr>
      <vt:lpstr>'332'!OSRRefD21_0x_1</vt:lpstr>
      <vt:lpstr>'405'!OSRRefD21_0x_1</vt:lpstr>
      <vt:lpstr>'406'!OSRRefD21_0x_1</vt:lpstr>
      <vt:lpstr>'411'!OSRRefD21_0x_1</vt:lpstr>
      <vt:lpstr>'412'!OSRRefD21_0x_1</vt:lpstr>
      <vt:lpstr>'413'!OSRRefD21_0x_1</vt:lpstr>
      <vt:lpstr>'414'!OSRRefD21_0x_1</vt:lpstr>
      <vt:lpstr>'415'!OSRRefD21_0x_1</vt:lpstr>
      <vt:lpstr>'418'!OSRRefD21_0x_1</vt:lpstr>
      <vt:lpstr>'423'!OSRRefD21_0x_1</vt:lpstr>
      <vt:lpstr>'424'!OSRRefD21_0x_1</vt:lpstr>
      <vt:lpstr>'425'!OSRRefD21_0x_1</vt:lpstr>
      <vt:lpstr>'430'!OSRRefD21_0x_1</vt:lpstr>
      <vt:lpstr>'433'!OSRRefD21_0x_1</vt:lpstr>
      <vt:lpstr>'435'!OSRRefD21_0x_1</vt:lpstr>
      <vt:lpstr>'444'!OSRRefD21_0x_1</vt:lpstr>
      <vt:lpstr>'450'!OSRRefD21_0x_1</vt:lpstr>
      <vt:lpstr>'491'!OSRRefD21_0x_1</vt:lpstr>
      <vt:lpstr>'492'!OSRRefD21_0x_1</vt:lpstr>
      <vt:lpstr>'501'!OSRRefD21_0x_1</vt:lpstr>
      <vt:lpstr>'Div 2'!OSRRefD21_0x_1</vt:lpstr>
      <vt:lpstr>'Div 3'!OSRRefD21_0x_1</vt:lpstr>
      <vt:lpstr>'Div 4'!OSRRefD21_0x_1</vt:lpstr>
      <vt:lpstr>'Div 5'!OSRRefD21_0x_1</vt:lpstr>
      <vt:lpstr>'Div 6'!OSRRefD21_0x_1</vt:lpstr>
      <vt:lpstr>Summary!OSRRefD21_0x_1</vt:lpstr>
      <vt:lpstr>'200'!OSRRefD21_0x_2</vt:lpstr>
      <vt:lpstr>'201'!OSRRefD21_0x_2</vt:lpstr>
      <vt:lpstr>'202'!OSRRefD21_0x_2</vt:lpstr>
      <vt:lpstr>'203'!OSRRefD21_0x_2</vt:lpstr>
      <vt:lpstr>'204'!OSRRefD21_0x_2</vt:lpstr>
      <vt:lpstr>'205'!OSRRefD21_0x_2</vt:lpstr>
      <vt:lpstr>'206'!OSRRefD21_0x_2</vt:lpstr>
      <vt:lpstr>'300'!OSRRefD21_0x_2</vt:lpstr>
      <vt:lpstr>'300 &amp; 317'!OSRRefD21_0x_2</vt:lpstr>
      <vt:lpstr>'301'!OSRRefD21_0x_2</vt:lpstr>
      <vt:lpstr>'307'!OSRRefD21_0x_2</vt:lpstr>
      <vt:lpstr>'308'!OSRRefD21_0x_2</vt:lpstr>
      <vt:lpstr>'309'!OSRRefD21_0x_2</vt:lpstr>
      <vt:lpstr>'310'!OSRRefD21_0x_2</vt:lpstr>
      <vt:lpstr>'310 &amp; 491'!OSRRefD21_0x_2</vt:lpstr>
      <vt:lpstr>'311'!OSRRefD21_0x_2</vt:lpstr>
      <vt:lpstr>'313'!OSRRefD21_0x_2</vt:lpstr>
      <vt:lpstr>'315'!OSRRefD21_0x_2</vt:lpstr>
      <vt:lpstr>'316'!OSRRefD21_0x_2</vt:lpstr>
      <vt:lpstr>'317'!OSRRefD21_0x_2</vt:lpstr>
      <vt:lpstr>'321'!OSRRefD21_0x_2</vt:lpstr>
      <vt:lpstr>'322'!OSRRefD21_0x_2</vt:lpstr>
      <vt:lpstr>'324'!OSRRefD21_0x_2</vt:lpstr>
      <vt:lpstr>'325'!OSRRefD21_0x_2</vt:lpstr>
      <vt:lpstr>'326'!OSRRefD21_0x_2</vt:lpstr>
      <vt:lpstr>'327'!OSRRefD21_0x_2</vt:lpstr>
      <vt:lpstr>'330'!OSRRefD21_0x_2</vt:lpstr>
      <vt:lpstr>'331'!OSRRefD21_0x_2</vt:lpstr>
      <vt:lpstr>'332'!OSRRefD21_0x_2</vt:lpstr>
      <vt:lpstr>'405'!OSRRefD21_0x_2</vt:lpstr>
      <vt:lpstr>'406'!OSRRefD21_0x_2</vt:lpstr>
      <vt:lpstr>'411'!OSRRefD21_0x_2</vt:lpstr>
      <vt:lpstr>'412'!OSRRefD21_0x_2</vt:lpstr>
      <vt:lpstr>'413'!OSRRefD21_0x_2</vt:lpstr>
      <vt:lpstr>'414'!OSRRefD21_0x_2</vt:lpstr>
      <vt:lpstr>'415'!OSRRefD21_0x_2</vt:lpstr>
      <vt:lpstr>'418'!OSRRefD21_0x_2</vt:lpstr>
      <vt:lpstr>'423'!OSRRefD21_0x_2</vt:lpstr>
      <vt:lpstr>'424'!OSRRefD21_0x_2</vt:lpstr>
      <vt:lpstr>'425'!OSRRefD21_0x_2</vt:lpstr>
      <vt:lpstr>'430'!OSRRefD21_0x_2</vt:lpstr>
      <vt:lpstr>'433'!OSRRefD21_0x_2</vt:lpstr>
      <vt:lpstr>'435'!OSRRefD21_0x_2</vt:lpstr>
      <vt:lpstr>'444'!OSRRefD21_0x_2</vt:lpstr>
      <vt:lpstr>'450'!OSRRefD21_0x_2</vt:lpstr>
      <vt:lpstr>'491'!OSRRefD21_0x_2</vt:lpstr>
      <vt:lpstr>'492'!OSRRefD21_0x_2</vt:lpstr>
      <vt:lpstr>'501'!OSRRefD21_0x_2</vt:lpstr>
      <vt:lpstr>'Div 2'!OSRRefD21_0x_2</vt:lpstr>
      <vt:lpstr>'Div 3'!OSRRefD21_0x_2</vt:lpstr>
      <vt:lpstr>'Div 4'!OSRRefD21_0x_2</vt:lpstr>
      <vt:lpstr>'Div 5'!OSRRefD21_0x_2</vt:lpstr>
      <vt:lpstr>'Div 6'!OSRRefD21_0x_2</vt:lpstr>
      <vt:lpstr>Summary!OSRRefD21_0x_2</vt:lpstr>
      <vt:lpstr>'200'!OSRRefD21_0x_3</vt:lpstr>
      <vt:lpstr>'201'!OSRRefD21_0x_3</vt:lpstr>
      <vt:lpstr>'202'!OSRRefD21_0x_3</vt:lpstr>
      <vt:lpstr>'203'!OSRRefD21_0x_3</vt:lpstr>
      <vt:lpstr>'204'!OSRRefD21_0x_3</vt:lpstr>
      <vt:lpstr>'205'!OSRRefD21_0x_3</vt:lpstr>
      <vt:lpstr>'206'!OSRRefD21_0x_3</vt:lpstr>
      <vt:lpstr>'300'!OSRRefD21_0x_3</vt:lpstr>
      <vt:lpstr>'300 &amp; 317'!OSRRefD21_0x_3</vt:lpstr>
      <vt:lpstr>'301'!OSRRefD21_0x_3</vt:lpstr>
      <vt:lpstr>'307'!OSRRefD21_0x_3</vt:lpstr>
      <vt:lpstr>'308'!OSRRefD21_0x_3</vt:lpstr>
      <vt:lpstr>'309'!OSRRefD21_0x_3</vt:lpstr>
      <vt:lpstr>'310'!OSRRefD21_0x_3</vt:lpstr>
      <vt:lpstr>'310 &amp; 491'!OSRRefD21_0x_3</vt:lpstr>
      <vt:lpstr>'311'!OSRRefD21_0x_3</vt:lpstr>
      <vt:lpstr>'313'!OSRRefD21_0x_3</vt:lpstr>
      <vt:lpstr>'315'!OSRRefD21_0x_3</vt:lpstr>
      <vt:lpstr>'316'!OSRRefD21_0x_3</vt:lpstr>
      <vt:lpstr>'317'!OSRRefD21_0x_3</vt:lpstr>
      <vt:lpstr>'321'!OSRRefD21_0x_3</vt:lpstr>
      <vt:lpstr>'322'!OSRRefD21_0x_3</vt:lpstr>
      <vt:lpstr>'324'!OSRRefD21_0x_3</vt:lpstr>
      <vt:lpstr>'325'!OSRRefD21_0x_3</vt:lpstr>
      <vt:lpstr>'326'!OSRRefD21_0x_3</vt:lpstr>
      <vt:lpstr>'327'!OSRRefD21_0x_3</vt:lpstr>
      <vt:lpstr>'330'!OSRRefD21_0x_3</vt:lpstr>
      <vt:lpstr>'331'!OSRRefD21_0x_3</vt:lpstr>
      <vt:lpstr>'332'!OSRRefD21_0x_3</vt:lpstr>
      <vt:lpstr>'405'!OSRRefD21_0x_3</vt:lpstr>
      <vt:lpstr>'406'!OSRRefD21_0x_3</vt:lpstr>
      <vt:lpstr>'411'!OSRRefD21_0x_3</vt:lpstr>
      <vt:lpstr>'412'!OSRRefD21_0x_3</vt:lpstr>
      <vt:lpstr>'413'!OSRRefD21_0x_3</vt:lpstr>
      <vt:lpstr>'414'!OSRRefD21_0x_3</vt:lpstr>
      <vt:lpstr>'415'!OSRRefD21_0x_3</vt:lpstr>
      <vt:lpstr>'418'!OSRRefD21_0x_3</vt:lpstr>
      <vt:lpstr>'423'!OSRRefD21_0x_3</vt:lpstr>
      <vt:lpstr>'424'!OSRRefD21_0x_3</vt:lpstr>
      <vt:lpstr>'425'!OSRRefD21_0x_3</vt:lpstr>
      <vt:lpstr>'430'!OSRRefD21_0x_3</vt:lpstr>
      <vt:lpstr>'433'!OSRRefD21_0x_3</vt:lpstr>
      <vt:lpstr>'435'!OSRRefD21_0x_3</vt:lpstr>
      <vt:lpstr>'444'!OSRRefD21_0x_3</vt:lpstr>
      <vt:lpstr>'450'!OSRRefD21_0x_3</vt:lpstr>
      <vt:lpstr>'491'!OSRRefD21_0x_3</vt:lpstr>
      <vt:lpstr>'492'!OSRRefD21_0x_3</vt:lpstr>
      <vt:lpstr>'501'!OSRRefD21_0x_3</vt:lpstr>
      <vt:lpstr>'Div 2'!OSRRefD21_0x_3</vt:lpstr>
      <vt:lpstr>'Div 3'!OSRRefD21_0x_3</vt:lpstr>
      <vt:lpstr>'Div 4'!OSRRefD21_0x_3</vt:lpstr>
      <vt:lpstr>'Div 5'!OSRRefD21_0x_3</vt:lpstr>
      <vt:lpstr>'Div 6'!OSRRefD21_0x_3</vt:lpstr>
      <vt:lpstr>Summary!OSRRefD21_0x_3</vt:lpstr>
      <vt:lpstr>'200'!OSRRefD21_1_0x</vt:lpstr>
      <vt:lpstr>'201'!OSRRefD21_1_0x</vt:lpstr>
      <vt:lpstr>'202'!OSRRefD21_1_0x</vt:lpstr>
      <vt:lpstr>'203'!OSRRefD21_1_0x</vt:lpstr>
      <vt:lpstr>'204'!OSRRefD21_1_0x</vt:lpstr>
      <vt:lpstr>'205'!OSRRefD21_1_0x</vt:lpstr>
      <vt:lpstr>'206'!OSRRefD21_1_0x</vt:lpstr>
      <vt:lpstr>'300'!OSRRefD21_1_0x</vt:lpstr>
      <vt:lpstr>'300 &amp; 317'!OSRRefD21_1_0x</vt:lpstr>
      <vt:lpstr>'301'!OSRRefD21_1_0x</vt:lpstr>
      <vt:lpstr>'307'!OSRRefD21_1_0x</vt:lpstr>
      <vt:lpstr>'308'!OSRRefD21_1_0x</vt:lpstr>
      <vt:lpstr>'309'!OSRRefD21_1_0x</vt:lpstr>
      <vt:lpstr>'310'!OSRRefD21_1_0x</vt:lpstr>
      <vt:lpstr>'310 &amp; 491'!OSRRefD21_1_0x</vt:lpstr>
      <vt:lpstr>'311'!OSRRefD21_1_0x</vt:lpstr>
      <vt:lpstr>'313'!OSRRefD21_1_0x</vt:lpstr>
      <vt:lpstr>'315'!OSRRefD21_1_0x</vt:lpstr>
      <vt:lpstr>'316'!OSRRefD21_1_0x</vt:lpstr>
      <vt:lpstr>'317'!OSRRefD21_1_0x</vt:lpstr>
      <vt:lpstr>'321'!OSRRefD21_1_0x</vt:lpstr>
      <vt:lpstr>'322'!OSRRefD21_1_0x</vt:lpstr>
      <vt:lpstr>'324'!OSRRefD21_1_0x</vt:lpstr>
      <vt:lpstr>'325'!OSRRefD21_1_0x</vt:lpstr>
      <vt:lpstr>'326'!OSRRefD21_1_0x</vt:lpstr>
      <vt:lpstr>'330'!OSRRefD21_1_0x</vt:lpstr>
      <vt:lpstr>'331'!OSRRefD21_1_0x</vt:lpstr>
      <vt:lpstr>'332'!OSRRefD21_1_0x</vt:lpstr>
      <vt:lpstr>'405'!OSRRefD21_1_0x</vt:lpstr>
      <vt:lpstr>'406'!OSRRefD21_1_0x</vt:lpstr>
      <vt:lpstr>'411'!OSRRefD21_1_0x</vt:lpstr>
      <vt:lpstr>'412'!OSRRefD21_1_0x</vt:lpstr>
      <vt:lpstr>'413'!OSRRefD21_1_0x</vt:lpstr>
      <vt:lpstr>'414'!OSRRefD21_1_0x</vt:lpstr>
      <vt:lpstr>'415'!OSRRefD21_1_0x</vt:lpstr>
      <vt:lpstr>'418'!OSRRefD21_1_0x</vt:lpstr>
      <vt:lpstr>'423'!OSRRefD21_1_0x</vt:lpstr>
      <vt:lpstr>'424'!OSRRefD21_1_0x</vt:lpstr>
      <vt:lpstr>'425'!OSRRefD21_1_0x</vt:lpstr>
      <vt:lpstr>'430'!OSRRefD21_1_0x</vt:lpstr>
      <vt:lpstr>'433'!OSRRefD21_1_0x</vt:lpstr>
      <vt:lpstr>'444'!OSRRefD21_1_0x</vt:lpstr>
      <vt:lpstr>'450'!OSRRefD21_1_0x</vt:lpstr>
      <vt:lpstr>'491'!OSRRefD21_1_0x</vt:lpstr>
      <vt:lpstr>'492'!OSRRefD21_1_0x</vt:lpstr>
      <vt:lpstr>'501'!OSRRefD21_1_0x</vt:lpstr>
      <vt:lpstr>'Div 2'!OSRRefD21_1_0x</vt:lpstr>
      <vt:lpstr>'Div 3'!OSRRefD21_1_0x</vt:lpstr>
      <vt:lpstr>'Div 4'!OSRRefD21_1_0x</vt:lpstr>
      <vt:lpstr>'Div 5'!OSRRefD21_1_0x</vt:lpstr>
      <vt:lpstr>'Div 6'!OSRRefD21_1_0x</vt:lpstr>
      <vt:lpstr>Summary!OSRRefD21_1_0x</vt:lpstr>
      <vt:lpstr>'201'!OSRRefD21_1_1x</vt:lpstr>
      <vt:lpstr>'202'!OSRRefD21_1_1x</vt:lpstr>
      <vt:lpstr>'203'!OSRRefD21_1_1x</vt:lpstr>
      <vt:lpstr>'204'!OSRRefD21_1_1x</vt:lpstr>
      <vt:lpstr>'205'!OSRRefD21_1_1x</vt:lpstr>
      <vt:lpstr>'206'!OSRRefD21_1_1x</vt:lpstr>
      <vt:lpstr>'300'!OSRRefD21_1_1x</vt:lpstr>
      <vt:lpstr>'300 &amp; 317'!OSRRefD21_1_1x</vt:lpstr>
      <vt:lpstr>'301'!OSRRefD21_1_1x</vt:lpstr>
      <vt:lpstr>'307'!OSRRefD21_1_1x</vt:lpstr>
      <vt:lpstr>'308'!OSRRefD21_1_1x</vt:lpstr>
      <vt:lpstr>'309'!OSRRefD21_1_1x</vt:lpstr>
      <vt:lpstr>'310'!OSRRefD21_1_1x</vt:lpstr>
      <vt:lpstr>'310 &amp; 491'!OSRRefD21_1_1x</vt:lpstr>
      <vt:lpstr>'311'!OSRRefD21_1_1x</vt:lpstr>
      <vt:lpstr>'313'!OSRRefD21_1_1x</vt:lpstr>
      <vt:lpstr>'315'!OSRRefD21_1_1x</vt:lpstr>
      <vt:lpstr>'316'!OSRRefD21_1_1x</vt:lpstr>
      <vt:lpstr>'317'!OSRRefD21_1_1x</vt:lpstr>
      <vt:lpstr>'321'!OSRRefD21_1_1x</vt:lpstr>
      <vt:lpstr>'322'!OSRRefD21_1_1x</vt:lpstr>
      <vt:lpstr>'324'!OSRRefD21_1_1x</vt:lpstr>
      <vt:lpstr>'325'!OSRRefD21_1_1x</vt:lpstr>
      <vt:lpstr>'326'!OSRRefD21_1_1x</vt:lpstr>
      <vt:lpstr>'330'!OSRRefD21_1_1x</vt:lpstr>
      <vt:lpstr>'331'!OSRRefD21_1_1x</vt:lpstr>
      <vt:lpstr>'332'!OSRRefD21_1_1x</vt:lpstr>
      <vt:lpstr>'405'!OSRRefD21_1_1x</vt:lpstr>
      <vt:lpstr>'411'!OSRRefD21_1_1x</vt:lpstr>
      <vt:lpstr>'412'!OSRRefD21_1_1x</vt:lpstr>
      <vt:lpstr>'413'!OSRRefD21_1_1x</vt:lpstr>
      <vt:lpstr>'414'!OSRRefD21_1_1x</vt:lpstr>
      <vt:lpstr>'415'!OSRRefD21_1_1x</vt:lpstr>
      <vt:lpstr>'418'!OSRRefD21_1_1x</vt:lpstr>
      <vt:lpstr>'423'!OSRRefD21_1_1x</vt:lpstr>
      <vt:lpstr>'430'!OSRRefD21_1_1x</vt:lpstr>
      <vt:lpstr>'433'!OSRRefD21_1_1x</vt:lpstr>
      <vt:lpstr>'444'!OSRRefD21_1_1x</vt:lpstr>
      <vt:lpstr>'450'!OSRRefD21_1_1x</vt:lpstr>
      <vt:lpstr>'491'!OSRRefD21_1_1x</vt:lpstr>
      <vt:lpstr>'492'!OSRRefD21_1_1x</vt:lpstr>
      <vt:lpstr>'501'!OSRRefD21_1_1x</vt:lpstr>
      <vt:lpstr>'Div 2'!OSRRefD21_1_1x</vt:lpstr>
      <vt:lpstr>'Div 3'!OSRRefD21_1_1x</vt:lpstr>
      <vt:lpstr>'Div 4'!OSRRefD21_1_1x</vt:lpstr>
      <vt:lpstr>'Div 5'!OSRRefD21_1_1x</vt:lpstr>
      <vt:lpstr>'Div 6'!OSRRefD21_1_1x</vt:lpstr>
      <vt:lpstr>Summary!OSRRefD21_1_1x</vt:lpstr>
      <vt:lpstr>'201'!OSRRefD21_1_2x</vt:lpstr>
      <vt:lpstr>'202'!OSRRefD21_1_2x</vt:lpstr>
      <vt:lpstr>'203'!OSRRefD21_1_2x</vt:lpstr>
      <vt:lpstr>'204'!OSRRefD21_1_2x</vt:lpstr>
      <vt:lpstr>'205'!OSRRefD21_1_2x</vt:lpstr>
      <vt:lpstr>'206'!OSRRefD21_1_2x</vt:lpstr>
      <vt:lpstr>'300'!OSRRefD21_1_2x</vt:lpstr>
      <vt:lpstr>'300 &amp; 317'!OSRRefD21_1_2x</vt:lpstr>
      <vt:lpstr>'301'!OSRRefD21_1_2x</vt:lpstr>
      <vt:lpstr>'307'!OSRRefD21_1_2x</vt:lpstr>
      <vt:lpstr>'308'!OSRRefD21_1_2x</vt:lpstr>
      <vt:lpstr>'309'!OSRRefD21_1_2x</vt:lpstr>
      <vt:lpstr>'310'!OSRRefD21_1_2x</vt:lpstr>
      <vt:lpstr>'310 &amp; 491'!OSRRefD21_1_2x</vt:lpstr>
      <vt:lpstr>'311'!OSRRefD21_1_2x</vt:lpstr>
      <vt:lpstr>'313'!OSRRefD21_1_2x</vt:lpstr>
      <vt:lpstr>'315'!OSRRefD21_1_2x</vt:lpstr>
      <vt:lpstr>'316'!OSRRefD21_1_2x</vt:lpstr>
      <vt:lpstr>'317'!OSRRefD21_1_2x</vt:lpstr>
      <vt:lpstr>'321'!OSRRefD21_1_2x</vt:lpstr>
      <vt:lpstr>'322'!OSRRefD21_1_2x</vt:lpstr>
      <vt:lpstr>'324'!OSRRefD21_1_2x</vt:lpstr>
      <vt:lpstr>'325'!OSRRefD21_1_2x</vt:lpstr>
      <vt:lpstr>'326'!OSRRefD21_1_2x</vt:lpstr>
      <vt:lpstr>'330'!OSRRefD21_1_2x</vt:lpstr>
      <vt:lpstr>'331'!OSRRefD21_1_2x</vt:lpstr>
      <vt:lpstr>'332'!OSRRefD21_1_2x</vt:lpstr>
      <vt:lpstr>'405'!OSRRefD21_1_2x</vt:lpstr>
      <vt:lpstr>'411'!OSRRefD21_1_2x</vt:lpstr>
      <vt:lpstr>'412'!OSRRefD21_1_2x</vt:lpstr>
      <vt:lpstr>'413'!OSRRefD21_1_2x</vt:lpstr>
      <vt:lpstr>'414'!OSRRefD21_1_2x</vt:lpstr>
      <vt:lpstr>'415'!OSRRefD21_1_2x</vt:lpstr>
      <vt:lpstr>'418'!OSRRefD21_1_2x</vt:lpstr>
      <vt:lpstr>'423'!OSRRefD21_1_2x</vt:lpstr>
      <vt:lpstr>'430'!OSRRefD21_1_2x</vt:lpstr>
      <vt:lpstr>'433'!OSRRefD21_1_2x</vt:lpstr>
      <vt:lpstr>'444'!OSRRefD21_1_2x</vt:lpstr>
      <vt:lpstr>'450'!OSRRefD21_1_2x</vt:lpstr>
      <vt:lpstr>'491'!OSRRefD21_1_2x</vt:lpstr>
      <vt:lpstr>'492'!OSRRefD21_1_2x</vt:lpstr>
      <vt:lpstr>'501'!OSRRefD21_1_2x</vt:lpstr>
      <vt:lpstr>'Div 2'!OSRRefD21_1_2x</vt:lpstr>
      <vt:lpstr>'Div 3'!OSRRefD21_1_2x</vt:lpstr>
      <vt:lpstr>'Div 4'!OSRRefD21_1_2x</vt:lpstr>
      <vt:lpstr>'Div 5'!OSRRefD21_1_2x</vt:lpstr>
      <vt:lpstr>'Div 6'!OSRRefD21_1_2x</vt:lpstr>
      <vt:lpstr>Summary!OSRRefD21_1_2x</vt:lpstr>
      <vt:lpstr>'201'!OSRRefD21_1_3x</vt:lpstr>
      <vt:lpstr>'202'!OSRRefD21_1_3x</vt:lpstr>
      <vt:lpstr>'203'!OSRRefD21_1_3x</vt:lpstr>
      <vt:lpstr>'204'!OSRRefD21_1_3x</vt:lpstr>
      <vt:lpstr>'205'!OSRRefD21_1_3x</vt:lpstr>
      <vt:lpstr>'206'!OSRRefD21_1_3x</vt:lpstr>
      <vt:lpstr>'300'!OSRRefD21_1_3x</vt:lpstr>
      <vt:lpstr>'300 &amp; 317'!OSRRefD21_1_3x</vt:lpstr>
      <vt:lpstr>'301'!OSRRefD21_1_3x</vt:lpstr>
      <vt:lpstr>'307'!OSRRefD21_1_3x</vt:lpstr>
      <vt:lpstr>'308'!OSRRefD21_1_3x</vt:lpstr>
      <vt:lpstr>'309'!OSRRefD21_1_3x</vt:lpstr>
      <vt:lpstr>'310'!OSRRefD21_1_3x</vt:lpstr>
      <vt:lpstr>'310 &amp; 491'!OSRRefD21_1_3x</vt:lpstr>
      <vt:lpstr>'311'!OSRRefD21_1_3x</vt:lpstr>
      <vt:lpstr>'313'!OSRRefD21_1_3x</vt:lpstr>
      <vt:lpstr>'315'!OSRRefD21_1_3x</vt:lpstr>
      <vt:lpstr>'316'!OSRRefD21_1_3x</vt:lpstr>
      <vt:lpstr>'317'!OSRRefD21_1_3x</vt:lpstr>
      <vt:lpstr>'321'!OSRRefD21_1_3x</vt:lpstr>
      <vt:lpstr>'322'!OSRRefD21_1_3x</vt:lpstr>
      <vt:lpstr>'324'!OSRRefD21_1_3x</vt:lpstr>
      <vt:lpstr>'325'!OSRRefD21_1_3x</vt:lpstr>
      <vt:lpstr>'326'!OSRRefD21_1_3x</vt:lpstr>
      <vt:lpstr>'330'!OSRRefD21_1_3x</vt:lpstr>
      <vt:lpstr>'331'!OSRRefD21_1_3x</vt:lpstr>
      <vt:lpstr>'332'!OSRRefD21_1_3x</vt:lpstr>
      <vt:lpstr>'405'!OSRRefD21_1_3x</vt:lpstr>
      <vt:lpstr>'411'!OSRRefD21_1_3x</vt:lpstr>
      <vt:lpstr>'412'!OSRRefD21_1_3x</vt:lpstr>
      <vt:lpstr>'413'!OSRRefD21_1_3x</vt:lpstr>
      <vt:lpstr>'414'!OSRRefD21_1_3x</vt:lpstr>
      <vt:lpstr>'415'!OSRRefD21_1_3x</vt:lpstr>
      <vt:lpstr>'418'!OSRRefD21_1_3x</vt:lpstr>
      <vt:lpstr>'423'!OSRRefD21_1_3x</vt:lpstr>
      <vt:lpstr>'430'!OSRRefD21_1_3x</vt:lpstr>
      <vt:lpstr>'433'!OSRRefD21_1_3x</vt:lpstr>
      <vt:lpstr>'444'!OSRRefD21_1_3x</vt:lpstr>
      <vt:lpstr>'450'!OSRRefD21_1_3x</vt:lpstr>
      <vt:lpstr>'491'!OSRRefD21_1_3x</vt:lpstr>
      <vt:lpstr>'492'!OSRRefD21_1_3x</vt:lpstr>
      <vt:lpstr>'501'!OSRRefD21_1_3x</vt:lpstr>
      <vt:lpstr>'Div 2'!OSRRefD21_1_3x</vt:lpstr>
      <vt:lpstr>'Div 3'!OSRRefD21_1_3x</vt:lpstr>
      <vt:lpstr>'Div 4'!OSRRefD21_1_3x</vt:lpstr>
      <vt:lpstr>'Div 5'!OSRRefD21_1_3x</vt:lpstr>
      <vt:lpstr>'Div 6'!OSRRefD21_1_3x</vt:lpstr>
      <vt:lpstr>Summary!OSRRefD21_1_3x</vt:lpstr>
      <vt:lpstr>'201'!OSRRefD21_1_4x</vt:lpstr>
      <vt:lpstr>'202'!OSRRefD21_1_4x</vt:lpstr>
      <vt:lpstr>'203'!OSRRefD21_1_4x</vt:lpstr>
      <vt:lpstr>'204'!OSRRefD21_1_4x</vt:lpstr>
      <vt:lpstr>'205'!OSRRefD21_1_4x</vt:lpstr>
      <vt:lpstr>'206'!OSRRefD21_1_4x</vt:lpstr>
      <vt:lpstr>'300'!OSRRefD21_1_4x</vt:lpstr>
      <vt:lpstr>'300 &amp; 317'!OSRRefD21_1_4x</vt:lpstr>
      <vt:lpstr>'301'!OSRRefD21_1_4x</vt:lpstr>
      <vt:lpstr>'307'!OSRRefD21_1_4x</vt:lpstr>
      <vt:lpstr>'308'!OSRRefD21_1_4x</vt:lpstr>
      <vt:lpstr>'309'!OSRRefD21_1_4x</vt:lpstr>
      <vt:lpstr>'310'!OSRRefD21_1_4x</vt:lpstr>
      <vt:lpstr>'310 &amp; 491'!OSRRefD21_1_4x</vt:lpstr>
      <vt:lpstr>'311'!OSRRefD21_1_4x</vt:lpstr>
      <vt:lpstr>'313'!OSRRefD21_1_4x</vt:lpstr>
      <vt:lpstr>'315'!OSRRefD21_1_4x</vt:lpstr>
      <vt:lpstr>'316'!OSRRefD21_1_4x</vt:lpstr>
      <vt:lpstr>'317'!OSRRefD21_1_4x</vt:lpstr>
      <vt:lpstr>'321'!OSRRefD21_1_4x</vt:lpstr>
      <vt:lpstr>'322'!OSRRefD21_1_4x</vt:lpstr>
      <vt:lpstr>'324'!OSRRefD21_1_4x</vt:lpstr>
      <vt:lpstr>'325'!OSRRefD21_1_4x</vt:lpstr>
      <vt:lpstr>'326'!OSRRefD21_1_4x</vt:lpstr>
      <vt:lpstr>'330'!OSRRefD21_1_4x</vt:lpstr>
      <vt:lpstr>'331'!OSRRefD21_1_4x</vt:lpstr>
      <vt:lpstr>'332'!OSRRefD21_1_4x</vt:lpstr>
      <vt:lpstr>'405'!OSRRefD21_1_4x</vt:lpstr>
      <vt:lpstr>'411'!OSRRefD21_1_4x</vt:lpstr>
      <vt:lpstr>'412'!OSRRefD21_1_4x</vt:lpstr>
      <vt:lpstr>'413'!OSRRefD21_1_4x</vt:lpstr>
      <vt:lpstr>'414'!OSRRefD21_1_4x</vt:lpstr>
      <vt:lpstr>'415'!OSRRefD21_1_4x</vt:lpstr>
      <vt:lpstr>'418'!OSRRefD21_1_4x</vt:lpstr>
      <vt:lpstr>'423'!OSRRefD21_1_4x</vt:lpstr>
      <vt:lpstr>'430'!OSRRefD21_1_4x</vt:lpstr>
      <vt:lpstr>'433'!OSRRefD21_1_4x</vt:lpstr>
      <vt:lpstr>'444'!OSRRefD21_1_4x</vt:lpstr>
      <vt:lpstr>'450'!OSRRefD21_1_4x</vt:lpstr>
      <vt:lpstr>'491'!OSRRefD21_1_4x</vt:lpstr>
      <vt:lpstr>'492'!OSRRefD21_1_4x</vt:lpstr>
      <vt:lpstr>'501'!OSRRefD21_1_4x</vt:lpstr>
      <vt:lpstr>'Div 2'!OSRRefD21_1_4x</vt:lpstr>
      <vt:lpstr>'Div 3'!OSRRefD21_1_4x</vt:lpstr>
      <vt:lpstr>'Div 4'!OSRRefD21_1_4x</vt:lpstr>
      <vt:lpstr>'Div 5'!OSRRefD21_1_4x</vt:lpstr>
      <vt:lpstr>'Div 6'!OSRRefD21_1_4x</vt:lpstr>
      <vt:lpstr>Summary!OSRRefD21_1_4x</vt:lpstr>
      <vt:lpstr>'201'!OSRRefD21_1_5x</vt:lpstr>
      <vt:lpstr>'202'!OSRRefD21_1_5x</vt:lpstr>
      <vt:lpstr>'203'!OSRRefD21_1_5x</vt:lpstr>
      <vt:lpstr>'204'!OSRRefD21_1_5x</vt:lpstr>
      <vt:lpstr>'205'!OSRRefD21_1_5x</vt:lpstr>
      <vt:lpstr>'206'!OSRRefD21_1_5x</vt:lpstr>
      <vt:lpstr>'300'!OSRRefD21_1_5x</vt:lpstr>
      <vt:lpstr>'300 &amp; 317'!OSRRefD21_1_5x</vt:lpstr>
      <vt:lpstr>'301'!OSRRefD21_1_5x</vt:lpstr>
      <vt:lpstr>'307'!OSRRefD21_1_5x</vt:lpstr>
      <vt:lpstr>'308'!OSRRefD21_1_5x</vt:lpstr>
      <vt:lpstr>'309'!OSRRefD21_1_5x</vt:lpstr>
      <vt:lpstr>'310'!OSRRefD21_1_5x</vt:lpstr>
      <vt:lpstr>'310 &amp; 491'!OSRRefD21_1_5x</vt:lpstr>
      <vt:lpstr>'311'!OSRRefD21_1_5x</vt:lpstr>
      <vt:lpstr>'313'!OSRRefD21_1_5x</vt:lpstr>
      <vt:lpstr>'315'!OSRRefD21_1_5x</vt:lpstr>
      <vt:lpstr>'316'!OSRRefD21_1_5x</vt:lpstr>
      <vt:lpstr>'317'!OSRRefD21_1_5x</vt:lpstr>
      <vt:lpstr>'321'!OSRRefD21_1_5x</vt:lpstr>
      <vt:lpstr>'322'!OSRRefD21_1_5x</vt:lpstr>
      <vt:lpstr>'324'!OSRRefD21_1_5x</vt:lpstr>
      <vt:lpstr>'325'!OSRRefD21_1_5x</vt:lpstr>
      <vt:lpstr>'326'!OSRRefD21_1_5x</vt:lpstr>
      <vt:lpstr>'330'!OSRRefD21_1_5x</vt:lpstr>
      <vt:lpstr>'331'!OSRRefD21_1_5x</vt:lpstr>
      <vt:lpstr>'332'!OSRRefD21_1_5x</vt:lpstr>
      <vt:lpstr>'405'!OSRRefD21_1_5x</vt:lpstr>
      <vt:lpstr>'411'!OSRRefD21_1_5x</vt:lpstr>
      <vt:lpstr>'412'!OSRRefD21_1_5x</vt:lpstr>
      <vt:lpstr>'413'!OSRRefD21_1_5x</vt:lpstr>
      <vt:lpstr>'414'!OSRRefD21_1_5x</vt:lpstr>
      <vt:lpstr>'415'!OSRRefD21_1_5x</vt:lpstr>
      <vt:lpstr>'418'!OSRRefD21_1_5x</vt:lpstr>
      <vt:lpstr>'423'!OSRRefD21_1_5x</vt:lpstr>
      <vt:lpstr>'430'!OSRRefD21_1_5x</vt:lpstr>
      <vt:lpstr>'433'!OSRRefD21_1_5x</vt:lpstr>
      <vt:lpstr>'444'!OSRRefD21_1_5x</vt:lpstr>
      <vt:lpstr>'450'!OSRRefD21_1_5x</vt:lpstr>
      <vt:lpstr>'491'!OSRRefD21_1_5x</vt:lpstr>
      <vt:lpstr>'492'!OSRRefD21_1_5x</vt:lpstr>
      <vt:lpstr>'501'!OSRRefD21_1_5x</vt:lpstr>
      <vt:lpstr>'Div 2'!OSRRefD21_1_5x</vt:lpstr>
      <vt:lpstr>'Div 3'!OSRRefD21_1_5x</vt:lpstr>
      <vt:lpstr>'Div 4'!OSRRefD21_1_5x</vt:lpstr>
      <vt:lpstr>'Div 5'!OSRRefD21_1_5x</vt:lpstr>
      <vt:lpstr>'Div 6'!OSRRefD21_1_5x</vt:lpstr>
      <vt:lpstr>Summary!OSRRefD21_1_5x</vt:lpstr>
      <vt:lpstr>'201'!OSRRefD21_1_6x</vt:lpstr>
      <vt:lpstr>'202'!OSRRefD21_1_6x</vt:lpstr>
      <vt:lpstr>'203'!OSRRefD21_1_6x</vt:lpstr>
      <vt:lpstr>'204'!OSRRefD21_1_6x</vt:lpstr>
      <vt:lpstr>'205'!OSRRefD21_1_6x</vt:lpstr>
      <vt:lpstr>'206'!OSRRefD21_1_6x</vt:lpstr>
      <vt:lpstr>'300'!OSRRefD21_1_6x</vt:lpstr>
      <vt:lpstr>'300 &amp; 317'!OSRRefD21_1_6x</vt:lpstr>
      <vt:lpstr>'301'!OSRRefD21_1_6x</vt:lpstr>
      <vt:lpstr>'307'!OSRRefD21_1_6x</vt:lpstr>
      <vt:lpstr>'308'!OSRRefD21_1_6x</vt:lpstr>
      <vt:lpstr>'309'!OSRRefD21_1_6x</vt:lpstr>
      <vt:lpstr>'310'!OSRRefD21_1_6x</vt:lpstr>
      <vt:lpstr>'310 &amp; 491'!OSRRefD21_1_6x</vt:lpstr>
      <vt:lpstr>'311'!OSRRefD21_1_6x</vt:lpstr>
      <vt:lpstr>'313'!OSRRefD21_1_6x</vt:lpstr>
      <vt:lpstr>'315'!OSRRefD21_1_6x</vt:lpstr>
      <vt:lpstr>'316'!OSRRefD21_1_6x</vt:lpstr>
      <vt:lpstr>'317'!OSRRefD21_1_6x</vt:lpstr>
      <vt:lpstr>'321'!OSRRefD21_1_6x</vt:lpstr>
      <vt:lpstr>'322'!OSRRefD21_1_6x</vt:lpstr>
      <vt:lpstr>'324'!OSRRefD21_1_6x</vt:lpstr>
      <vt:lpstr>'325'!OSRRefD21_1_6x</vt:lpstr>
      <vt:lpstr>'326'!OSRRefD21_1_6x</vt:lpstr>
      <vt:lpstr>'330'!OSRRefD21_1_6x</vt:lpstr>
      <vt:lpstr>'331'!OSRRefD21_1_6x</vt:lpstr>
      <vt:lpstr>'332'!OSRRefD21_1_6x</vt:lpstr>
      <vt:lpstr>'405'!OSRRefD21_1_6x</vt:lpstr>
      <vt:lpstr>'411'!OSRRefD21_1_6x</vt:lpstr>
      <vt:lpstr>'412'!OSRRefD21_1_6x</vt:lpstr>
      <vt:lpstr>'413'!OSRRefD21_1_6x</vt:lpstr>
      <vt:lpstr>'414'!OSRRefD21_1_6x</vt:lpstr>
      <vt:lpstr>'415'!OSRRefD21_1_6x</vt:lpstr>
      <vt:lpstr>'418'!OSRRefD21_1_6x</vt:lpstr>
      <vt:lpstr>'423'!OSRRefD21_1_6x</vt:lpstr>
      <vt:lpstr>'430'!OSRRefD21_1_6x</vt:lpstr>
      <vt:lpstr>'433'!OSRRefD21_1_6x</vt:lpstr>
      <vt:lpstr>'444'!OSRRefD21_1_6x</vt:lpstr>
      <vt:lpstr>'450'!OSRRefD21_1_6x</vt:lpstr>
      <vt:lpstr>'491'!OSRRefD21_1_6x</vt:lpstr>
      <vt:lpstr>'492'!OSRRefD21_1_6x</vt:lpstr>
      <vt:lpstr>'501'!OSRRefD21_1_6x</vt:lpstr>
      <vt:lpstr>'Div 2'!OSRRefD21_1_6x</vt:lpstr>
      <vt:lpstr>'Div 3'!OSRRefD21_1_6x</vt:lpstr>
      <vt:lpstr>'Div 4'!OSRRefD21_1_6x</vt:lpstr>
      <vt:lpstr>'Div 5'!OSRRefD21_1_6x</vt:lpstr>
      <vt:lpstr>'Div 6'!OSRRefD21_1_6x</vt:lpstr>
      <vt:lpstr>Summary!OSRRefD21_1_6x</vt:lpstr>
      <vt:lpstr>'201'!OSRRefD21_1_7x</vt:lpstr>
      <vt:lpstr>'202'!OSRRefD21_1_7x</vt:lpstr>
      <vt:lpstr>'203'!OSRRefD21_1_7x</vt:lpstr>
      <vt:lpstr>'204'!OSRRefD21_1_7x</vt:lpstr>
      <vt:lpstr>'205'!OSRRefD21_1_7x</vt:lpstr>
      <vt:lpstr>'206'!OSRRefD21_1_7x</vt:lpstr>
      <vt:lpstr>'300'!OSRRefD21_1_7x</vt:lpstr>
      <vt:lpstr>'300 &amp; 317'!OSRRefD21_1_7x</vt:lpstr>
      <vt:lpstr>'301'!OSRRefD21_1_7x</vt:lpstr>
      <vt:lpstr>'307'!OSRRefD21_1_7x</vt:lpstr>
      <vt:lpstr>'308'!OSRRefD21_1_7x</vt:lpstr>
      <vt:lpstr>'309'!OSRRefD21_1_7x</vt:lpstr>
      <vt:lpstr>'310'!OSRRefD21_1_7x</vt:lpstr>
      <vt:lpstr>'310 &amp; 491'!OSRRefD21_1_7x</vt:lpstr>
      <vt:lpstr>'311'!OSRRefD21_1_7x</vt:lpstr>
      <vt:lpstr>'313'!OSRRefD21_1_7x</vt:lpstr>
      <vt:lpstr>'315'!OSRRefD21_1_7x</vt:lpstr>
      <vt:lpstr>'316'!OSRRefD21_1_7x</vt:lpstr>
      <vt:lpstr>'317'!OSRRefD21_1_7x</vt:lpstr>
      <vt:lpstr>'321'!OSRRefD21_1_7x</vt:lpstr>
      <vt:lpstr>'322'!OSRRefD21_1_7x</vt:lpstr>
      <vt:lpstr>'324'!OSRRefD21_1_7x</vt:lpstr>
      <vt:lpstr>'325'!OSRRefD21_1_7x</vt:lpstr>
      <vt:lpstr>'326'!OSRRefD21_1_7x</vt:lpstr>
      <vt:lpstr>'330'!OSRRefD21_1_7x</vt:lpstr>
      <vt:lpstr>'331'!OSRRefD21_1_7x</vt:lpstr>
      <vt:lpstr>'332'!OSRRefD21_1_7x</vt:lpstr>
      <vt:lpstr>'405'!OSRRefD21_1_7x</vt:lpstr>
      <vt:lpstr>'411'!OSRRefD21_1_7x</vt:lpstr>
      <vt:lpstr>'412'!OSRRefD21_1_7x</vt:lpstr>
      <vt:lpstr>'413'!OSRRefD21_1_7x</vt:lpstr>
      <vt:lpstr>'414'!OSRRefD21_1_7x</vt:lpstr>
      <vt:lpstr>'415'!OSRRefD21_1_7x</vt:lpstr>
      <vt:lpstr>'418'!OSRRefD21_1_7x</vt:lpstr>
      <vt:lpstr>'423'!OSRRefD21_1_7x</vt:lpstr>
      <vt:lpstr>'430'!OSRRefD21_1_7x</vt:lpstr>
      <vt:lpstr>'433'!OSRRefD21_1_7x</vt:lpstr>
      <vt:lpstr>'444'!OSRRefD21_1_7x</vt:lpstr>
      <vt:lpstr>'450'!OSRRefD21_1_7x</vt:lpstr>
      <vt:lpstr>'491'!OSRRefD21_1_7x</vt:lpstr>
      <vt:lpstr>'492'!OSRRefD21_1_7x</vt:lpstr>
      <vt:lpstr>'501'!OSRRefD21_1_7x</vt:lpstr>
      <vt:lpstr>'Div 2'!OSRRefD21_1_7x</vt:lpstr>
      <vt:lpstr>'Div 3'!OSRRefD21_1_7x</vt:lpstr>
      <vt:lpstr>'Div 4'!OSRRefD21_1_7x</vt:lpstr>
      <vt:lpstr>'Div 5'!OSRRefD21_1_7x</vt:lpstr>
      <vt:lpstr>'Div 6'!OSRRefD21_1_7x</vt:lpstr>
      <vt:lpstr>Summary!OSRRefD21_1_7x</vt:lpstr>
      <vt:lpstr>'201'!OSRRefD21_1_8x</vt:lpstr>
      <vt:lpstr>'202'!OSRRefD21_1_8x</vt:lpstr>
      <vt:lpstr>'203'!OSRRefD21_1_8x</vt:lpstr>
      <vt:lpstr>'204'!OSRRefD21_1_8x</vt:lpstr>
      <vt:lpstr>'205'!OSRRefD21_1_8x</vt:lpstr>
      <vt:lpstr>'206'!OSRRefD21_1_8x</vt:lpstr>
      <vt:lpstr>'300'!OSRRefD21_1_8x</vt:lpstr>
      <vt:lpstr>'300 &amp; 317'!OSRRefD21_1_8x</vt:lpstr>
      <vt:lpstr>'301'!OSRRefD21_1_8x</vt:lpstr>
      <vt:lpstr>'307'!OSRRefD21_1_8x</vt:lpstr>
      <vt:lpstr>'308'!OSRRefD21_1_8x</vt:lpstr>
      <vt:lpstr>'309'!OSRRefD21_1_8x</vt:lpstr>
      <vt:lpstr>'310'!OSRRefD21_1_8x</vt:lpstr>
      <vt:lpstr>'310 &amp; 491'!OSRRefD21_1_8x</vt:lpstr>
      <vt:lpstr>'311'!OSRRefD21_1_8x</vt:lpstr>
      <vt:lpstr>'313'!OSRRefD21_1_8x</vt:lpstr>
      <vt:lpstr>'315'!OSRRefD21_1_8x</vt:lpstr>
      <vt:lpstr>'316'!OSRRefD21_1_8x</vt:lpstr>
      <vt:lpstr>'317'!OSRRefD21_1_8x</vt:lpstr>
      <vt:lpstr>'321'!OSRRefD21_1_8x</vt:lpstr>
      <vt:lpstr>'322'!OSRRefD21_1_8x</vt:lpstr>
      <vt:lpstr>'324'!OSRRefD21_1_8x</vt:lpstr>
      <vt:lpstr>'325'!OSRRefD21_1_8x</vt:lpstr>
      <vt:lpstr>'326'!OSRRefD21_1_8x</vt:lpstr>
      <vt:lpstr>'330'!OSRRefD21_1_8x</vt:lpstr>
      <vt:lpstr>'331'!OSRRefD21_1_8x</vt:lpstr>
      <vt:lpstr>'332'!OSRRefD21_1_8x</vt:lpstr>
      <vt:lpstr>'405'!OSRRefD21_1_8x</vt:lpstr>
      <vt:lpstr>'411'!OSRRefD21_1_8x</vt:lpstr>
      <vt:lpstr>'412'!OSRRefD21_1_8x</vt:lpstr>
      <vt:lpstr>'413'!OSRRefD21_1_8x</vt:lpstr>
      <vt:lpstr>'414'!OSRRefD21_1_8x</vt:lpstr>
      <vt:lpstr>'415'!OSRRefD21_1_8x</vt:lpstr>
      <vt:lpstr>'418'!OSRRefD21_1_8x</vt:lpstr>
      <vt:lpstr>'423'!OSRRefD21_1_8x</vt:lpstr>
      <vt:lpstr>'430'!OSRRefD21_1_8x</vt:lpstr>
      <vt:lpstr>'433'!OSRRefD21_1_8x</vt:lpstr>
      <vt:lpstr>'444'!OSRRefD21_1_8x</vt:lpstr>
      <vt:lpstr>'450'!OSRRefD21_1_8x</vt:lpstr>
      <vt:lpstr>'491'!OSRRefD21_1_8x</vt:lpstr>
      <vt:lpstr>'492'!OSRRefD21_1_8x</vt:lpstr>
      <vt:lpstr>'501'!OSRRefD21_1_8x</vt:lpstr>
      <vt:lpstr>'Div 2'!OSRRefD21_1_8x</vt:lpstr>
      <vt:lpstr>'Div 3'!OSRRefD21_1_8x</vt:lpstr>
      <vt:lpstr>'Div 4'!OSRRefD21_1_8x</vt:lpstr>
      <vt:lpstr>'Div 5'!OSRRefD21_1_8x</vt:lpstr>
      <vt:lpstr>'Div 6'!OSRRefD21_1_8x</vt:lpstr>
      <vt:lpstr>Summary!OSRRefD21_1_8x</vt:lpstr>
      <vt:lpstr>'201'!OSRRefD21_1_9x</vt:lpstr>
      <vt:lpstr>'202'!OSRRefD21_1_9x</vt:lpstr>
      <vt:lpstr>'203'!OSRRefD21_1_9x</vt:lpstr>
      <vt:lpstr>'204'!OSRRefD21_1_9x</vt:lpstr>
      <vt:lpstr>'205'!OSRRefD21_1_9x</vt:lpstr>
      <vt:lpstr>'206'!OSRRefD21_1_9x</vt:lpstr>
      <vt:lpstr>'300'!OSRRefD21_1_9x</vt:lpstr>
      <vt:lpstr>'300 &amp; 317'!OSRRefD21_1_9x</vt:lpstr>
      <vt:lpstr>'301'!OSRRefD21_1_9x</vt:lpstr>
      <vt:lpstr>'307'!OSRRefD21_1_9x</vt:lpstr>
      <vt:lpstr>'308'!OSRRefD21_1_9x</vt:lpstr>
      <vt:lpstr>'309'!OSRRefD21_1_9x</vt:lpstr>
      <vt:lpstr>'310'!OSRRefD21_1_9x</vt:lpstr>
      <vt:lpstr>'310 &amp; 491'!OSRRefD21_1_9x</vt:lpstr>
      <vt:lpstr>'311'!OSRRefD21_1_9x</vt:lpstr>
      <vt:lpstr>'313'!OSRRefD21_1_9x</vt:lpstr>
      <vt:lpstr>'315'!OSRRefD21_1_9x</vt:lpstr>
      <vt:lpstr>'316'!OSRRefD21_1_9x</vt:lpstr>
      <vt:lpstr>'317'!OSRRefD21_1_9x</vt:lpstr>
      <vt:lpstr>'321'!OSRRefD21_1_9x</vt:lpstr>
      <vt:lpstr>'322'!OSRRefD21_1_9x</vt:lpstr>
      <vt:lpstr>'324'!OSRRefD21_1_9x</vt:lpstr>
      <vt:lpstr>'325'!OSRRefD21_1_9x</vt:lpstr>
      <vt:lpstr>'326'!OSRRefD21_1_9x</vt:lpstr>
      <vt:lpstr>'330'!OSRRefD21_1_9x</vt:lpstr>
      <vt:lpstr>'331'!OSRRefD21_1_9x</vt:lpstr>
      <vt:lpstr>'332'!OSRRefD21_1_9x</vt:lpstr>
      <vt:lpstr>'405'!OSRRefD21_1_9x</vt:lpstr>
      <vt:lpstr>'411'!OSRRefD21_1_9x</vt:lpstr>
      <vt:lpstr>'412'!OSRRefD21_1_9x</vt:lpstr>
      <vt:lpstr>'413'!OSRRefD21_1_9x</vt:lpstr>
      <vt:lpstr>'414'!OSRRefD21_1_9x</vt:lpstr>
      <vt:lpstr>'415'!OSRRefD21_1_9x</vt:lpstr>
      <vt:lpstr>'418'!OSRRefD21_1_9x</vt:lpstr>
      <vt:lpstr>'423'!OSRRefD21_1_9x</vt:lpstr>
      <vt:lpstr>'430'!OSRRefD21_1_9x</vt:lpstr>
      <vt:lpstr>'433'!OSRRefD21_1_9x</vt:lpstr>
      <vt:lpstr>'444'!OSRRefD21_1_9x</vt:lpstr>
      <vt:lpstr>'450'!OSRRefD21_1_9x</vt:lpstr>
      <vt:lpstr>'491'!OSRRefD21_1_9x</vt:lpstr>
      <vt:lpstr>'492'!OSRRefD21_1_9x</vt:lpstr>
      <vt:lpstr>'501'!OSRRefD21_1_9x</vt:lpstr>
      <vt:lpstr>'Div 2'!OSRRefD21_1_9x</vt:lpstr>
      <vt:lpstr>'Div 3'!OSRRefD21_1_9x</vt:lpstr>
      <vt:lpstr>'Div 4'!OSRRefD21_1_9x</vt:lpstr>
      <vt:lpstr>'Div 5'!OSRRefD21_1_9x</vt:lpstr>
      <vt:lpstr>'Div 6'!OSRRefD21_1_9x</vt:lpstr>
      <vt:lpstr>Summary!OSRRefD21_1_9x</vt:lpstr>
      <vt:lpstr>'201'!OSRRefD21_10_0x</vt:lpstr>
      <vt:lpstr>'202'!OSRRefD21_10_0x</vt:lpstr>
      <vt:lpstr>'203'!OSRRefD21_10_0x</vt:lpstr>
      <vt:lpstr>'300'!OSRRefD21_10_0x</vt:lpstr>
      <vt:lpstr>'300 &amp; 317'!OSRRefD21_10_0x</vt:lpstr>
      <vt:lpstr>'301'!OSRRefD21_10_0x</vt:lpstr>
      <vt:lpstr>'307'!OSRRefD21_10_0x</vt:lpstr>
      <vt:lpstr>'308'!OSRRefD21_10_0x</vt:lpstr>
      <vt:lpstr>'310'!OSRRefD21_10_0x</vt:lpstr>
      <vt:lpstr>'310 &amp; 491'!OSRRefD21_10_0x</vt:lpstr>
      <vt:lpstr>'311'!OSRRefD21_10_0x</vt:lpstr>
      <vt:lpstr>'315'!OSRRefD21_10_0x</vt:lpstr>
      <vt:lpstr>'316'!OSRRefD21_10_0x</vt:lpstr>
      <vt:lpstr>'317'!OSRRefD21_10_0x</vt:lpstr>
      <vt:lpstr>'321'!OSRRefD21_10_0x</vt:lpstr>
      <vt:lpstr>'322'!OSRRefD21_10_0x</vt:lpstr>
      <vt:lpstr>'325'!OSRRefD21_10_0x</vt:lpstr>
      <vt:lpstr>'326'!OSRRefD21_10_0x</vt:lpstr>
      <vt:lpstr>'330'!OSRRefD21_10_0x</vt:lpstr>
      <vt:lpstr>'331'!OSRRefD21_10_0x</vt:lpstr>
      <vt:lpstr>'332'!OSRRefD21_10_0x</vt:lpstr>
      <vt:lpstr>'405'!OSRRefD21_10_0x</vt:lpstr>
      <vt:lpstr>'411'!OSRRefD21_10_0x</vt:lpstr>
      <vt:lpstr>'412'!OSRRefD21_10_0x</vt:lpstr>
      <vt:lpstr>'413'!OSRRefD21_10_0x</vt:lpstr>
      <vt:lpstr>'414'!OSRRefD21_10_0x</vt:lpstr>
      <vt:lpstr>'415'!OSRRefD21_10_0x</vt:lpstr>
      <vt:lpstr>'418'!OSRRefD21_10_0x</vt:lpstr>
      <vt:lpstr>'433'!OSRRefD21_10_0x</vt:lpstr>
      <vt:lpstr>'444'!OSRRefD21_10_0x</vt:lpstr>
      <vt:lpstr>'450'!OSRRefD21_10_0x</vt:lpstr>
      <vt:lpstr>'491'!OSRRefD21_10_0x</vt:lpstr>
      <vt:lpstr>'492'!OSRRefD21_10_0x</vt:lpstr>
      <vt:lpstr>'501'!OSRRefD21_10_0x</vt:lpstr>
      <vt:lpstr>'Div 2'!OSRRefD21_10_0x</vt:lpstr>
      <vt:lpstr>'Div 3'!OSRRefD21_10_0x</vt:lpstr>
      <vt:lpstr>'Div 4'!OSRRefD21_10_0x</vt:lpstr>
      <vt:lpstr>'Div 5'!OSRRefD21_10_0x</vt:lpstr>
      <vt:lpstr>'Div 6'!OSRRefD21_10_0x</vt:lpstr>
      <vt:lpstr>Summary!OSRRefD21_10_0x</vt:lpstr>
      <vt:lpstr>'201'!OSRRefD21_10_1x</vt:lpstr>
      <vt:lpstr>'300'!OSRRefD21_10_1x</vt:lpstr>
      <vt:lpstr>'300 &amp; 317'!OSRRefD21_10_1x</vt:lpstr>
      <vt:lpstr>'307'!OSRRefD21_10_1x</vt:lpstr>
      <vt:lpstr>'308'!OSRRefD21_10_1x</vt:lpstr>
      <vt:lpstr>'311'!OSRRefD21_10_1x</vt:lpstr>
      <vt:lpstr>'317'!OSRRefD21_10_1x</vt:lpstr>
      <vt:lpstr>'321'!OSRRefD21_10_1x</vt:lpstr>
      <vt:lpstr>'330'!OSRRefD21_10_1x</vt:lpstr>
      <vt:lpstr>'411'!OSRRefD21_10_1x</vt:lpstr>
      <vt:lpstr>'412'!OSRRefD21_10_1x</vt:lpstr>
      <vt:lpstr>'413'!OSRRefD21_10_1x</vt:lpstr>
      <vt:lpstr>'418'!OSRRefD21_10_1x</vt:lpstr>
      <vt:lpstr>'Div 3'!OSRRefD21_10_1x</vt:lpstr>
      <vt:lpstr>'Div 6'!OSRRefD21_10_1x</vt:lpstr>
      <vt:lpstr>Summary!OSRRefD21_10_1x</vt:lpstr>
      <vt:lpstr>'201'!OSRRefD21_10_2x</vt:lpstr>
      <vt:lpstr>'307'!OSRRefD21_10_2x</vt:lpstr>
      <vt:lpstr>'317'!OSRRefD21_10_2x</vt:lpstr>
      <vt:lpstr>'330'!OSRRefD21_10_2x</vt:lpstr>
      <vt:lpstr>'411'!OSRRefD21_10_2x</vt:lpstr>
      <vt:lpstr>'412'!OSRRefD21_10_2x</vt:lpstr>
      <vt:lpstr>'413'!OSRRefD21_10_2x</vt:lpstr>
      <vt:lpstr>'Div 6'!OSRRefD21_10_2x</vt:lpstr>
      <vt:lpstr>'307'!OSRRefD21_10_3x</vt:lpstr>
      <vt:lpstr>'330'!OSRRefD21_10_3x</vt:lpstr>
      <vt:lpstr>'411'!OSRRefD21_10_3x</vt:lpstr>
      <vt:lpstr>'412'!OSRRefD21_10_3x</vt:lpstr>
      <vt:lpstr>'413'!OSRRefD21_10_3x</vt:lpstr>
      <vt:lpstr>'413'!OSRRefD21_10_4x</vt:lpstr>
      <vt:lpstr>'413'!OSRRefD21_10_5x</vt:lpstr>
      <vt:lpstr>'413'!OSRRefD21_10_6x</vt:lpstr>
      <vt:lpstr>'201'!OSRRefD21_10x_0</vt:lpstr>
      <vt:lpstr>'202'!OSRRefD21_10x_0</vt:lpstr>
      <vt:lpstr>'203'!OSRRefD21_10x_0</vt:lpstr>
      <vt:lpstr>'300'!OSRRefD21_10x_0</vt:lpstr>
      <vt:lpstr>'300 &amp; 317'!OSRRefD21_10x_0</vt:lpstr>
      <vt:lpstr>'301'!OSRRefD21_10x_0</vt:lpstr>
      <vt:lpstr>'307'!OSRRefD21_10x_0</vt:lpstr>
      <vt:lpstr>'308'!OSRRefD21_10x_0</vt:lpstr>
      <vt:lpstr>'310'!OSRRefD21_10x_0</vt:lpstr>
      <vt:lpstr>'310 &amp; 491'!OSRRefD21_10x_0</vt:lpstr>
      <vt:lpstr>'311'!OSRRefD21_10x_0</vt:lpstr>
      <vt:lpstr>'315'!OSRRefD21_10x_0</vt:lpstr>
      <vt:lpstr>'316'!OSRRefD21_10x_0</vt:lpstr>
      <vt:lpstr>'317'!OSRRefD21_10x_0</vt:lpstr>
      <vt:lpstr>'321'!OSRRefD21_10x_0</vt:lpstr>
      <vt:lpstr>'322'!OSRRefD21_10x_0</vt:lpstr>
      <vt:lpstr>'325'!OSRRefD21_10x_0</vt:lpstr>
      <vt:lpstr>'326'!OSRRefD21_10x_0</vt:lpstr>
      <vt:lpstr>'330'!OSRRefD21_10x_0</vt:lpstr>
      <vt:lpstr>'331'!OSRRefD21_10x_0</vt:lpstr>
      <vt:lpstr>'332'!OSRRefD21_10x_0</vt:lpstr>
      <vt:lpstr>'405'!OSRRefD21_10x_0</vt:lpstr>
      <vt:lpstr>'411'!OSRRefD21_10x_0</vt:lpstr>
      <vt:lpstr>'412'!OSRRefD21_10x_0</vt:lpstr>
      <vt:lpstr>'413'!OSRRefD21_10x_0</vt:lpstr>
      <vt:lpstr>'414'!OSRRefD21_10x_0</vt:lpstr>
      <vt:lpstr>'415'!OSRRefD21_10x_0</vt:lpstr>
      <vt:lpstr>'418'!OSRRefD21_10x_0</vt:lpstr>
      <vt:lpstr>'433'!OSRRefD21_10x_0</vt:lpstr>
      <vt:lpstr>'444'!OSRRefD21_10x_0</vt:lpstr>
      <vt:lpstr>'450'!OSRRefD21_10x_0</vt:lpstr>
      <vt:lpstr>'491'!OSRRefD21_10x_0</vt:lpstr>
      <vt:lpstr>'492'!OSRRefD21_10x_0</vt:lpstr>
      <vt:lpstr>'501'!OSRRefD21_10x_0</vt:lpstr>
      <vt:lpstr>'Div 2'!OSRRefD21_10x_0</vt:lpstr>
      <vt:lpstr>'Div 3'!OSRRefD21_10x_0</vt:lpstr>
      <vt:lpstr>'Div 4'!OSRRefD21_10x_0</vt:lpstr>
      <vt:lpstr>'Div 5'!OSRRefD21_10x_0</vt:lpstr>
      <vt:lpstr>'Div 6'!OSRRefD21_10x_0</vt:lpstr>
      <vt:lpstr>Summary!OSRRefD21_10x_0</vt:lpstr>
      <vt:lpstr>'201'!OSRRefD21_10x_1</vt:lpstr>
      <vt:lpstr>'202'!OSRRefD21_10x_1</vt:lpstr>
      <vt:lpstr>'203'!OSRRefD21_10x_1</vt:lpstr>
      <vt:lpstr>'300'!OSRRefD21_10x_1</vt:lpstr>
      <vt:lpstr>'300 &amp; 317'!OSRRefD21_10x_1</vt:lpstr>
      <vt:lpstr>'301'!OSRRefD21_10x_1</vt:lpstr>
      <vt:lpstr>'307'!OSRRefD21_10x_1</vt:lpstr>
      <vt:lpstr>'308'!OSRRefD21_10x_1</vt:lpstr>
      <vt:lpstr>'310'!OSRRefD21_10x_1</vt:lpstr>
      <vt:lpstr>'310 &amp; 491'!OSRRefD21_10x_1</vt:lpstr>
      <vt:lpstr>'311'!OSRRefD21_10x_1</vt:lpstr>
      <vt:lpstr>'315'!OSRRefD21_10x_1</vt:lpstr>
      <vt:lpstr>'316'!OSRRefD21_10x_1</vt:lpstr>
      <vt:lpstr>'317'!OSRRefD21_10x_1</vt:lpstr>
      <vt:lpstr>'321'!OSRRefD21_10x_1</vt:lpstr>
      <vt:lpstr>'322'!OSRRefD21_10x_1</vt:lpstr>
      <vt:lpstr>'325'!OSRRefD21_10x_1</vt:lpstr>
      <vt:lpstr>'326'!OSRRefD21_10x_1</vt:lpstr>
      <vt:lpstr>'330'!OSRRefD21_10x_1</vt:lpstr>
      <vt:lpstr>'331'!OSRRefD21_10x_1</vt:lpstr>
      <vt:lpstr>'332'!OSRRefD21_10x_1</vt:lpstr>
      <vt:lpstr>'405'!OSRRefD21_10x_1</vt:lpstr>
      <vt:lpstr>'411'!OSRRefD21_10x_1</vt:lpstr>
      <vt:lpstr>'412'!OSRRefD21_10x_1</vt:lpstr>
      <vt:lpstr>'413'!OSRRefD21_10x_1</vt:lpstr>
      <vt:lpstr>'414'!OSRRefD21_10x_1</vt:lpstr>
      <vt:lpstr>'415'!OSRRefD21_10x_1</vt:lpstr>
      <vt:lpstr>'418'!OSRRefD21_10x_1</vt:lpstr>
      <vt:lpstr>'433'!OSRRefD21_10x_1</vt:lpstr>
      <vt:lpstr>'444'!OSRRefD21_10x_1</vt:lpstr>
      <vt:lpstr>'450'!OSRRefD21_10x_1</vt:lpstr>
      <vt:lpstr>'491'!OSRRefD21_10x_1</vt:lpstr>
      <vt:lpstr>'492'!OSRRefD21_10x_1</vt:lpstr>
      <vt:lpstr>'501'!OSRRefD21_10x_1</vt:lpstr>
      <vt:lpstr>'Div 2'!OSRRefD21_10x_1</vt:lpstr>
      <vt:lpstr>'Div 3'!OSRRefD21_10x_1</vt:lpstr>
      <vt:lpstr>'Div 4'!OSRRefD21_10x_1</vt:lpstr>
      <vt:lpstr>'Div 5'!OSRRefD21_10x_1</vt:lpstr>
      <vt:lpstr>'Div 6'!OSRRefD21_10x_1</vt:lpstr>
      <vt:lpstr>Summary!OSRRefD21_10x_1</vt:lpstr>
      <vt:lpstr>'201'!OSRRefD21_10x_2</vt:lpstr>
      <vt:lpstr>'202'!OSRRefD21_10x_2</vt:lpstr>
      <vt:lpstr>'203'!OSRRefD21_10x_2</vt:lpstr>
      <vt:lpstr>'300'!OSRRefD21_10x_2</vt:lpstr>
      <vt:lpstr>'300 &amp; 317'!OSRRefD21_10x_2</vt:lpstr>
      <vt:lpstr>'301'!OSRRefD21_10x_2</vt:lpstr>
      <vt:lpstr>'307'!OSRRefD21_10x_2</vt:lpstr>
      <vt:lpstr>'308'!OSRRefD21_10x_2</vt:lpstr>
      <vt:lpstr>'310'!OSRRefD21_10x_2</vt:lpstr>
      <vt:lpstr>'310 &amp; 491'!OSRRefD21_10x_2</vt:lpstr>
      <vt:lpstr>'311'!OSRRefD21_10x_2</vt:lpstr>
      <vt:lpstr>'315'!OSRRefD21_10x_2</vt:lpstr>
      <vt:lpstr>'316'!OSRRefD21_10x_2</vt:lpstr>
      <vt:lpstr>'317'!OSRRefD21_10x_2</vt:lpstr>
      <vt:lpstr>'321'!OSRRefD21_10x_2</vt:lpstr>
      <vt:lpstr>'322'!OSRRefD21_10x_2</vt:lpstr>
      <vt:lpstr>'325'!OSRRefD21_10x_2</vt:lpstr>
      <vt:lpstr>'326'!OSRRefD21_10x_2</vt:lpstr>
      <vt:lpstr>'330'!OSRRefD21_10x_2</vt:lpstr>
      <vt:lpstr>'331'!OSRRefD21_10x_2</vt:lpstr>
      <vt:lpstr>'332'!OSRRefD21_10x_2</vt:lpstr>
      <vt:lpstr>'405'!OSRRefD21_10x_2</vt:lpstr>
      <vt:lpstr>'411'!OSRRefD21_10x_2</vt:lpstr>
      <vt:lpstr>'412'!OSRRefD21_10x_2</vt:lpstr>
      <vt:lpstr>'413'!OSRRefD21_10x_2</vt:lpstr>
      <vt:lpstr>'414'!OSRRefD21_10x_2</vt:lpstr>
      <vt:lpstr>'415'!OSRRefD21_10x_2</vt:lpstr>
      <vt:lpstr>'418'!OSRRefD21_10x_2</vt:lpstr>
      <vt:lpstr>'433'!OSRRefD21_10x_2</vt:lpstr>
      <vt:lpstr>'444'!OSRRefD21_10x_2</vt:lpstr>
      <vt:lpstr>'450'!OSRRefD21_10x_2</vt:lpstr>
      <vt:lpstr>'491'!OSRRefD21_10x_2</vt:lpstr>
      <vt:lpstr>'492'!OSRRefD21_10x_2</vt:lpstr>
      <vt:lpstr>'501'!OSRRefD21_10x_2</vt:lpstr>
      <vt:lpstr>'Div 2'!OSRRefD21_10x_2</vt:lpstr>
      <vt:lpstr>'Div 3'!OSRRefD21_10x_2</vt:lpstr>
      <vt:lpstr>'Div 4'!OSRRefD21_10x_2</vt:lpstr>
      <vt:lpstr>'Div 5'!OSRRefD21_10x_2</vt:lpstr>
      <vt:lpstr>'Div 6'!OSRRefD21_10x_2</vt:lpstr>
      <vt:lpstr>Summary!OSRRefD21_10x_2</vt:lpstr>
      <vt:lpstr>'201'!OSRRefD21_10x_3</vt:lpstr>
      <vt:lpstr>'202'!OSRRefD21_10x_3</vt:lpstr>
      <vt:lpstr>'203'!OSRRefD21_10x_3</vt:lpstr>
      <vt:lpstr>'300'!OSRRefD21_10x_3</vt:lpstr>
      <vt:lpstr>'300 &amp; 317'!OSRRefD21_10x_3</vt:lpstr>
      <vt:lpstr>'301'!OSRRefD21_10x_3</vt:lpstr>
      <vt:lpstr>'307'!OSRRefD21_10x_3</vt:lpstr>
      <vt:lpstr>'308'!OSRRefD21_10x_3</vt:lpstr>
      <vt:lpstr>'310'!OSRRefD21_10x_3</vt:lpstr>
      <vt:lpstr>'310 &amp; 491'!OSRRefD21_10x_3</vt:lpstr>
      <vt:lpstr>'311'!OSRRefD21_10x_3</vt:lpstr>
      <vt:lpstr>'315'!OSRRefD21_10x_3</vt:lpstr>
      <vt:lpstr>'316'!OSRRefD21_10x_3</vt:lpstr>
      <vt:lpstr>'317'!OSRRefD21_10x_3</vt:lpstr>
      <vt:lpstr>'321'!OSRRefD21_10x_3</vt:lpstr>
      <vt:lpstr>'322'!OSRRefD21_10x_3</vt:lpstr>
      <vt:lpstr>'325'!OSRRefD21_10x_3</vt:lpstr>
      <vt:lpstr>'326'!OSRRefD21_10x_3</vt:lpstr>
      <vt:lpstr>'330'!OSRRefD21_10x_3</vt:lpstr>
      <vt:lpstr>'331'!OSRRefD21_10x_3</vt:lpstr>
      <vt:lpstr>'332'!OSRRefD21_10x_3</vt:lpstr>
      <vt:lpstr>'405'!OSRRefD21_10x_3</vt:lpstr>
      <vt:lpstr>'411'!OSRRefD21_10x_3</vt:lpstr>
      <vt:lpstr>'412'!OSRRefD21_10x_3</vt:lpstr>
      <vt:lpstr>'413'!OSRRefD21_10x_3</vt:lpstr>
      <vt:lpstr>'414'!OSRRefD21_10x_3</vt:lpstr>
      <vt:lpstr>'415'!OSRRefD21_10x_3</vt:lpstr>
      <vt:lpstr>'418'!OSRRefD21_10x_3</vt:lpstr>
      <vt:lpstr>'433'!OSRRefD21_10x_3</vt:lpstr>
      <vt:lpstr>'444'!OSRRefD21_10x_3</vt:lpstr>
      <vt:lpstr>'450'!OSRRefD21_10x_3</vt:lpstr>
      <vt:lpstr>'491'!OSRRefD21_10x_3</vt:lpstr>
      <vt:lpstr>'492'!OSRRefD21_10x_3</vt:lpstr>
      <vt:lpstr>'501'!OSRRefD21_10x_3</vt:lpstr>
      <vt:lpstr>'Div 2'!OSRRefD21_10x_3</vt:lpstr>
      <vt:lpstr>'Div 3'!OSRRefD21_10x_3</vt:lpstr>
      <vt:lpstr>'Div 4'!OSRRefD21_10x_3</vt:lpstr>
      <vt:lpstr>'Div 5'!OSRRefD21_10x_3</vt:lpstr>
      <vt:lpstr>'Div 6'!OSRRefD21_10x_3</vt:lpstr>
      <vt:lpstr>Summary!OSRRefD21_10x_3</vt:lpstr>
      <vt:lpstr>'201'!OSRRefD21_11_0x</vt:lpstr>
      <vt:lpstr>'202'!OSRRefD21_11_0x</vt:lpstr>
      <vt:lpstr>'203'!OSRRefD21_11_0x</vt:lpstr>
      <vt:lpstr>'300'!OSRRefD21_11_0x</vt:lpstr>
      <vt:lpstr>'300 &amp; 317'!OSRRefD21_11_0x</vt:lpstr>
      <vt:lpstr>'301'!OSRRefD21_11_0x</vt:lpstr>
      <vt:lpstr>'307'!OSRRefD21_11_0x</vt:lpstr>
      <vt:lpstr>'308'!OSRRefD21_11_0x</vt:lpstr>
      <vt:lpstr>'310'!OSRRefD21_11_0x</vt:lpstr>
      <vt:lpstr>'310 &amp; 491'!OSRRefD21_11_0x</vt:lpstr>
      <vt:lpstr>'311'!OSRRefD21_11_0x</vt:lpstr>
      <vt:lpstr>'315'!OSRRefD21_11_0x</vt:lpstr>
      <vt:lpstr>'316'!OSRRefD21_11_0x</vt:lpstr>
      <vt:lpstr>'317'!OSRRefD21_11_0x</vt:lpstr>
      <vt:lpstr>'321'!OSRRefD21_11_0x</vt:lpstr>
      <vt:lpstr>'325'!OSRRefD21_11_0x</vt:lpstr>
      <vt:lpstr>'326'!OSRRefD21_11_0x</vt:lpstr>
      <vt:lpstr>'330'!OSRRefD21_11_0x</vt:lpstr>
      <vt:lpstr>'331'!OSRRefD21_11_0x</vt:lpstr>
      <vt:lpstr>'332'!OSRRefD21_11_0x</vt:lpstr>
      <vt:lpstr>'405'!OSRRefD21_11_0x</vt:lpstr>
      <vt:lpstr>'411'!OSRRefD21_11_0x</vt:lpstr>
      <vt:lpstr>'412'!OSRRefD21_11_0x</vt:lpstr>
      <vt:lpstr>'413'!OSRRefD21_11_0x</vt:lpstr>
      <vt:lpstr>'414'!OSRRefD21_11_0x</vt:lpstr>
      <vt:lpstr>'415'!OSRRefD21_11_0x</vt:lpstr>
      <vt:lpstr>'418'!OSRRefD21_11_0x</vt:lpstr>
      <vt:lpstr>'433'!OSRRefD21_11_0x</vt:lpstr>
      <vt:lpstr>'444'!OSRRefD21_11_0x</vt:lpstr>
      <vt:lpstr>'450'!OSRRefD21_11_0x</vt:lpstr>
      <vt:lpstr>'491'!OSRRefD21_11_0x</vt:lpstr>
      <vt:lpstr>'492'!OSRRefD21_11_0x</vt:lpstr>
      <vt:lpstr>'501'!OSRRefD21_11_0x</vt:lpstr>
      <vt:lpstr>'Div 2'!OSRRefD21_11_0x</vt:lpstr>
      <vt:lpstr>'Div 3'!OSRRefD21_11_0x</vt:lpstr>
      <vt:lpstr>'Div 4'!OSRRefD21_11_0x</vt:lpstr>
      <vt:lpstr>'Div 5'!OSRRefD21_11_0x</vt:lpstr>
      <vt:lpstr>'Div 6'!OSRRefD21_11_0x</vt:lpstr>
      <vt:lpstr>Summary!OSRRefD21_11_0x</vt:lpstr>
      <vt:lpstr>'203'!OSRRefD21_11_1x</vt:lpstr>
      <vt:lpstr>'300'!OSRRefD21_11_1x</vt:lpstr>
      <vt:lpstr>'300 &amp; 317'!OSRRefD21_11_1x</vt:lpstr>
      <vt:lpstr>'307'!OSRRefD21_11_1x</vt:lpstr>
      <vt:lpstr>'308'!OSRRefD21_11_1x</vt:lpstr>
      <vt:lpstr>'311'!OSRRefD21_11_1x</vt:lpstr>
      <vt:lpstr>'330'!OSRRefD21_11_1x</vt:lpstr>
      <vt:lpstr>'405'!OSRRefD21_11_1x</vt:lpstr>
      <vt:lpstr>'412'!OSRRefD21_11_1x</vt:lpstr>
      <vt:lpstr>'413'!OSRRefD21_11_1x</vt:lpstr>
      <vt:lpstr>'415'!OSRRefD21_11_1x</vt:lpstr>
      <vt:lpstr>'418'!OSRRefD21_11_1x</vt:lpstr>
      <vt:lpstr>'433'!OSRRefD21_11_1x</vt:lpstr>
      <vt:lpstr>'444'!OSRRefD21_11_1x</vt:lpstr>
      <vt:lpstr>'501'!OSRRefD21_11_1x</vt:lpstr>
      <vt:lpstr>'Div 3'!OSRRefD21_11_1x</vt:lpstr>
      <vt:lpstr>'Div 5'!OSRRefD21_11_1x</vt:lpstr>
      <vt:lpstr>Summary!OSRRefD21_11_1x</vt:lpstr>
      <vt:lpstr>'203'!OSRRefD21_11_2x</vt:lpstr>
      <vt:lpstr>'308'!OSRRefD21_11_2x</vt:lpstr>
      <vt:lpstr>'311'!OSRRefD21_11_2x</vt:lpstr>
      <vt:lpstr>'405'!OSRRefD21_11_2x</vt:lpstr>
      <vt:lpstr>'412'!OSRRefD21_11_2x</vt:lpstr>
      <vt:lpstr>'418'!OSRRefD21_11_2x</vt:lpstr>
      <vt:lpstr>'433'!OSRRefD21_11_2x</vt:lpstr>
      <vt:lpstr>'444'!OSRRefD21_11_2x</vt:lpstr>
      <vt:lpstr>'405'!OSRRefD21_11_3x</vt:lpstr>
      <vt:lpstr>'412'!OSRRefD21_11_3x</vt:lpstr>
      <vt:lpstr>'418'!OSRRefD21_11_3x</vt:lpstr>
      <vt:lpstr>'412'!OSRRefD21_11_4x</vt:lpstr>
      <vt:lpstr>'418'!OSRRefD21_11_4x</vt:lpstr>
      <vt:lpstr>'418'!OSRRefD21_11_5x</vt:lpstr>
      <vt:lpstr>'418'!OSRRefD21_11_6x</vt:lpstr>
      <vt:lpstr>'418'!OSRRefD21_11_7x</vt:lpstr>
      <vt:lpstr>'418'!OSRRefD21_11_8x</vt:lpstr>
      <vt:lpstr>'201'!OSRRefD21_11x_0</vt:lpstr>
      <vt:lpstr>'202'!OSRRefD21_11x_0</vt:lpstr>
      <vt:lpstr>'203'!OSRRefD21_11x_0</vt:lpstr>
      <vt:lpstr>'300'!OSRRefD21_11x_0</vt:lpstr>
      <vt:lpstr>'300 &amp; 317'!OSRRefD21_11x_0</vt:lpstr>
      <vt:lpstr>'301'!OSRRefD21_11x_0</vt:lpstr>
      <vt:lpstr>'307'!OSRRefD21_11x_0</vt:lpstr>
      <vt:lpstr>'308'!OSRRefD21_11x_0</vt:lpstr>
      <vt:lpstr>'310'!OSRRefD21_11x_0</vt:lpstr>
      <vt:lpstr>'310 &amp; 491'!OSRRefD21_11x_0</vt:lpstr>
      <vt:lpstr>'311'!OSRRefD21_11x_0</vt:lpstr>
      <vt:lpstr>'315'!OSRRefD21_11x_0</vt:lpstr>
      <vt:lpstr>'316'!OSRRefD21_11x_0</vt:lpstr>
      <vt:lpstr>'317'!OSRRefD21_11x_0</vt:lpstr>
      <vt:lpstr>'321'!OSRRefD21_11x_0</vt:lpstr>
      <vt:lpstr>'325'!OSRRefD21_11x_0</vt:lpstr>
      <vt:lpstr>'326'!OSRRefD21_11x_0</vt:lpstr>
      <vt:lpstr>'330'!OSRRefD21_11x_0</vt:lpstr>
      <vt:lpstr>'331'!OSRRefD21_11x_0</vt:lpstr>
      <vt:lpstr>'332'!OSRRefD21_11x_0</vt:lpstr>
      <vt:lpstr>'405'!OSRRefD21_11x_0</vt:lpstr>
      <vt:lpstr>'411'!OSRRefD21_11x_0</vt:lpstr>
      <vt:lpstr>'412'!OSRRefD21_11x_0</vt:lpstr>
      <vt:lpstr>'413'!OSRRefD21_11x_0</vt:lpstr>
      <vt:lpstr>'414'!OSRRefD21_11x_0</vt:lpstr>
      <vt:lpstr>'415'!OSRRefD21_11x_0</vt:lpstr>
      <vt:lpstr>'418'!OSRRefD21_11x_0</vt:lpstr>
      <vt:lpstr>'433'!OSRRefD21_11x_0</vt:lpstr>
      <vt:lpstr>'444'!OSRRefD21_11x_0</vt:lpstr>
      <vt:lpstr>'450'!OSRRefD21_11x_0</vt:lpstr>
      <vt:lpstr>'491'!OSRRefD21_11x_0</vt:lpstr>
      <vt:lpstr>'492'!OSRRefD21_11x_0</vt:lpstr>
      <vt:lpstr>'501'!OSRRefD21_11x_0</vt:lpstr>
      <vt:lpstr>'Div 2'!OSRRefD21_11x_0</vt:lpstr>
      <vt:lpstr>'Div 3'!OSRRefD21_11x_0</vt:lpstr>
      <vt:lpstr>'Div 4'!OSRRefD21_11x_0</vt:lpstr>
      <vt:lpstr>'Div 5'!OSRRefD21_11x_0</vt:lpstr>
      <vt:lpstr>'Div 6'!OSRRefD21_11x_0</vt:lpstr>
      <vt:lpstr>Summary!OSRRefD21_11x_0</vt:lpstr>
      <vt:lpstr>'201'!OSRRefD21_11x_1</vt:lpstr>
      <vt:lpstr>'202'!OSRRefD21_11x_1</vt:lpstr>
      <vt:lpstr>'203'!OSRRefD21_11x_1</vt:lpstr>
      <vt:lpstr>'300'!OSRRefD21_11x_1</vt:lpstr>
      <vt:lpstr>'300 &amp; 317'!OSRRefD21_11x_1</vt:lpstr>
      <vt:lpstr>'301'!OSRRefD21_11x_1</vt:lpstr>
      <vt:lpstr>'307'!OSRRefD21_11x_1</vt:lpstr>
      <vt:lpstr>'308'!OSRRefD21_11x_1</vt:lpstr>
      <vt:lpstr>'310'!OSRRefD21_11x_1</vt:lpstr>
      <vt:lpstr>'310 &amp; 491'!OSRRefD21_11x_1</vt:lpstr>
      <vt:lpstr>'311'!OSRRefD21_11x_1</vt:lpstr>
      <vt:lpstr>'315'!OSRRefD21_11x_1</vt:lpstr>
      <vt:lpstr>'316'!OSRRefD21_11x_1</vt:lpstr>
      <vt:lpstr>'317'!OSRRefD21_11x_1</vt:lpstr>
      <vt:lpstr>'321'!OSRRefD21_11x_1</vt:lpstr>
      <vt:lpstr>'325'!OSRRefD21_11x_1</vt:lpstr>
      <vt:lpstr>'326'!OSRRefD21_11x_1</vt:lpstr>
      <vt:lpstr>'330'!OSRRefD21_11x_1</vt:lpstr>
      <vt:lpstr>'331'!OSRRefD21_11x_1</vt:lpstr>
      <vt:lpstr>'332'!OSRRefD21_11x_1</vt:lpstr>
      <vt:lpstr>'405'!OSRRefD21_11x_1</vt:lpstr>
      <vt:lpstr>'411'!OSRRefD21_11x_1</vt:lpstr>
      <vt:lpstr>'412'!OSRRefD21_11x_1</vt:lpstr>
      <vt:lpstr>'413'!OSRRefD21_11x_1</vt:lpstr>
      <vt:lpstr>'414'!OSRRefD21_11x_1</vt:lpstr>
      <vt:lpstr>'415'!OSRRefD21_11x_1</vt:lpstr>
      <vt:lpstr>'418'!OSRRefD21_11x_1</vt:lpstr>
      <vt:lpstr>'433'!OSRRefD21_11x_1</vt:lpstr>
      <vt:lpstr>'444'!OSRRefD21_11x_1</vt:lpstr>
      <vt:lpstr>'450'!OSRRefD21_11x_1</vt:lpstr>
      <vt:lpstr>'491'!OSRRefD21_11x_1</vt:lpstr>
      <vt:lpstr>'492'!OSRRefD21_11x_1</vt:lpstr>
      <vt:lpstr>'501'!OSRRefD21_11x_1</vt:lpstr>
      <vt:lpstr>'Div 2'!OSRRefD21_11x_1</vt:lpstr>
      <vt:lpstr>'Div 3'!OSRRefD21_11x_1</vt:lpstr>
      <vt:lpstr>'Div 4'!OSRRefD21_11x_1</vt:lpstr>
      <vt:lpstr>'Div 5'!OSRRefD21_11x_1</vt:lpstr>
      <vt:lpstr>'Div 6'!OSRRefD21_11x_1</vt:lpstr>
      <vt:lpstr>Summary!OSRRefD21_11x_1</vt:lpstr>
      <vt:lpstr>'201'!OSRRefD21_11x_2</vt:lpstr>
      <vt:lpstr>'202'!OSRRefD21_11x_2</vt:lpstr>
      <vt:lpstr>'203'!OSRRefD21_11x_2</vt:lpstr>
      <vt:lpstr>'300'!OSRRefD21_11x_2</vt:lpstr>
      <vt:lpstr>'300 &amp; 317'!OSRRefD21_11x_2</vt:lpstr>
      <vt:lpstr>'301'!OSRRefD21_11x_2</vt:lpstr>
      <vt:lpstr>'307'!OSRRefD21_11x_2</vt:lpstr>
      <vt:lpstr>'308'!OSRRefD21_11x_2</vt:lpstr>
      <vt:lpstr>'310'!OSRRefD21_11x_2</vt:lpstr>
      <vt:lpstr>'310 &amp; 491'!OSRRefD21_11x_2</vt:lpstr>
      <vt:lpstr>'311'!OSRRefD21_11x_2</vt:lpstr>
      <vt:lpstr>'315'!OSRRefD21_11x_2</vt:lpstr>
      <vt:lpstr>'316'!OSRRefD21_11x_2</vt:lpstr>
      <vt:lpstr>'317'!OSRRefD21_11x_2</vt:lpstr>
      <vt:lpstr>'321'!OSRRefD21_11x_2</vt:lpstr>
      <vt:lpstr>'325'!OSRRefD21_11x_2</vt:lpstr>
      <vt:lpstr>'326'!OSRRefD21_11x_2</vt:lpstr>
      <vt:lpstr>'330'!OSRRefD21_11x_2</vt:lpstr>
      <vt:lpstr>'331'!OSRRefD21_11x_2</vt:lpstr>
      <vt:lpstr>'332'!OSRRefD21_11x_2</vt:lpstr>
      <vt:lpstr>'405'!OSRRefD21_11x_2</vt:lpstr>
      <vt:lpstr>'411'!OSRRefD21_11x_2</vt:lpstr>
      <vt:lpstr>'412'!OSRRefD21_11x_2</vt:lpstr>
      <vt:lpstr>'413'!OSRRefD21_11x_2</vt:lpstr>
      <vt:lpstr>'414'!OSRRefD21_11x_2</vt:lpstr>
      <vt:lpstr>'415'!OSRRefD21_11x_2</vt:lpstr>
      <vt:lpstr>'418'!OSRRefD21_11x_2</vt:lpstr>
      <vt:lpstr>'433'!OSRRefD21_11x_2</vt:lpstr>
      <vt:lpstr>'444'!OSRRefD21_11x_2</vt:lpstr>
      <vt:lpstr>'450'!OSRRefD21_11x_2</vt:lpstr>
      <vt:lpstr>'491'!OSRRefD21_11x_2</vt:lpstr>
      <vt:lpstr>'492'!OSRRefD21_11x_2</vt:lpstr>
      <vt:lpstr>'501'!OSRRefD21_11x_2</vt:lpstr>
      <vt:lpstr>'Div 2'!OSRRefD21_11x_2</vt:lpstr>
      <vt:lpstr>'Div 3'!OSRRefD21_11x_2</vt:lpstr>
      <vt:lpstr>'Div 4'!OSRRefD21_11x_2</vt:lpstr>
      <vt:lpstr>'Div 5'!OSRRefD21_11x_2</vt:lpstr>
      <vt:lpstr>'Div 6'!OSRRefD21_11x_2</vt:lpstr>
      <vt:lpstr>Summary!OSRRefD21_11x_2</vt:lpstr>
      <vt:lpstr>'201'!OSRRefD21_11x_3</vt:lpstr>
      <vt:lpstr>'202'!OSRRefD21_11x_3</vt:lpstr>
      <vt:lpstr>'203'!OSRRefD21_11x_3</vt:lpstr>
      <vt:lpstr>'300'!OSRRefD21_11x_3</vt:lpstr>
      <vt:lpstr>'300 &amp; 317'!OSRRefD21_11x_3</vt:lpstr>
      <vt:lpstr>'301'!OSRRefD21_11x_3</vt:lpstr>
      <vt:lpstr>'307'!OSRRefD21_11x_3</vt:lpstr>
      <vt:lpstr>'308'!OSRRefD21_11x_3</vt:lpstr>
      <vt:lpstr>'310'!OSRRefD21_11x_3</vt:lpstr>
      <vt:lpstr>'310 &amp; 491'!OSRRefD21_11x_3</vt:lpstr>
      <vt:lpstr>'311'!OSRRefD21_11x_3</vt:lpstr>
      <vt:lpstr>'315'!OSRRefD21_11x_3</vt:lpstr>
      <vt:lpstr>'316'!OSRRefD21_11x_3</vt:lpstr>
      <vt:lpstr>'317'!OSRRefD21_11x_3</vt:lpstr>
      <vt:lpstr>'321'!OSRRefD21_11x_3</vt:lpstr>
      <vt:lpstr>'325'!OSRRefD21_11x_3</vt:lpstr>
      <vt:lpstr>'326'!OSRRefD21_11x_3</vt:lpstr>
      <vt:lpstr>'330'!OSRRefD21_11x_3</vt:lpstr>
      <vt:lpstr>'331'!OSRRefD21_11x_3</vt:lpstr>
      <vt:lpstr>'332'!OSRRefD21_11x_3</vt:lpstr>
      <vt:lpstr>'405'!OSRRefD21_11x_3</vt:lpstr>
      <vt:lpstr>'411'!OSRRefD21_11x_3</vt:lpstr>
      <vt:lpstr>'412'!OSRRefD21_11x_3</vt:lpstr>
      <vt:lpstr>'413'!OSRRefD21_11x_3</vt:lpstr>
      <vt:lpstr>'414'!OSRRefD21_11x_3</vt:lpstr>
      <vt:lpstr>'415'!OSRRefD21_11x_3</vt:lpstr>
      <vt:lpstr>'418'!OSRRefD21_11x_3</vt:lpstr>
      <vt:lpstr>'433'!OSRRefD21_11x_3</vt:lpstr>
      <vt:lpstr>'444'!OSRRefD21_11x_3</vt:lpstr>
      <vt:lpstr>'450'!OSRRefD21_11x_3</vt:lpstr>
      <vt:lpstr>'491'!OSRRefD21_11x_3</vt:lpstr>
      <vt:lpstr>'492'!OSRRefD21_11x_3</vt:lpstr>
      <vt:lpstr>'501'!OSRRefD21_11x_3</vt:lpstr>
      <vt:lpstr>'Div 2'!OSRRefD21_11x_3</vt:lpstr>
      <vt:lpstr>'Div 3'!OSRRefD21_11x_3</vt:lpstr>
      <vt:lpstr>'Div 4'!OSRRefD21_11x_3</vt:lpstr>
      <vt:lpstr>'Div 5'!OSRRefD21_11x_3</vt:lpstr>
      <vt:lpstr>'Div 6'!OSRRefD21_11x_3</vt:lpstr>
      <vt:lpstr>Summary!OSRRefD21_11x_3</vt:lpstr>
      <vt:lpstr>'201'!OSRRefD21_12_0x</vt:lpstr>
      <vt:lpstr>'202'!OSRRefD21_12_0x</vt:lpstr>
      <vt:lpstr>'203'!OSRRefD21_12_0x</vt:lpstr>
      <vt:lpstr>'300'!OSRRefD21_12_0x</vt:lpstr>
      <vt:lpstr>'300 &amp; 317'!OSRRefD21_12_0x</vt:lpstr>
      <vt:lpstr>'301'!OSRRefD21_12_0x</vt:lpstr>
      <vt:lpstr>'307'!OSRRefD21_12_0x</vt:lpstr>
      <vt:lpstr>'308'!OSRRefD21_12_0x</vt:lpstr>
      <vt:lpstr>'310'!OSRRefD21_12_0x</vt:lpstr>
      <vt:lpstr>'310 &amp; 491'!OSRRefD21_12_0x</vt:lpstr>
      <vt:lpstr>'311'!OSRRefD21_12_0x</vt:lpstr>
      <vt:lpstr>'315'!OSRRefD21_12_0x</vt:lpstr>
      <vt:lpstr>'317'!OSRRefD21_12_0x</vt:lpstr>
      <vt:lpstr>'321'!OSRRefD21_12_0x</vt:lpstr>
      <vt:lpstr>'325'!OSRRefD21_12_0x</vt:lpstr>
      <vt:lpstr>'326'!OSRRefD21_12_0x</vt:lpstr>
      <vt:lpstr>'330'!OSRRefD21_12_0x</vt:lpstr>
      <vt:lpstr>'331'!OSRRefD21_12_0x</vt:lpstr>
      <vt:lpstr>'405'!OSRRefD21_12_0x</vt:lpstr>
      <vt:lpstr>'411'!OSRRefD21_12_0x</vt:lpstr>
      <vt:lpstr>'412'!OSRRefD21_12_0x</vt:lpstr>
      <vt:lpstr>'414'!OSRRefD21_12_0x</vt:lpstr>
      <vt:lpstr>'415'!OSRRefD21_12_0x</vt:lpstr>
      <vt:lpstr>'418'!OSRRefD21_12_0x</vt:lpstr>
      <vt:lpstr>'433'!OSRRefD21_12_0x</vt:lpstr>
      <vt:lpstr>'444'!OSRRefD21_12_0x</vt:lpstr>
      <vt:lpstr>'450'!OSRRefD21_12_0x</vt:lpstr>
      <vt:lpstr>'491'!OSRRefD21_12_0x</vt:lpstr>
      <vt:lpstr>'492'!OSRRefD21_12_0x</vt:lpstr>
      <vt:lpstr>'501'!OSRRefD21_12_0x</vt:lpstr>
      <vt:lpstr>'Div 2'!OSRRefD21_12_0x</vt:lpstr>
      <vt:lpstr>'Div 3'!OSRRefD21_12_0x</vt:lpstr>
      <vt:lpstr>'Div 4'!OSRRefD21_12_0x</vt:lpstr>
      <vt:lpstr>'Div 5'!OSRRefD21_12_0x</vt:lpstr>
      <vt:lpstr>'Div 6'!OSRRefD21_12_0x</vt:lpstr>
      <vt:lpstr>Summary!OSRRefD21_12_0x</vt:lpstr>
      <vt:lpstr>'308'!OSRRefD21_12_1x</vt:lpstr>
      <vt:lpstr>'311'!OSRRefD21_12_1x</vt:lpstr>
      <vt:lpstr>'315'!OSRRefD21_12_1x</vt:lpstr>
      <vt:lpstr>'325'!OSRRefD21_12_1x</vt:lpstr>
      <vt:lpstr>'326'!OSRRefD21_12_1x</vt:lpstr>
      <vt:lpstr>'411'!OSRRefD21_12_1x</vt:lpstr>
      <vt:lpstr>'412'!OSRRefD21_12_1x</vt:lpstr>
      <vt:lpstr>'414'!OSRRefD21_12_1x</vt:lpstr>
      <vt:lpstr>'415'!OSRRefD21_12_1x</vt:lpstr>
      <vt:lpstr>'418'!OSRRefD21_12_1x</vt:lpstr>
      <vt:lpstr>'433'!OSRRefD21_12_1x</vt:lpstr>
      <vt:lpstr>'444'!OSRRefD21_12_1x</vt:lpstr>
      <vt:lpstr>'492'!OSRRefD21_12_1x</vt:lpstr>
      <vt:lpstr>'Div 2'!OSRRefD21_12_1x</vt:lpstr>
      <vt:lpstr>'315'!OSRRefD21_12_2x</vt:lpstr>
      <vt:lpstr>'325'!OSRRefD21_12_2x</vt:lpstr>
      <vt:lpstr>'411'!OSRRefD21_12_2x</vt:lpstr>
      <vt:lpstr>'414'!OSRRefD21_12_2x</vt:lpstr>
      <vt:lpstr>'415'!OSRRefD21_12_2x</vt:lpstr>
      <vt:lpstr>'433'!OSRRefD21_12_2x</vt:lpstr>
      <vt:lpstr>'444'!OSRRefD21_12_2x</vt:lpstr>
      <vt:lpstr>'492'!OSRRefD21_12_2x</vt:lpstr>
      <vt:lpstr>'Div 2'!OSRRefD21_12_2x</vt:lpstr>
      <vt:lpstr>'325'!OSRRefD21_12_3x</vt:lpstr>
      <vt:lpstr>'411'!OSRRefD21_12_3x</vt:lpstr>
      <vt:lpstr>'415'!OSRRefD21_12_3x</vt:lpstr>
      <vt:lpstr>'433'!OSRRefD21_12_3x</vt:lpstr>
      <vt:lpstr>'Div 2'!OSRRefD21_12_3x</vt:lpstr>
      <vt:lpstr>'325'!OSRRefD21_12_4x</vt:lpstr>
      <vt:lpstr>'411'!OSRRefD21_12_4x</vt:lpstr>
      <vt:lpstr>'411'!OSRRefD21_12_5x</vt:lpstr>
      <vt:lpstr>'201'!OSRRefD21_12x_0</vt:lpstr>
      <vt:lpstr>'202'!OSRRefD21_12x_0</vt:lpstr>
      <vt:lpstr>'203'!OSRRefD21_12x_0</vt:lpstr>
      <vt:lpstr>'300'!OSRRefD21_12x_0</vt:lpstr>
      <vt:lpstr>'300 &amp; 317'!OSRRefD21_12x_0</vt:lpstr>
      <vt:lpstr>'301'!OSRRefD21_12x_0</vt:lpstr>
      <vt:lpstr>'307'!OSRRefD21_12x_0</vt:lpstr>
      <vt:lpstr>'308'!OSRRefD21_12x_0</vt:lpstr>
      <vt:lpstr>'310'!OSRRefD21_12x_0</vt:lpstr>
      <vt:lpstr>'310 &amp; 491'!OSRRefD21_12x_0</vt:lpstr>
      <vt:lpstr>'311'!OSRRefD21_12x_0</vt:lpstr>
      <vt:lpstr>'315'!OSRRefD21_12x_0</vt:lpstr>
      <vt:lpstr>'317'!OSRRefD21_12x_0</vt:lpstr>
      <vt:lpstr>'321'!OSRRefD21_12x_0</vt:lpstr>
      <vt:lpstr>'325'!OSRRefD21_12x_0</vt:lpstr>
      <vt:lpstr>'326'!OSRRefD21_12x_0</vt:lpstr>
      <vt:lpstr>'330'!OSRRefD21_12x_0</vt:lpstr>
      <vt:lpstr>'331'!OSRRefD21_12x_0</vt:lpstr>
      <vt:lpstr>'405'!OSRRefD21_12x_0</vt:lpstr>
      <vt:lpstr>'411'!OSRRefD21_12x_0</vt:lpstr>
      <vt:lpstr>'412'!OSRRefD21_12x_0</vt:lpstr>
      <vt:lpstr>'414'!OSRRefD21_12x_0</vt:lpstr>
      <vt:lpstr>'415'!OSRRefD21_12x_0</vt:lpstr>
      <vt:lpstr>'418'!OSRRefD21_12x_0</vt:lpstr>
      <vt:lpstr>'433'!OSRRefD21_12x_0</vt:lpstr>
      <vt:lpstr>'444'!OSRRefD21_12x_0</vt:lpstr>
      <vt:lpstr>'450'!OSRRefD21_12x_0</vt:lpstr>
      <vt:lpstr>'491'!OSRRefD21_12x_0</vt:lpstr>
      <vt:lpstr>'492'!OSRRefD21_12x_0</vt:lpstr>
      <vt:lpstr>'501'!OSRRefD21_12x_0</vt:lpstr>
      <vt:lpstr>'Div 2'!OSRRefD21_12x_0</vt:lpstr>
      <vt:lpstr>'Div 3'!OSRRefD21_12x_0</vt:lpstr>
      <vt:lpstr>'Div 4'!OSRRefD21_12x_0</vt:lpstr>
      <vt:lpstr>'Div 5'!OSRRefD21_12x_0</vt:lpstr>
      <vt:lpstr>'Div 6'!OSRRefD21_12x_0</vt:lpstr>
      <vt:lpstr>Summary!OSRRefD21_12x_0</vt:lpstr>
      <vt:lpstr>'201'!OSRRefD21_12x_1</vt:lpstr>
      <vt:lpstr>'202'!OSRRefD21_12x_1</vt:lpstr>
      <vt:lpstr>'203'!OSRRefD21_12x_1</vt:lpstr>
      <vt:lpstr>'300'!OSRRefD21_12x_1</vt:lpstr>
      <vt:lpstr>'300 &amp; 317'!OSRRefD21_12x_1</vt:lpstr>
      <vt:lpstr>'301'!OSRRefD21_12x_1</vt:lpstr>
      <vt:lpstr>'307'!OSRRefD21_12x_1</vt:lpstr>
      <vt:lpstr>'308'!OSRRefD21_12x_1</vt:lpstr>
      <vt:lpstr>'310'!OSRRefD21_12x_1</vt:lpstr>
      <vt:lpstr>'310 &amp; 491'!OSRRefD21_12x_1</vt:lpstr>
      <vt:lpstr>'311'!OSRRefD21_12x_1</vt:lpstr>
      <vt:lpstr>'315'!OSRRefD21_12x_1</vt:lpstr>
      <vt:lpstr>'317'!OSRRefD21_12x_1</vt:lpstr>
      <vt:lpstr>'321'!OSRRefD21_12x_1</vt:lpstr>
      <vt:lpstr>'325'!OSRRefD21_12x_1</vt:lpstr>
      <vt:lpstr>'326'!OSRRefD21_12x_1</vt:lpstr>
      <vt:lpstr>'330'!OSRRefD21_12x_1</vt:lpstr>
      <vt:lpstr>'331'!OSRRefD21_12x_1</vt:lpstr>
      <vt:lpstr>'405'!OSRRefD21_12x_1</vt:lpstr>
      <vt:lpstr>'411'!OSRRefD21_12x_1</vt:lpstr>
      <vt:lpstr>'412'!OSRRefD21_12x_1</vt:lpstr>
      <vt:lpstr>'414'!OSRRefD21_12x_1</vt:lpstr>
      <vt:lpstr>'415'!OSRRefD21_12x_1</vt:lpstr>
      <vt:lpstr>'418'!OSRRefD21_12x_1</vt:lpstr>
      <vt:lpstr>'433'!OSRRefD21_12x_1</vt:lpstr>
      <vt:lpstr>'444'!OSRRefD21_12x_1</vt:lpstr>
      <vt:lpstr>'450'!OSRRefD21_12x_1</vt:lpstr>
      <vt:lpstr>'491'!OSRRefD21_12x_1</vt:lpstr>
      <vt:lpstr>'492'!OSRRefD21_12x_1</vt:lpstr>
      <vt:lpstr>'501'!OSRRefD21_12x_1</vt:lpstr>
      <vt:lpstr>'Div 2'!OSRRefD21_12x_1</vt:lpstr>
      <vt:lpstr>'Div 3'!OSRRefD21_12x_1</vt:lpstr>
      <vt:lpstr>'Div 4'!OSRRefD21_12x_1</vt:lpstr>
      <vt:lpstr>'Div 5'!OSRRefD21_12x_1</vt:lpstr>
      <vt:lpstr>'Div 6'!OSRRefD21_12x_1</vt:lpstr>
      <vt:lpstr>Summary!OSRRefD21_12x_1</vt:lpstr>
      <vt:lpstr>'201'!OSRRefD21_12x_2</vt:lpstr>
      <vt:lpstr>'202'!OSRRefD21_12x_2</vt:lpstr>
      <vt:lpstr>'203'!OSRRefD21_12x_2</vt:lpstr>
      <vt:lpstr>'300'!OSRRefD21_12x_2</vt:lpstr>
      <vt:lpstr>'300 &amp; 317'!OSRRefD21_12x_2</vt:lpstr>
      <vt:lpstr>'301'!OSRRefD21_12x_2</vt:lpstr>
      <vt:lpstr>'307'!OSRRefD21_12x_2</vt:lpstr>
      <vt:lpstr>'308'!OSRRefD21_12x_2</vt:lpstr>
      <vt:lpstr>'310'!OSRRefD21_12x_2</vt:lpstr>
      <vt:lpstr>'310 &amp; 491'!OSRRefD21_12x_2</vt:lpstr>
      <vt:lpstr>'311'!OSRRefD21_12x_2</vt:lpstr>
      <vt:lpstr>'315'!OSRRefD21_12x_2</vt:lpstr>
      <vt:lpstr>'317'!OSRRefD21_12x_2</vt:lpstr>
      <vt:lpstr>'321'!OSRRefD21_12x_2</vt:lpstr>
      <vt:lpstr>'325'!OSRRefD21_12x_2</vt:lpstr>
      <vt:lpstr>'326'!OSRRefD21_12x_2</vt:lpstr>
      <vt:lpstr>'330'!OSRRefD21_12x_2</vt:lpstr>
      <vt:lpstr>'331'!OSRRefD21_12x_2</vt:lpstr>
      <vt:lpstr>'405'!OSRRefD21_12x_2</vt:lpstr>
      <vt:lpstr>'411'!OSRRefD21_12x_2</vt:lpstr>
      <vt:lpstr>'412'!OSRRefD21_12x_2</vt:lpstr>
      <vt:lpstr>'414'!OSRRefD21_12x_2</vt:lpstr>
      <vt:lpstr>'415'!OSRRefD21_12x_2</vt:lpstr>
      <vt:lpstr>'418'!OSRRefD21_12x_2</vt:lpstr>
      <vt:lpstr>'433'!OSRRefD21_12x_2</vt:lpstr>
      <vt:lpstr>'444'!OSRRefD21_12x_2</vt:lpstr>
      <vt:lpstr>'450'!OSRRefD21_12x_2</vt:lpstr>
      <vt:lpstr>'491'!OSRRefD21_12x_2</vt:lpstr>
      <vt:lpstr>'492'!OSRRefD21_12x_2</vt:lpstr>
      <vt:lpstr>'501'!OSRRefD21_12x_2</vt:lpstr>
      <vt:lpstr>'Div 2'!OSRRefD21_12x_2</vt:lpstr>
      <vt:lpstr>'Div 3'!OSRRefD21_12x_2</vt:lpstr>
      <vt:lpstr>'Div 4'!OSRRefD21_12x_2</vt:lpstr>
      <vt:lpstr>'Div 5'!OSRRefD21_12x_2</vt:lpstr>
      <vt:lpstr>'Div 6'!OSRRefD21_12x_2</vt:lpstr>
      <vt:lpstr>Summary!OSRRefD21_12x_2</vt:lpstr>
      <vt:lpstr>'201'!OSRRefD21_12x_3</vt:lpstr>
      <vt:lpstr>'202'!OSRRefD21_12x_3</vt:lpstr>
      <vt:lpstr>'203'!OSRRefD21_12x_3</vt:lpstr>
      <vt:lpstr>'300'!OSRRefD21_12x_3</vt:lpstr>
      <vt:lpstr>'300 &amp; 317'!OSRRefD21_12x_3</vt:lpstr>
      <vt:lpstr>'301'!OSRRefD21_12x_3</vt:lpstr>
      <vt:lpstr>'307'!OSRRefD21_12x_3</vt:lpstr>
      <vt:lpstr>'308'!OSRRefD21_12x_3</vt:lpstr>
      <vt:lpstr>'310'!OSRRefD21_12x_3</vt:lpstr>
      <vt:lpstr>'310 &amp; 491'!OSRRefD21_12x_3</vt:lpstr>
      <vt:lpstr>'311'!OSRRefD21_12x_3</vt:lpstr>
      <vt:lpstr>'315'!OSRRefD21_12x_3</vt:lpstr>
      <vt:lpstr>'317'!OSRRefD21_12x_3</vt:lpstr>
      <vt:lpstr>'321'!OSRRefD21_12x_3</vt:lpstr>
      <vt:lpstr>'325'!OSRRefD21_12x_3</vt:lpstr>
      <vt:lpstr>'326'!OSRRefD21_12x_3</vt:lpstr>
      <vt:lpstr>'330'!OSRRefD21_12x_3</vt:lpstr>
      <vt:lpstr>'331'!OSRRefD21_12x_3</vt:lpstr>
      <vt:lpstr>'405'!OSRRefD21_12x_3</vt:lpstr>
      <vt:lpstr>'411'!OSRRefD21_12x_3</vt:lpstr>
      <vt:lpstr>'412'!OSRRefD21_12x_3</vt:lpstr>
      <vt:lpstr>'414'!OSRRefD21_12x_3</vt:lpstr>
      <vt:lpstr>'415'!OSRRefD21_12x_3</vt:lpstr>
      <vt:lpstr>'418'!OSRRefD21_12x_3</vt:lpstr>
      <vt:lpstr>'433'!OSRRefD21_12x_3</vt:lpstr>
      <vt:lpstr>'444'!OSRRefD21_12x_3</vt:lpstr>
      <vt:lpstr>'450'!OSRRefD21_12x_3</vt:lpstr>
      <vt:lpstr>'491'!OSRRefD21_12x_3</vt:lpstr>
      <vt:lpstr>'492'!OSRRefD21_12x_3</vt:lpstr>
      <vt:lpstr>'501'!OSRRefD21_12x_3</vt:lpstr>
      <vt:lpstr>'Div 2'!OSRRefD21_12x_3</vt:lpstr>
      <vt:lpstr>'Div 3'!OSRRefD21_12x_3</vt:lpstr>
      <vt:lpstr>'Div 4'!OSRRefD21_12x_3</vt:lpstr>
      <vt:lpstr>'Div 5'!OSRRefD21_12x_3</vt:lpstr>
      <vt:lpstr>'Div 6'!OSRRefD21_12x_3</vt:lpstr>
      <vt:lpstr>Summary!OSRRefD21_12x_3</vt:lpstr>
      <vt:lpstr>'201'!OSRRefD21_13_0x</vt:lpstr>
      <vt:lpstr>'203'!OSRRefD21_13_0x</vt:lpstr>
      <vt:lpstr>'300'!OSRRefD21_13_0x</vt:lpstr>
      <vt:lpstr>'300 &amp; 317'!OSRRefD21_13_0x</vt:lpstr>
      <vt:lpstr>'301'!OSRRefD21_13_0x</vt:lpstr>
      <vt:lpstr>'308'!OSRRefD21_13_0x</vt:lpstr>
      <vt:lpstr>'310'!OSRRefD21_13_0x</vt:lpstr>
      <vt:lpstr>'310 &amp; 491'!OSRRefD21_13_0x</vt:lpstr>
      <vt:lpstr>'311'!OSRRefD21_13_0x</vt:lpstr>
      <vt:lpstr>'315'!OSRRefD21_13_0x</vt:lpstr>
      <vt:lpstr>'325'!OSRRefD21_13_0x</vt:lpstr>
      <vt:lpstr>'326'!OSRRefD21_13_0x</vt:lpstr>
      <vt:lpstr>'331'!OSRRefD21_13_0x</vt:lpstr>
      <vt:lpstr>'405'!OSRRefD21_13_0x</vt:lpstr>
      <vt:lpstr>'411'!OSRRefD21_13_0x</vt:lpstr>
      <vt:lpstr>'412'!OSRRefD21_13_0x</vt:lpstr>
      <vt:lpstr>'414'!OSRRefD21_13_0x</vt:lpstr>
      <vt:lpstr>'415'!OSRRefD21_13_0x</vt:lpstr>
      <vt:lpstr>'418'!OSRRefD21_13_0x</vt:lpstr>
      <vt:lpstr>'433'!OSRRefD21_13_0x</vt:lpstr>
      <vt:lpstr>'444'!OSRRefD21_13_0x</vt:lpstr>
      <vt:lpstr>'450'!OSRRefD21_13_0x</vt:lpstr>
      <vt:lpstr>'491'!OSRRefD21_13_0x</vt:lpstr>
      <vt:lpstr>'492'!OSRRefD21_13_0x</vt:lpstr>
      <vt:lpstr>'501'!OSRRefD21_13_0x</vt:lpstr>
      <vt:lpstr>'Div 2'!OSRRefD21_13_0x</vt:lpstr>
      <vt:lpstr>'Div 3'!OSRRefD21_13_0x</vt:lpstr>
      <vt:lpstr>'Div 4'!OSRRefD21_13_0x</vt:lpstr>
      <vt:lpstr>'Div 5'!OSRRefD21_13_0x</vt:lpstr>
      <vt:lpstr>Summary!OSRRefD21_13_0x</vt:lpstr>
      <vt:lpstr>'201'!OSRRefD21_13_1x</vt:lpstr>
      <vt:lpstr>'301'!OSRRefD21_13_1x</vt:lpstr>
      <vt:lpstr>'310'!OSRRefD21_13_1x</vt:lpstr>
      <vt:lpstr>'315'!OSRRefD21_13_1x</vt:lpstr>
      <vt:lpstr>'325'!OSRRefD21_13_1x</vt:lpstr>
      <vt:lpstr>'326'!OSRRefD21_13_1x</vt:lpstr>
      <vt:lpstr>'331'!OSRRefD21_13_1x</vt:lpstr>
      <vt:lpstr>'405'!OSRRefD21_13_1x</vt:lpstr>
      <vt:lpstr>'433'!OSRRefD21_13_1x</vt:lpstr>
      <vt:lpstr>'444'!OSRRefD21_13_1x</vt:lpstr>
      <vt:lpstr>'450'!OSRRefD21_13_1x</vt:lpstr>
      <vt:lpstr>'492'!OSRRefD21_13_1x</vt:lpstr>
      <vt:lpstr>'Div 2'!OSRRefD21_13_1x</vt:lpstr>
      <vt:lpstr>'201'!OSRRefD21_13_2x</vt:lpstr>
      <vt:lpstr>'301'!OSRRefD21_13_2x</vt:lpstr>
      <vt:lpstr>'326'!OSRRefD21_13_2x</vt:lpstr>
      <vt:lpstr>'405'!OSRRefD21_13_2x</vt:lpstr>
      <vt:lpstr>'433'!OSRRefD21_13_2x</vt:lpstr>
      <vt:lpstr>'444'!OSRRefD21_13_2x</vt:lpstr>
      <vt:lpstr>'450'!OSRRefD21_13_2x</vt:lpstr>
      <vt:lpstr>'492'!OSRRefD21_13_2x</vt:lpstr>
      <vt:lpstr>'Div 2'!OSRRefD21_13_2x</vt:lpstr>
      <vt:lpstr>'301'!OSRRefD21_13_3x</vt:lpstr>
      <vt:lpstr>'405'!OSRRefD21_13_3x</vt:lpstr>
      <vt:lpstr>'433'!OSRRefD21_13_3x</vt:lpstr>
      <vt:lpstr>'444'!OSRRefD21_13_3x</vt:lpstr>
      <vt:lpstr>'492'!OSRRefD21_13_3x</vt:lpstr>
      <vt:lpstr>'Div 2'!OSRRefD21_13_3x</vt:lpstr>
      <vt:lpstr>'405'!OSRRefD21_13_4x</vt:lpstr>
      <vt:lpstr>'433'!OSRRefD21_13_4x</vt:lpstr>
      <vt:lpstr>'444'!OSRRefD21_13_4x</vt:lpstr>
      <vt:lpstr>'405'!OSRRefD21_13_5x</vt:lpstr>
      <vt:lpstr>'433'!OSRRefD21_13_5x</vt:lpstr>
      <vt:lpstr>'444'!OSRRefD21_13_5x</vt:lpstr>
      <vt:lpstr>'405'!OSRRefD21_13_6x</vt:lpstr>
      <vt:lpstr>'433'!OSRRefD21_13_6x</vt:lpstr>
      <vt:lpstr>'444'!OSRRefD21_13_6x</vt:lpstr>
      <vt:lpstr>'405'!OSRRefD21_13_7x</vt:lpstr>
      <vt:lpstr>'433'!OSRRefD21_13_7x</vt:lpstr>
      <vt:lpstr>'444'!OSRRefD21_13_7x</vt:lpstr>
      <vt:lpstr>'201'!OSRRefD21_13x_0</vt:lpstr>
      <vt:lpstr>'203'!OSRRefD21_13x_0</vt:lpstr>
      <vt:lpstr>'300'!OSRRefD21_13x_0</vt:lpstr>
      <vt:lpstr>'300 &amp; 317'!OSRRefD21_13x_0</vt:lpstr>
      <vt:lpstr>'301'!OSRRefD21_13x_0</vt:lpstr>
      <vt:lpstr>'308'!OSRRefD21_13x_0</vt:lpstr>
      <vt:lpstr>'310'!OSRRefD21_13x_0</vt:lpstr>
      <vt:lpstr>'310 &amp; 491'!OSRRefD21_13x_0</vt:lpstr>
      <vt:lpstr>'311'!OSRRefD21_13x_0</vt:lpstr>
      <vt:lpstr>'315'!OSRRefD21_13x_0</vt:lpstr>
      <vt:lpstr>'325'!OSRRefD21_13x_0</vt:lpstr>
      <vt:lpstr>'326'!OSRRefD21_13x_0</vt:lpstr>
      <vt:lpstr>'331'!OSRRefD21_13x_0</vt:lpstr>
      <vt:lpstr>'405'!OSRRefD21_13x_0</vt:lpstr>
      <vt:lpstr>'411'!OSRRefD21_13x_0</vt:lpstr>
      <vt:lpstr>'412'!OSRRefD21_13x_0</vt:lpstr>
      <vt:lpstr>'414'!OSRRefD21_13x_0</vt:lpstr>
      <vt:lpstr>'415'!OSRRefD21_13x_0</vt:lpstr>
      <vt:lpstr>'418'!OSRRefD21_13x_0</vt:lpstr>
      <vt:lpstr>'433'!OSRRefD21_13x_0</vt:lpstr>
      <vt:lpstr>'444'!OSRRefD21_13x_0</vt:lpstr>
      <vt:lpstr>'450'!OSRRefD21_13x_0</vt:lpstr>
      <vt:lpstr>'491'!OSRRefD21_13x_0</vt:lpstr>
      <vt:lpstr>'492'!OSRRefD21_13x_0</vt:lpstr>
      <vt:lpstr>'501'!OSRRefD21_13x_0</vt:lpstr>
      <vt:lpstr>'Div 2'!OSRRefD21_13x_0</vt:lpstr>
      <vt:lpstr>'Div 3'!OSRRefD21_13x_0</vt:lpstr>
      <vt:lpstr>'Div 4'!OSRRefD21_13x_0</vt:lpstr>
      <vt:lpstr>'Div 5'!OSRRefD21_13x_0</vt:lpstr>
      <vt:lpstr>Summary!OSRRefD21_13x_0</vt:lpstr>
      <vt:lpstr>'201'!OSRRefD21_13x_1</vt:lpstr>
      <vt:lpstr>'203'!OSRRefD21_13x_1</vt:lpstr>
      <vt:lpstr>'300'!OSRRefD21_13x_1</vt:lpstr>
      <vt:lpstr>'300 &amp; 317'!OSRRefD21_13x_1</vt:lpstr>
      <vt:lpstr>'301'!OSRRefD21_13x_1</vt:lpstr>
      <vt:lpstr>'308'!OSRRefD21_13x_1</vt:lpstr>
      <vt:lpstr>'310'!OSRRefD21_13x_1</vt:lpstr>
      <vt:lpstr>'310 &amp; 491'!OSRRefD21_13x_1</vt:lpstr>
      <vt:lpstr>'311'!OSRRefD21_13x_1</vt:lpstr>
      <vt:lpstr>'315'!OSRRefD21_13x_1</vt:lpstr>
      <vt:lpstr>'325'!OSRRefD21_13x_1</vt:lpstr>
      <vt:lpstr>'326'!OSRRefD21_13x_1</vt:lpstr>
      <vt:lpstr>'331'!OSRRefD21_13x_1</vt:lpstr>
      <vt:lpstr>'405'!OSRRefD21_13x_1</vt:lpstr>
      <vt:lpstr>'411'!OSRRefD21_13x_1</vt:lpstr>
      <vt:lpstr>'412'!OSRRefD21_13x_1</vt:lpstr>
      <vt:lpstr>'414'!OSRRefD21_13x_1</vt:lpstr>
      <vt:lpstr>'415'!OSRRefD21_13x_1</vt:lpstr>
      <vt:lpstr>'418'!OSRRefD21_13x_1</vt:lpstr>
      <vt:lpstr>'433'!OSRRefD21_13x_1</vt:lpstr>
      <vt:lpstr>'444'!OSRRefD21_13x_1</vt:lpstr>
      <vt:lpstr>'450'!OSRRefD21_13x_1</vt:lpstr>
      <vt:lpstr>'491'!OSRRefD21_13x_1</vt:lpstr>
      <vt:lpstr>'492'!OSRRefD21_13x_1</vt:lpstr>
      <vt:lpstr>'501'!OSRRefD21_13x_1</vt:lpstr>
      <vt:lpstr>'Div 2'!OSRRefD21_13x_1</vt:lpstr>
      <vt:lpstr>'Div 3'!OSRRefD21_13x_1</vt:lpstr>
      <vt:lpstr>'Div 4'!OSRRefD21_13x_1</vt:lpstr>
      <vt:lpstr>'Div 5'!OSRRefD21_13x_1</vt:lpstr>
      <vt:lpstr>Summary!OSRRefD21_13x_1</vt:lpstr>
      <vt:lpstr>'201'!OSRRefD21_13x_2</vt:lpstr>
      <vt:lpstr>'203'!OSRRefD21_13x_2</vt:lpstr>
      <vt:lpstr>'300'!OSRRefD21_13x_2</vt:lpstr>
      <vt:lpstr>'300 &amp; 317'!OSRRefD21_13x_2</vt:lpstr>
      <vt:lpstr>'301'!OSRRefD21_13x_2</vt:lpstr>
      <vt:lpstr>'308'!OSRRefD21_13x_2</vt:lpstr>
      <vt:lpstr>'310'!OSRRefD21_13x_2</vt:lpstr>
      <vt:lpstr>'310 &amp; 491'!OSRRefD21_13x_2</vt:lpstr>
      <vt:lpstr>'311'!OSRRefD21_13x_2</vt:lpstr>
      <vt:lpstr>'315'!OSRRefD21_13x_2</vt:lpstr>
      <vt:lpstr>'325'!OSRRefD21_13x_2</vt:lpstr>
      <vt:lpstr>'326'!OSRRefD21_13x_2</vt:lpstr>
      <vt:lpstr>'331'!OSRRefD21_13x_2</vt:lpstr>
      <vt:lpstr>'405'!OSRRefD21_13x_2</vt:lpstr>
      <vt:lpstr>'411'!OSRRefD21_13x_2</vt:lpstr>
      <vt:lpstr>'412'!OSRRefD21_13x_2</vt:lpstr>
      <vt:lpstr>'414'!OSRRefD21_13x_2</vt:lpstr>
      <vt:lpstr>'415'!OSRRefD21_13x_2</vt:lpstr>
      <vt:lpstr>'418'!OSRRefD21_13x_2</vt:lpstr>
      <vt:lpstr>'433'!OSRRefD21_13x_2</vt:lpstr>
      <vt:lpstr>'444'!OSRRefD21_13x_2</vt:lpstr>
      <vt:lpstr>'450'!OSRRefD21_13x_2</vt:lpstr>
      <vt:lpstr>'491'!OSRRefD21_13x_2</vt:lpstr>
      <vt:lpstr>'492'!OSRRefD21_13x_2</vt:lpstr>
      <vt:lpstr>'501'!OSRRefD21_13x_2</vt:lpstr>
      <vt:lpstr>'Div 2'!OSRRefD21_13x_2</vt:lpstr>
      <vt:lpstr>'Div 3'!OSRRefD21_13x_2</vt:lpstr>
      <vt:lpstr>'Div 4'!OSRRefD21_13x_2</vt:lpstr>
      <vt:lpstr>'Div 5'!OSRRefD21_13x_2</vt:lpstr>
      <vt:lpstr>Summary!OSRRefD21_13x_2</vt:lpstr>
      <vt:lpstr>'201'!OSRRefD21_13x_3</vt:lpstr>
      <vt:lpstr>'203'!OSRRefD21_13x_3</vt:lpstr>
      <vt:lpstr>'300'!OSRRefD21_13x_3</vt:lpstr>
      <vt:lpstr>'300 &amp; 317'!OSRRefD21_13x_3</vt:lpstr>
      <vt:lpstr>'301'!OSRRefD21_13x_3</vt:lpstr>
      <vt:lpstr>'308'!OSRRefD21_13x_3</vt:lpstr>
      <vt:lpstr>'310'!OSRRefD21_13x_3</vt:lpstr>
      <vt:lpstr>'310 &amp; 491'!OSRRefD21_13x_3</vt:lpstr>
      <vt:lpstr>'311'!OSRRefD21_13x_3</vt:lpstr>
      <vt:lpstr>'315'!OSRRefD21_13x_3</vt:lpstr>
      <vt:lpstr>'325'!OSRRefD21_13x_3</vt:lpstr>
      <vt:lpstr>'326'!OSRRefD21_13x_3</vt:lpstr>
      <vt:lpstr>'331'!OSRRefD21_13x_3</vt:lpstr>
      <vt:lpstr>'405'!OSRRefD21_13x_3</vt:lpstr>
      <vt:lpstr>'411'!OSRRefD21_13x_3</vt:lpstr>
      <vt:lpstr>'412'!OSRRefD21_13x_3</vt:lpstr>
      <vt:lpstr>'414'!OSRRefD21_13x_3</vt:lpstr>
      <vt:lpstr>'415'!OSRRefD21_13x_3</vt:lpstr>
      <vt:lpstr>'418'!OSRRefD21_13x_3</vt:lpstr>
      <vt:lpstr>'433'!OSRRefD21_13x_3</vt:lpstr>
      <vt:lpstr>'444'!OSRRefD21_13x_3</vt:lpstr>
      <vt:lpstr>'450'!OSRRefD21_13x_3</vt:lpstr>
      <vt:lpstr>'491'!OSRRefD21_13x_3</vt:lpstr>
      <vt:lpstr>'492'!OSRRefD21_13x_3</vt:lpstr>
      <vt:lpstr>'501'!OSRRefD21_13x_3</vt:lpstr>
      <vt:lpstr>'Div 2'!OSRRefD21_13x_3</vt:lpstr>
      <vt:lpstr>'Div 3'!OSRRefD21_13x_3</vt:lpstr>
      <vt:lpstr>'Div 4'!OSRRefD21_13x_3</vt:lpstr>
      <vt:lpstr>'Div 5'!OSRRefD21_13x_3</vt:lpstr>
      <vt:lpstr>Summary!OSRRefD21_13x_3</vt:lpstr>
      <vt:lpstr>'201'!OSRRefD21_14_0x</vt:lpstr>
      <vt:lpstr>'300'!OSRRefD21_14_0x</vt:lpstr>
      <vt:lpstr>'300 &amp; 317'!OSRRefD21_14_0x</vt:lpstr>
      <vt:lpstr>'301'!OSRRefD21_14_0x</vt:lpstr>
      <vt:lpstr>'308'!OSRRefD21_14_0x</vt:lpstr>
      <vt:lpstr>'310'!OSRRefD21_14_0x</vt:lpstr>
      <vt:lpstr>'310 &amp; 491'!OSRRefD21_14_0x</vt:lpstr>
      <vt:lpstr>'311'!OSRRefD21_14_0x</vt:lpstr>
      <vt:lpstr>'315'!OSRRefD21_14_0x</vt:lpstr>
      <vt:lpstr>'325'!OSRRefD21_14_0x</vt:lpstr>
      <vt:lpstr>'326'!OSRRefD21_14_0x</vt:lpstr>
      <vt:lpstr>'331'!OSRRefD21_14_0x</vt:lpstr>
      <vt:lpstr>'405'!OSRRefD21_14_0x</vt:lpstr>
      <vt:lpstr>'411'!OSRRefD21_14_0x</vt:lpstr>
      <vt:lpstr>'414'!OSRRefD21_14_0x</vt:lpstr>
      <vt:lpstr>'415'!OSRRefD21_14_0x</vt:lpstr>
      <vt:lpstr>'433'!OSRRefD21_14_0x</vt:lpstr>
      <vt:lpstr>'444'!OSRRefD21_14_0x</vt:lpstr>
      <vt:lpstr>'450'!OSRRefD21_14_0x</vt:lpstr>
      <vt:lpstr>'491'!OSRRefD21_14_0x</vt:lpstr>
      <vt:lpstr>'492'!OSRRefD21_14_0x</vt:lpstr>
      <vt:lpstr>'Div 2'!OSRRefD21_14_0x</vt:lpstr>
      <vt:lpstr>'Div 3'!OSRRefD21_14_0x</vt:lpstr>
      <vt:lpstr>'Div 4'!OSRRefD21_14_0x</vt:lpstr>
      <vt:lpstr>Summary!OSRRefD21_14_0x</vt:lpstr>
      <vt:lpstr>'301'!OSRRefD21_14_1x</vt:lpstr>
      <vt:lpstr>'310 &amp; 491'!OSRRefD21_14_1x</vt:lpstr>
      <vt:lpstr>'315'!OSRRefD21_14_1x</vt:lpstr>
      <vt:lpstr>'326'!OSRRefD21_14_1x</vt:lpstr>
      <vt:lpstr>'331'!OSRRefD21_14_1x</vt:lpstr>
      <vt:lpstr>'415'!OSRRefD21_14_1x</vt:lpstr>
      <vt:lpstr>'444'!OSRRefD21_14_1x</vt:lpstr>
      <vt:lpstr>'450'!OSRRefD21_14_1x</vt:lpstr>
      <vt:lpstr>'491'!OSRRefD21_14_1x</vt:lpstr>
      <vt:lpstr>'492'!OSRRefD21_14_1x</vt:lpstr>
      <vt:lpstr>'Div 2'!OSRRefD21_14_1x</vt:lpstr>
      <vt:lpstr>'301'!OSRRefD21_14_2x</vt:lpstr>
      <vt:lpstr>'310 &amp; 491'!OSRRefD21_14_2x</vt:lpstr>
      <vt:lpstr>'315'!OSRRefD21_14_2x</vt:lpstr>
      <vt:lpstr>'331'!OSRRefD21_14_2x</vt:lpstr>
      <vt:lpstr>'415'!OSRRefD21_14_2x</vt:lpstr>
      <vt:lpstr>'450'!OSRRefD21_14_2x</vt:lpstr>
      <vt:lpstr>'491'!OSRRefD21_14_2x</vt:lpstr>
      <vt:lpstr>'492'!OSRRefD21_14_2x</vt:lpstr>
      <vt:lpstr>'315'!OSRRefD21_14_3x</vt:lpstr>
      <vt:lpstr>'415'!OSRRefD21_14_3x</vt:lpstr>
      <vt:lpstr>'450'!OSRRefD21_14_3x</vt:lpstr>
      <vt:lpstr>'492'!OSRRefD21_14_3x</vt:lpstr>
      <vt:lpstr>'315'!OSRRefD21_14_4x</vt:lpstr>
      <vt:lpstr>'415'!OSRRefD21_14_4x</vt:lpstr>
      <vt:lpstr>'450'!OSRRefD21_14_4x</vt:lpstr>
      <vt:lpstr>'492'!OSRRefD21_14_4x</vt:lpstr>
      <vt:lpstr>'315'!OSRRefD21_14_5x</vt:lpstr>
      <vt:lpstr>'415'!OSRRefD21_14_5x</vt:lpstr>
      <vt:lpstr>'450'!OSRRefD21_14_5x</vt:lpstr>
      <vt:lpstr>'492'!OSRRefD21_14_5x</vt:lpstr>
      <vt:lpstr>'315'!OSRRefD21_14_6x</vt:lpstr>
      <vt:lpstr>'492'!OSRRefD21_14_6x</vt:lpstr>
      <vt:lpstr>'492'!OSRRefD21_14_7x</vt:lpstr>
      <vt:lpstr>'492'!OSRRefD21_14_8x</vt:lpstr>
      <vt:lpstr>'492'!OSRRefD21_14_9x</vt:lpstr>
      <vt:lpstr>'201'!OSRRefD21_14x_0</vt:lpstr>
      <vt:lpstr>'300'!OSRRefD21_14x_0</vt:lpstr>
      <vt:lpstr>'300 &amp; 317'!OSRRefD21_14x_0</vt:lpstr>
      <vt:lpstr>'301'!OSRRefD21_14x_0</vt:lpstr>
      <vt:lpstr>'308'!OSRRefD21_14x_0</vt:lpstr>
      <vt:lpstr>'310'!OSRRefD21_14x_0</vt:lpstr>
      <vt:lpstr>'310 &amp; 491'!OSRRefD21_14x_0</vt:lpstr>
      <vt:lpstr>'311'!OSRRefD21_14x_0</vt:lpstr>
      <vt:lpstr>'315'!OSRRefD21_14x_0</vt:lpstr>
      <vt:lpstr>'325'!OSRRefD21_14x_0</vt:lpstr>
      <vt:lpstr>'326'!OSRRefD21_14x_0</vt:lpstr>
      <vt:lpstr>'331'!OSRRefD21_14x_0</vt:lpstr>
      <vt:lpstr>'405'!OSRRefD21_14x_0</vt:lpstr>
      <vt:lpstr>'411'!OSRRefD21_14x_0</vt:lpstr>
      <vt:lpstr>'414'!OSRRefD21_14x_0</vt:lpstr>
      <vt:lpstr>'415'!OSRRefD21_14x_0</vt:lpstr>
      <vt:lpstr>'433'!OSRRefD21_14x_0</vt:lpstr>
      <vt:lpstr>'444'!OSRRefD21_14x_0</vt:lpstr>
      <vt:lpstr>'450'!OSRRefD21_14x_0</vt:lpstr>
      <vt:lpstr>'491'!OSRRefD21_14x_0</vt:lpstr>
      <vt:lpstr>'492'!OSRRefD21_14x_0</vt:lpstr>
      <vt:lpstr>'Div 2'!OSRRefD21_14x_0</vt:lpstr>
      <vt:lpstr>'Div 3'!OSRRefD21_14x_0</vt:lpstr>
      <vt:lpstr>'Div 4'!OSRRefD21_14x_0</vt:lpstr>
      <vt:lpstr>Summary!OSRRefD21_14x_0</vt:lpstr>
      <vt:lpstr>'201'!OSRRefD21_14x_1</vt:lpstr>
      <vt:lpstr>'300'!OSRRefD21_14x_1</vt:lpstr>
      <vt:lpstr>'300 &amp; 317'!OSRRefD21_14x_1</vt:lpstr>
      <vt:lpstr>'301'!OSRRefD21_14x_1</vt:lpstr>
      <vt:lpstr>'308'!OSRRefD21_14x_1</vt:lpstr>
      <vt:lpstr>'310'!OSRRefD21_14x_1</vt:lpstr>
      <vt:lpstr>'310 &amp; 491'!OSRRefD21_14x_1</vt:lpstr>
      <vt:lpstr>'311'!OSRRefD21_14x_1</vt:lpstr>
      <vt:lpstr>'315'!OSRRefD21_14x_1</vt:lpstr>
      <vt:lpstr>'325'!OSRRefD21_14x_1</vt:lpstr>
      <vt:lpstr>'326'!OSRRefD21_14x_1</vt:lpstr>
      <vt:lpstr>'331'!OSRRefD21_14x_1</vt:lpstr>
      <vt:lpstr>'405'!OSRRefD21_14x_1</vt:lpstr>
      <vt:lpstr>'411'!OSRRefD21_14x_1</vt:lpstr>
      <vt:lpstr>'414'!OSRRefD21_14x_1</vt:lpstr>
      <vt:lpstr>'415'!OSRRefD21_14x_1</vt:lpstr>
      <vt:lpstr>'433'!OSRRefD21_14x_1</vt:lpstr>
      <vt:lpstr>'444'!OSRRefD21_14x_1</vt:lpstr>
      <vt:lpstr>'450'!OSRRefD21_14x_1</vt:lpstr>
      <vt:lpstr>'491'!OSRRefD21_14x_1</vt:lpstr>
      <vt:lpstr>'492'!OSRRefD21_14x_1</vt:lpstr>
      <vt:lpstr>'Div 2'!OSRRefD21_14x_1</vt:lpstr>
      <vt:lpstr>'Div 3'!OSRRefD21_14x_1</vt:lpstr>
      <vt:lpstr>'Div 4'!OSRRefD21_14x_1</vt:lpstr>
      <vt:lpstr>Summary!OSRRefD21_14x_1</vt:lpstr>
      <vt:lpstr>'201'!OSRRefD21_14x_2</vt:lpstr>
      <vt:lpstr>'300'!OSRRefD21_14x_2</vt:lpstr>
      <vt:lpstr>'300 &amp; 317'!OSRRefD21_14x_2</vt:lpstr>
      <vt:lpstr>'301'!OSRRefD21_14x_2</vt:lpstr>
      <vt:lpstr>'308'!OSRRefD21_14x_2</vt:lpstr>
      <vt:lpstr>'310'!OSRRefD21_14x_2</vt:lpstr>
      <vt:lpstr>'310 &amp; 491'!OSRRefD21_14x_2</vt:lpstr>
      <vt:lpstr>'311'!OSRRefD21_14x_2</vt:lpstr>
      <vt:lpstr>'315'!OSRRefD21_14x_2</vt:lpstr>
      <vt:lpstr>'325'!OSRRefD21_14x_2</vt:lpstr>
      <vt:lpstr>'326'!OSRRefD21_14x_2</vt:lpstr>
      <vt:lpstr>'331'!OSRRefD21_14x_2</vt:lpstr>
      <vt:lpstr>'405'!OSRRefD21_14x_2</vt:lpstr>
      <vt:lpstr>'411'!OSRRefD21_14x_2</vt:lpstr>
      <vt:lpstr>'414'!OSRRefD21_14x_2</vt:lpstr>
      <vt:lpstr>'415'!OSRRefD21_14x_2</vt:lpstr>
      <vt:lpstr>'433'!OSRRefD21_14x_2</vt:lpstr>
      <vt:lpstr>'444'!OSRRefD21_14x_2</vt:lpstr>
      <vt:lpstr>'450'!OSRRefD21_14x_2</vt:lpstr>
      <vt:lpstr>'491'!OSRRefD21_14x_2</vt:lpstr>
      <vt:lpstr>'492'!OSRRefD21_14x_2</vt:lpstr>
      <vt:lpstr>'Div 2'!OSRRefD21_14x_2</vt:lpstr>
      <vt:lpstr>'Div 3'!OSRRefD21_14x_2</vt:lpstr>
      <vt:lpstr>'Div 4'!OSRRefD21_14x_2</vt:lpstr>
      <vt:lpstr>Summary!OSRRefD21_14x_2</vt:lpstr>
      <vt:lpstr>'201'!OSRRefD21_14x_3</vt:lpstr>
      <vt:lpstr>'300'!OSRRefD21_14x_3</vt:lpstr>
      <vt:lpstr>'300 &amp; 317'!OSRRefD21_14x_3</vt:lpstr>
      <vt:lpstr>'301'!OSRRefD21_14x_3</vt:lpstr>
      <vt:lpstr>'308'!OSRRefD21_14x_3</vt:lpstr>
      <vt:lpstr>'310'!OSRRefD21_14x_3</vt:lpstr>
      <vt:lpstr>'310 &amp; 491'!OSRRefD21_14x_3</vt:lpstr>
      <vt:lpstr>'311'!OSRRefD21_14x_3</vt:lpstr>
      <vt:lpstr>'315'!OSRRefD21_14x_3</vt:lpstr>
      <vt:lpstr>'325'!OSRRefD21_14x_3</vt:lpstr>
      <vt:lpstr>'326'!OSRRefD21_14x_3</vt:lpstr>
      <vt:lpstr>'331'!OSRRefD21_14x_3</vt:lpstr>
      <vt:lpstr>'405'!OSRRefD21_14x_3</vt:lpstr>
      <vt:lpstr>'411'!OSRRefD21_14x_3</vt:lpstr>
      <vt:lpstr>'414'!OSRRefD21_14x_3</vt:lpstr>
      <vt:lpstr>'415'!OSRRefD21_14x_3</vt:lpstr>
      <vt:lpstr>'433'!OSRRefD21_14x_3</vt:lpstr>
      <vt:lpstr>'444'!OSRRefD21_14x_3</vt:lpstr>
      <vt:lpstr>'450'!OSRRefD21_14x_3</vt:lpstr>
      <vt:lpstr>'491'!OSRRefD21_14x_3</vt:lpstr>
      <vt:lpstr>'492'!OSRRefD21_14x_3</vt:lpstr>
      <vt:lpstr>'Div 2'!OSRRefD21_14x_3</vt:lpstr>
      <vt:lpstr>'Div 3'!OSRRefD21_14x_3</vt:lpstr>
      <vt:lpstr>'Div 4'!OSRRefD21_14x_3</vt:lpstr>
      <vt:lpstr>Summary!OSRRefD21_14x_3</vt:lpstr>
      <vt:lpstr>'201'!OSRRefD21_15_0x</vt:lpstr>
      <vt:lpstr>'300'!OSRRefD21_15_0x</vt:lpstr>
      <vt:lpstr>'300 &amp; 317'!OSRRefD21_15_0x</vt:lpstr>
      <vt:lpstr>'301'!OSRRefD21_15_0x</vt:lpstr>
      <vt:lpstr>'310'!OSRRefD21_15_0x</vt:lpstr>
      <vt:lpstr>'310 &amp; 491'!OSRRefD21_15_0x</vt:lpstr>
      <vt:lpstr>'315'!OSRRefD21_15_0x</vt:lpstr>
      <vt:lpstr>'326'!OSRRefD21_15_0x</vt:lpstr>
      <vt:lpstr>'331'!OSRRefD21_15_0x</vt:lpstr>
      <vt:lpstr>'405'!OSRRefD21_15_0x</vt:lpstr>
      <vt:lpstr>'411'!OSRRefD21_15_0x</vt:lpstr>
      <vt:lpstr>'415'!OSRRefD21_15_0x</vt:lpstr>
      <vt:lpstr>'433'!OSRRefD21_15_0x</vt:lpstr>
      <vt:lpstr>'444'!OSRRefD21_15_0x</vt:lpstr>
      <vt:lpstr>'450'!OSRRefD21_15_0x</vt:lpstr>
      <vt:lpstr>'491'!OSRRefD21_15_0x</vt:lpstr>
      <vt:lpstr>'492'!OSRRefD21_15_0x</vt:lpstr>
      <vt:lpstr>'Div 2'!OSRRefD21_15_0x</vt:lpstr>
      <vt:lpstr>'Div 3'!OSRRefD21_15_0x</vt:lpstr>
      <vt:lpstr>'Div 4'!OSRRefD21_15_0x</vt:lpstr>
      <vt:lpstr>Summary!OSRRefD21_15_0x</vt:lpstr>
      <vt:lpstr>'310'!OSRRefD21_15_1x</vt:lpstr>
      <vt:lpstr>'310 &amp; 491'!OSRRefD21_15_1x</vt:lpstr>
      <vt:lpstr>'326'!OSRRefD21_15_1x</vt:lpstr>
      <vt:lpstr>'331'!OSRRefD21_15_1x</vt:lpstr>
      <vt:lpstr>'415'!OSRRefD21_15_1x</vt:lpstr>
      <vt:lpstr>'450'!OSRRefD21_15_1x</vt:lpstr>
      <vt:lpstr>'491'!OSRRefD21_15_1x</vt:lpstr>
      <vt:lpstr>'492'!OSRRefD21_15_1x</vt:lpstr>
      <vt:lpstr>'Div 2'!OSRRefD21_15_1x</vt:lpstr>
      <vt:lpstr>'Div 4'!OSRRefD21_15_1x</vt:lpstr>
      <vt:lpstr>'326'!OSRRefD21_15_2x</vt:lpstr>
      <vt:lpstr>'331'!OSRRefD21_15_2x</vt:lpstr>
      <vt:lpstr>'Div 4'!OSRRefD21_15_2x</vt:lpstr>
      <vt:lpstr>'326'!OSRRefD21_15_3x</vt:lpstr>
      <vt:lpstr>'Div 4'!OSRRefD21_15_3x</vt:lpstr>
      <vt:lpstr>'326'!OSRRefD21_15_4x</vt:lpstr>
      <vt:lpstr>'326'!OSRRefD21_15_5x</vt:lpstr>
      <vt:lpstr>'201'!OSRRefD21_15x_0</vt:lpstr>
      <vt:lpstr>'300'!OSRRefD21_15x_0</vt:lpstr>
      <vt:lpstr>'300 &amp; 317'!OSRRefD21_15x_0</vt:lpstr>
      <vt:lpstr>'301'!OSRRefD21_15x_0</vt:lpstr>
      <vt:lpstr>'310'!OSRRefD21_15x_0</vt:lpstr>
      <vt:lpstr>'310 &amp; 491'!OSRRefD21_15x_0</vt:lpstr>
      <vt:lpstr>'315'!OSRRefD21_15x_0</vt:lpstr>
      <vt:lpstr>'326'!OSRRefD21_15x_0</vt:lpstr>
      <vt:lpstr>'331'!OSRRefD21_15x_0</vt:lpstr>
      <vt:lpstr>'405'!OSRRefD21_15x_0</vt:lpstr>
      <vt:lpstr>'411'!OSRRefD21_15x_0</vt:lpstr>
      <vt:lpstr>'415'!OSRRefD21_15x_0</vt:lpstr>
      <vt:lpstr>'433'!OSRRefD21_15x_0</vt:lpstr>
      <vt:lpstr>'444'!OSRRefD21_15x_0</vt:lpstr>
      <vt:lpstr>'450'!OSRRefD21_15x_0</vt:lpstr>
      <vt:lpstr>'491'!OSRRefD21_15x_0</vt:lpstr>
      <vt:lpstr>'492'!OSRRefD21_15x_0</vt:lpstr>
      <vt:lpstr>'Div 2'!OSRRefD21_15x_0</vt:lpstr>
      <vt:lpstr>'Div 3'!OSRRefD21_15x_0</vt:lpstr>
      <vt:lpstr>'Div 4'!OSRRefD21_15x_0</vt:lpstr>
      <vt:lpstr>Summary!OSRRefD21_15x_0</vt:lpstr>
      <vt:lpstr>'201'!OSRRefD21_15x_1</vt:lpstr>
      <vt:lpstr>'300'!OSRRefD21_15x_1</vt:lpstr>
      <vt:lpstr>'300 &amp; 317'!OSRRefD21_15x_1</vt:lpstr>
      <vt:lpstr>'301'!OSRRefD21_15x_1</vt:lpstr>
      <vt:lpstr>'310'!OSRRefD21_15x_1</vt:lpstr>
      <vt:lpstr>'310 &amp; 491'!OSRRefD21_15x_1</vt:lpstr>
      <vt:lpstr>'315'!OSRRefD21_15x_1</vt:lpstr>
      <vt:lpstr>'326'!OSRRefD21_15x_1</vt:lpstr>
      <vt:lpstr>'331'!OSRRefD21_15x_1</vt:lpstr>
      <vt:lpstr>'405'!OSRRefD21_15x_1</vt:lpstr>
      <vt:lpstr>'411'!OSRRefD21_15x_1</vt:lpstr>
      <vt:lpstr>'415'!OSRRefD21_15x_1</vt:lpstr>
      <vt:lpstr>'433'!OSRRefD21_15x_1</vt:lpstr>
      <vt:lpstr>'444'!OSRRefD21_15x_1</vt:lpstr>
      <vt:lpstr>'450'!OSRRefD21_15x_1</vt:lpstr>
      <vt:lpstr>'491'!OSRRefD21_15x_1</vt:lpstr>
      <vt:lpstr>'492'!OSRRefD21_15x_1</vt:lpstr>
      <vt:lpstr>'Div 2'!OSRRefD21_15x_1</vt:lpstr>
      <vt:lpstr>'Div 3'!OSRRefD21_15x_1</vt:lpstr>
      <vt:lpstr>'Div 4'!OSRRefD21_15x_1</vt:lpstr>
      <vt:lpstr>Summary!OSRRefD21_15x_1</vt:lpstr>
      <vt:lpstr>'201'!OSRRefD21_15x_2</vt:lpstr>
      <vt:lpstr>'300'!OSRRefD21_15x_2</vt:lpstr>
      <vt:lpstr>'300 &amp; 317'!OSRRefD21_15x_2</vt:lpstr>
      <vt:lpstr>'301'!OSRRefD21_15x_2</vt:lpstr>
      <vt:lpstr>'310'!OSRRefD21_15x_2</vt:lpstr>
      <vt:lpstr>'310 &amp; 491'!OSRRefD21_15x_2</vt:lpstr>
      <vt:lpstr>'315'!OSRRefD21_15x_2</vt:lpstr>
      <vt:lpstr>'326'!OSRRefD21_15x_2</vt:lpstr>
      <vt:lpstr>'331'!OSRRefD21_15x_2</vt:lpstr>
      <vt:lpstr>'405'!OSRRefD21_15x_2</vt:lpstr>
      <vt:lpstr>'411'!OSRRefD21_15x_2</vt:lpstr>
      <vt:lpstr>'415'!OSRRefD21_15x_2</vt:lpstr>
      <vt:lpstr>'433'!OSRRefD21_15x_2</vt:lpstr>
      <vt:lpstr>'444'!OSRRefD21_15x_2</vt:lpstr>
      <vt:lpstr>'450'!OSRRefD21_15x_2</vt:lpstr>
      <vt:lpstr>'491'!OSRRefD21_15x_2</vt:lpstr>
      <vt:lpstr>'492'!OSRRefD21_15x_2</vt:lpstr>
      <vt:lpstr>'Div 2'!OSRRefD21_15x_2</vt:lpstr>
      <vt:lpstr>'Div 3'!OSRRefD21_15x_2</vt:lpstr>
      <vt:lpstr>'Div 4'!OSRRefD21_15x_2</vt:lpstr>
      <vt:lpstr>Summary!OSRRefD21_15x_2</vt:lpstr>
      <vt:lpstr>'201'!OSRRefD21_15x_3</vt:lpstr>
      <vt:lpstr>'300'!OSRRefD21_15x_3</vt:lpstr>
      <vt:lpstr>'300 &amp; 317'!OSRRefD21_15x_3</vt:lpstr>
      <vt:lpstr>'301'!OSRRefD21_15x_3</vt:lpstr>
      <vt:lpstr>'310'!OSRRefD21_15x_3</vt:lpstr>
      <vt:lpstr>'310 &amp; 491'!OSRRefD21_15x_3</vt:lpstr>
      <vt:lpstr>'315'!OSRRefD21_15x_3</vt:lpstr>
      <vt:lpstr>'326'!OSRRefD21_15x_3</vt:lpstr>
      <vt:lpstr>'331'!OSRRefD21_15x_3</vt:lpstr>
      <vt:lpstr>'405'!OSRRefD21_15x_3</vt:lpstr>
      <vt:lpstr>'411'!OSRRefD21_15x_3</vt:lpstr>
      <vt:lpstr>'415'!OSRRefD21_15x_3</vt:lpstr>
      <vt:lpstr>'433'!OSRRefD21_15x_3</vt:lpstr>
      <vt:lpstr>'444'!OSRRefD21_15x_3</vt:lpstr>
      <vt:lpstr>'450'!OSRRefD21_15x_3</vt:lpstr>
      <vt:lpstr>'491'!OSRRefD21_15x_3</vt:lpstr>
      <vt:lpstr>'492'!OSRRefD21_15x_3</vt:lpstr>
      <vt:lpstr>'Div 2'!OSRRefD21_15x_3</vt:lpstr>
      <vt:lpstr>'Div 3'!OSRRefD21_15x_3</vt:lpstr>
      <vt:lpstr>'Div 4'!OSRRefD21_15x_3</vt:lpstr>
      <vt:lpstr>Summary!OSRRefD21_15x_3</vt:lpstr>
      <vt:lpstr>'201'!OSRRefD21_16_0x</vt:lpstr>
      <vt:lpstr>'300'!OSRRefD21_16_0x</vt:lpstr>
      <vt:lpstr>'300 &amp; 317'!OSRRefD21_16_0x</vt:lpstr>
      <vt:lpstr>'301'!OSRRefD21_16_0x</vt:lpstr>
      <vt:lpstr>'310'!OSRRefD21_16_0x</vt:lpstr>
      <vt:lpstr>'310 &amp; 491'!OSRRefD21_16_0x</vt:lpstr>
      <vt:lpstr>'315'!OSRRefD21_16_0x</vt:lpstr>
      <vt:lpstr>'326'!OSRRefD21_16_0x</vt:lpstr>
      <vt:lpstr>'331'!OSRRefD21_16_0x</vt:lpstr>
      <vt:lpstr>'405'!OSRRefD21_16_0x</vt:lpstr>
      <vt:lpstr>'415'!OSRRefD21_16_0x</vt:lpstr>
      <vt:lpstr>'450'!OSRRefD21_16_0x</vt:lpstr>
      <vt:lpstr>'491'!OSRRefD21_16_0x</vt:lpstr>
      <vt:lpstr>'492'!OSRRefD21_16_0x</vt:lpstr>
      <vt:lpstr>'Div 2'!OSRRefD21_16_0x</vt:lpstr>
      <vt:lpstr>'Div 3'!OSRRefD21_16_0x</vt:lpstr>
      <vt:lpstr>'Div 4'!OSRRefD21_16_0x</vt:lpstr>
      <vt:lpstr>Summary!OSRRefD21_16_0x</vt:lpstr>
      <vt:lpstr>'300'!OSRRefD21_16_1x</vt:lpstr>
      <vt:lpstr>'300 &amp; 317'!OSRRefD21_16_1x</vt:lpstr>
      <vt:lpstr>'301'!OSRRefD21_16_1x</vt:lpstr>
      <vt:lpstr>'310'!OSRRefD21_16_1x</vt:lpstr>
      <vt:lpstr>'310 &amp; 491'!OSRRefD21_16_1x</vt:lpstr>
      <vt:lpstr>'326'!OSRRefD21_16_1x</vt:lpstr>
      <vt:lpstr>'331'!OSRRefD21_16_1x</vt:lpstr>
      <vt:lpstr>'491'!OSRRefD21_16_1x</vt:lpstr>
      <vt:lpstr>'Div 2'!OSRRefD21_16_1x</vt:lpstr>
      <vt:lpstr>'Div 4'!OSRRefD21_16_1x</vt:lpstr>
      <vt:lpstr>'300'!OSRRefD21_16_2x</vt:lpstr>
      <vt:lpstr>'300 &amp; 317'!OSRRefD21_16_2x</vt:lpstr>
      <vt:lpstr>'301'!OSRRefD21_16_2x</vt:lpstr>
      <vt:lpstr>'310'!OSRRefD21_16_2x</vt:lpstr>
      <vt:lpstr>'310 &amp; 491'!OSRRefD21_16_2x</vt:lpstr>
      <vt:lpstr>'491'!OSRRefD21_16_2x</vt:lpstr>
      <vt:lpstr>'Div 2'!OSRRefD21_16_2x</vt:lpstr>
      <vt:lpstr>'300'!OSRRefD21_16_3x</vt:lpstr>
      <vt:lpstr>'300 &amp; 317'!OSRRefD21_16_3x</vt:lpstr>
      <vt:lpstr>'301'!OSRRefD21_16_3x</vt:lpstr>
      <vt:lpstr>'310'!OSRRefD21_16_3x</vt:lpstr>
      <vt:lpstr>'310 &amp; 491'!OSRRefD21_16_3x</vt:lpstr>
      <vt:lpstr>'491'!OSRRefD21_16_3x</vt:lpstr>
      <vt:lpstr>'Div 2'!OSRRefD21_16_3x</vt:lpstr>
      <vt:lpstr>'301'!OSRRefD21_16_4x</vt:lpstr>
      <vt:lpstr>'310'!OSRRefD21_16_4x</vt:lpstr>
      <vt:lpstr>'310 &amp; 491'!OSRRefD21_16_4x</vt:lpstr>
      <vt:lpstr>'491'!OSRRefD21_16_4x</vt:lpstr>
      <vt:lpstr>'301'!OSRRefD21_16_5x</vt:lpstr>
      <vt:lpstr>'310'!OSRRefD21_16_5x</vt:lpstr>
      <vt:lpstr>'301'!OSRRefD21_16_6x</vt:lpstr>
      <vt:lpstr>'310'!OSRRefD21_16_6x</vt:lpstr>
      <vt:lpstr>'201'!OSRRefD21_16x_0</vt:lpstr>
      <vt:lpstr>'300'!OSRRefD21_16x_0</vt:lpstr>
      <vt:lpstr>'300 &amp; 317'!OSRRefD21_16x_0</vt:lpstr>
      <vt:lpstr>'301'!OSRRefD21_16x_0</vt:lpstr>
      <vt:lpstr>'310'!OSRRefD21_16x_0</vt:lpstr>
      <vt:lpstr>'310 &amp; 491'!OSRRefD21_16x_0</vt:lpstr>
      <vt:lpstr>'315'!OSRRefD21_16x_0</vt:lpstr>
      <vt:lpstr>'326'!OSRRefD21_16x_0</vt:lpstr>
      <vt:lpstr>'331'!OSRRefD21_16x_0</vt:lpstr>
      <vt:lpstr>'405'!OSRRefD21_16x_0</vt:lpstr>
      <vt:lpstr>'415'!OSRRefD21_16x_0</vt:lpstr>
      <vt:lpstr>'450'!OSRRefD21_16x_0</vt:lpstr>
      <vt:lpstr>'491'!OSRRefD21_16x_0</vt:lpstr>
      <vt:lpstr>'492'!OSRRefD21_16x_0</vt:lpstr>
      <vt:lpstr>'Div 2'!OSRRefD21_16x_0</vt:lpstr>
      <vt:lpstr>'Div 3'!OSRRefD21_16x_0</vt:lpstr>
      <vt:lpstr>'Div 4'!OSRRefD21_16x_0</vt:lpstr>
      <vt:lpstr>Summary!OSRRefD21_16x_0</vt:lpstr>
      <vt:lpstr>'201'!OSRRefD21_16x_1</vt:lpstr>
      <vt:lpstr>'300'!OSRRefD21_16x_1</vt:lpstr>
      <vt:lpstr>'300 &amp; 317'!OSRRefD21_16x_1</vt:lpstr>
      <vt:lpstr>'301'!OSRRefD21_16x_1</vt:lpstr>
      <vt:lpstr>'310'!OSRRefD21_16x_1</vt:lpstr>
      <vt:lpstr>'310 &amp; 491'!OSRRefD21_16x_1</vt:lpstr>
      <vt:lpstr>'315'!OSRRefD21_16x_1</vt:lpstr>
      <vt:lpstr>'326'!OSRRefD21_16x_1</vt:lpstr>
      <vt:lpstr>'331'!OSRRefD21_16x_1</vt:lpstr>
      <vt:lpstr>'405'!OSRRefD21_16x_1</vt:lpstr>
      <vt:lpstr>'415'!OSRRefD21_16x_1</vt:lpstr>
      <vt:lpstr>'450'!OSRRefD21_16x_1</vt:lpstr>
      <vt:lpstr>'491'!OSRRefD21_16x_1</vt:lpstr>
      <vt:lpstr>'492'!OSRRefD21_16x_1</vt:lpstr>
      <vt:lpstr>'Div 2'!OSRRefD21_16x_1</vt:lpstr>
      <vt:lpstr>'Div 3'!OSRRefD21_16x_1</vt:lpstr>
      <vt:lpstr>'Div 4'!OSRRefD21_16x_1</vt:lpstr>
      <vt:lpstr>Summary!OSRRefD21_16x_1</vt:lpstr>
      <vt:lpstr>'201'!OSRRefD21_16x_2</vt:lpstr>
      <vt:lpstr>'300'!OSRRefD21_16x_2</vt:lpstr>
      <vt:lpstr>'300 &amp; 317'!OSRRefD21_16x_2</vt:lpstr>
      <vt:lpstr>'301'!OSRRefD21_16x_2</vt:lpstr>
      <vt:lpstr>'310'!OSRRefD21_16x_2</vt:lpstr>
      <vt:lpstr>'310 &amp; 491'!OSRRefD21_16x_2</vt:lpstr>
      <vt:lpstr>'315'!OSRRefD21_16x_2</vt:lpstr>
      <vt:lpstr>'326'!OSRRefD21_16x_2</vt:lpstr>
      <vt:lpstr>'331'!OSRRefD21_16x_2</vt:lpstr>
      <vt:lpstr>'405'!OSRRefD21_16x_2</vt:lpstr>
      <vt:lpstr>'415'!OSRRefD21_16x_2</vt:lpstr>
      <vt:lpstr>'450'!OSRRefD21_16x_2</vt:lpstr>
      <vt:lpstr>'491'!OSRRefD21_16x_2</vt:lpstr>
      <vt:lpstr>'492'!OSRRefD21_16x_2</vt:lpstr>
      <vt:lpstr>'Div 2'!OSRRefD21_16x_2</vt:lpstr>
      <vt:lpstr>'Div 3'!OSRRefD21_16x_2</vt:lpstr>
      <vt:lpstr>'Div 4'!OSRRefD21_16x_2</vt:lpstr>
      <vt:lpstr>Summary!OSRRefD21_16x_2</vt:lpstr>
      <vt:lpstr>'201'!OSRRefD21_16x_3</vt:lpstr>
      <vt:lpstr>'300'!OSRRefD21_16x_3</vt:lpstr>
      <vt:lpstr>'300 &amp; 317'!OSRRefD21_16x_3</vt:lpstr>
      <vt:lpstr>'301'!OSRRefD21_16x_3</vt:lpstr>
      <vt:lpstr>'310'!OSRRefD21_16x_3</vt:lpstr>
      <vt:lpstr>'310 &amp; 491'!OSRRefD21_16x_3</vt:lpstr>
      <vt:lpstr>'315'!OSRRefD21_16x_3</vt:lpstr>
      <vt:lpstr>'326'!OSRRefD21_16x_3</vt:lpstr>
      <vt:lpstr>'331'!OSRRefD21_16x_3</vt:lpstr>
      <vt:lpstr>'405'!OSRRefD21_16x_3</vt:lpstr>
      <vt:lpstr>'415'!OSRRefD21_16x_3</vt:lpstr>
      <vt:lpstr>'450'!OSRRefD21_16x_3</vt:lpstr>
      <vt:lpstr>'491'!OSRRefD21_16x_3</vt:lpstr>
      <vt:lpstr>'492'!OSRRefD21_16x_3</vt:lpstr>
      <vt:lpstr>'Div 2'!OSRRefD21_16x_3</vt:lpstr>
      <vt:lpstr>'Div 3'!OSRRefD21_16x_3</vt:lpstr>
      <vt:lpstr>'Div 4'!OSRRefD21_16x_3</vt:lpstr>
      <vt:lpstr>Summary!OSRRefD21_16x_3</vt:lpstr>
      <vt:lpstr>'300'!OSRRefD21_17_0x</vt:lpstr>
      <vt:lpstr>'300 &amp; 317'!OSRRefD21_17_0x</vt:lpstr>
      <vt:lpstr>'301'!OSRRefD21_17_0x</vt:lpstr>
      <vt:lpstr>'310'!OSRRefD21_17_0x</vt:lpstr>
      <vt:lpstr>'310 &amp; 491'!OSRRefD21_17_0x</vt:lpstr>
      <vt:lpstr>'315'!OSRRefD21_17_0x</vt:lpstr>
      <vt:lpstr>'326'!OSRRefD21_17_0x</vt:lpstr>
      <vt:lpstr>'331'!OSRRefD21_17_0x</vt:lpstr>
      <vt:lpstr>'491'!OSRRefD21_17_0x</vt:lpstr>
      <vt:lpstr>'492'!OSRRefD21_17_0x</vt:lpstr>
      <vt:lpstr>'Div 2'!OSRRefD21_17_0x</vt:lpstr>
      <vt:lpstr>'Div 3'!OSRRefD21_17_0x</vt:lpstr>
      <vt:lpstr>'Div 4'!OSRRefD21_17_0x</vt:lpstr>
      <vt:lpstr>Summary!OSRRefD21_17_0x</vt:lpstr>
      <vt:lpstr>'300'!OSRRefD21_17_1x</vt:lpstr>
      <vt:lpstr>'300 &amp; 317'!OSRRefD21_17_1x</vt:lpstr>
      <vt:lpstr>'310'!OSRRefD21_17_1x</vt:lpstr>
      <vt:lpstr>'310 &amp; 491'!OSRRefD21_17_1x</vt:lpstr>
      <vt:lpstr>'315'!OSRRefD21_17_1x</vt:lpstr>
      <vt:lpstr>'331'!OSRRefD21_17_1x</vt:lpstr>
      <vt:lpstr>'491'!OSRRefD21_17_1x</vt:lpstr>
      <vt:lpstr>'Div 2'!OSRRefD21_17_1x</vt:lpstr>
      <vt:lpstr>'Div 3'!OSRRefD21_17_1x</vt:lpstr>
      <vt:lpstr>'Div 4'!OSRRefD21_17_1x</vt:lpstr>
      <vt:lpstr>'300'!OSRRefD21_17_2x</vt:lpstr>
      <vt:lpstr>'300 &amp; 317'!OSRRefD21_17_2x</vt:lpstr>
      <vt:lpstr>'331'!OSRRefD21_17_2x</vt:lpstr>
      <vt:lpstr>'Div 3'!OSRRefD21_17_2x</vt:lpstr>
      <vt:lpstr>'Div 4'!OSRRefD21_17_2x</vt:lpstr>
      <vt:lpstr>'300'!OSRRefD21_17_3x</vt:lpstr>
      <vt:lpstr>'300 &amp; 317'!OSRRefD21_17_3x</vt:lpstr>
      <vt:lpstr>'331'!OSRRefD21_17_3x</vt:lpstr>
      <vt:lpstr>'Div 3'!OSRRefD21_17_3x</vt:lpstr>
      <vt:lpstr>'Div 4'!OSRRefD21_17_3x</vt:lpstr>
      <vt:lpstr>'331'!OSRRefD21_17_4x</vt:lpstr>
      <vt:lpstr>'Div 4'!OSRRefD21_17_4x</vt:lpstr>
      <vt:lpstr>'331'!OSRRefD21_17_5x</vt:lpstr>
      <vt:lpstr>'331'!OSRRefD21_17_6x</vt:lpstr>
      <vt:lpstr>'331'!OSRRefD21_17_7x</vt:lpstr>
      <vt:lpstr>'300'!OSRRefD21_17x_0</vt:lpstr>
      <vt:lpstr>'300 &amp; 317'!OSRRefD21_17x_0</vt:lpstr>
      <vt:lpstr>'301'!OSRRefD21_17x_0</vt:lpstr>
      <vt:lpstr>'310'!OSRRefD21_17x_0</vt:lpstr>
      <vt:lpstr>'310 &amp; 491'!OSRRefD21_17x_0</vt:lpstr>
      <vt:lpstr>'315'!OSRRefD21_17x_0</vt:lpstr>
      <vt:lpstr>'326'!OSRRefD21_17x_0</vt:lpstr>
      <vt:lpstr>'331'!OSRRefD21_17x_0</vt:lpstr>
      <vt:lpstr>'491'!OSRRefD21_17x_0</vt:lpstr>
      <vt:lpstr>'492'!OSRRefD21_17x_0</vt:lpstr>
      <vt:lpstr>'Div 2'!OSRRefD21_17x_0</vt:lpstr>
      <vt:lpstr>'Div 3'!OSRRefD21_17x_0</vt:lpstr>
      <vt:lpstr>'Div 4'!OSRRefD21_17x_0</vt:lpstr>
      <vt:lpstr>Summary!OSRRefD21_17x_0</vt:lpstr>
      <vt:lpstr>'300'!OSRRefD21_17x_1</vt:lpstr>
      <vt:lpstr>'300 &amp; 317'!OSRRefD21_17x_1</vt:lpstr>
      <vt:lpstr>'301'!OSRRefD21_17x_1</vt:lpstr>
      <vt:lpstr>'310'!OSRRefD21_17x_1</vt:lpstr>
      <vt:lpstr>'310 &amp; 491'!OSRRefD21_17x_1</vt:lpstr>
      <vt:lpstr>'315'!OSRRefD21_17x_1</vt:lpstr>
      <vt:lpstr>'326'!OSRRefD21_17x_1</vt:lpstr>
      <vt:lpstr>'331'!OSRRefD21_17x_1</vt:lpstr>
      <vt:lpstr>'491'!OSRRefD21_17x_1</vt:lpstr>
      <vt:lpstr>'492'!OSRRefD21_17x_1</vt:lpstr>
      <vt:lpstr>'Div 2'!OSRRefD21_17x_1</vt:lpstr>
      <vt:lpstr>'Div 3'!OSRRefD21_17x_1</vt:lpstr>
      <vt:lpstr>'Div 4'!OSRRefD21_17x_1</vt:lpstr>
      <vt:lpstr>Summary!OSRRefD21_17x_1</vt:lpstr>
      <vt:lpstr>'300'!OSRRefD21_17x_2</vt:lpstr>
      <vt:lpstr>'300 &amp; 317'!OSRRefD21_17x_2</vt:lpstr>
      <vt:lpstr>'301'!OSRRefD21_17x_2</vt:lpstr>
      <vt:lpstr>'310'!OSRRefD21_17x_2</vt:lpstr>
      <vt:lpstr>'310 &amp; 491'!OSRRefD21_17x_2</vt:lpstr>
      <vt:lpstr>'315'!OSRRefD21_17x_2</vt:lpstr>
      <vt:lpstr>'326'!OSRRefD21_17x_2</vt:lpstr>
      <vt:lpstr>'331'!OSRRefD21_17x_2</vt:lpstr>
      <vt:lpstr>'491'!OSRRefD21_17x_2</vt:lpstr>
      <vt:lpstr>'492'!OSRRefD21_17x_2</vt:lpstr>
      <vt:lpstr>'Div 2'!OSRRefD21_17x_2</vt:lpstr>
      <vt:lpstr>'Div 3'!OSRRefD21_17x_2</vt:lpstr>
      <vt:lpstr>'Div 4'!OSRRefD21_17x_2</vt:lpstr>
      <vt:lpstr>Summary!OSRRefD21_17x_2</vt:lpstr>
      <vt:lpstr>'300'!OSRRefD21_17x_3</vt:lpstr>
      <vt:lpstr>'300 &amp; 317'!OSRRefD21_17x_3</vt:lpstr>
      <vt:lpstr>'301'!OSRRefD21_17x_3</vt:lpstr>
      <vt:lpstr>'310'!OSRRefD21_17x_3</vt:lpstr>
      <vt:lpstr>'310 &amp; 491'!OSRRefD21_17x_3</vt:lpstr>
      <vt:lpstr>'315'!OSRRefD21_17x_3</vt:lpstr>
      <vt:lpstr>'326'!OSRRefD21_17x_3</vt:lpstr>
      <vt:lpstr>'331'!OSRRefD21_17x_3</vt:lpstr>
      <vt:lpstr>'491'!OSRRefD21_17x_3</vt:lpstr>
      <vt:lpstr>'492'!OSRRefD21_17x_3</vt:lpstr>
      <vt:lpstr>'Div 2'!OSRRefD21_17x_3</vt:lpstr>
      <vt:lpstr>'Div 3'!OSRRefD21_17x_3</vt:lpstr>
      <vt:lpstr>'Div 4'!OSRRefD21_17x_3</vt:lpstr>
      <vt:lpstr>Summary!OSRRefD21_17x_3</vt:lpstr>
      <vt:lpstr>'300'!OSRRefD21_18_0x</vt:lpstr>
      <vt:lpstr>'300 &amp; 317'!OSRRefD21_18_0x</vt:lpstr>
      <vt:lpstr>'301'!OSRRefD21_18_0x</vt:lpstr>
      <vt:lpstr>'310'!OSRRefD21_18_0x</vt:lpstr>
      <vt:lpstr>'310 &amp; 491'!OSRRefD21_18_0x</vt:lpstr>
      <vt:lpstr>'326'!OSRRefD21_18_0x</vt:lpstr>
      <vt:lpstr>'331'!OSRRefD21_18_0x</vt:lpstr>
      <vt:lpstr>'491'!OSRRefD21_18_0x</vt:lpstr>
      <vt:lpstr>'Div 2'!OSRRefD21_18_0x</vt:lpstr>
      <vt:lpstr>'Div 3'!OSRRefD21_18_0x</vt:lpstr>
      <vt:lpstr>'Div 4'!OSRRefD21_18_0x</vt:lpstr>
      <vt:lpstr>Summary!OSRRefD21_18_0x</vt:lpstr>
      <vt:lpstr>'310 &amp; 491'!OSRRefD21_18_10x</vt:lpstr>
      <vt:lpstr>'491'!OSRRefD21_18_10x</vt:lpstr>
      <vt:lpstr>'300'!OSRRefD21_18_1x</vt:lpstr>
      <vt:lpstr>'300 &amp; 317'!OSRRefD21_18_1x</vt:lpstr>
      <vt:lpstr>'310 &amp; 491'!OSRRefD21_18_1x</vt:lpstr>
      <vt:lpstr>'326'!OSRRefD21_18_1x</vt:lpstr>
      <vt:lpstr>'331'!OSRRefD21_18_1x</vt:lpstr>
      <vt:lpstr>'491'!OSRRefD21_18_1x</vt:lpstr>
      <vt:lpstr>'Div 3'!OSRRefD21_18_1x</vt:lpstr>
      <vt:lpstr>'Div 4'!OSRRefD21_18_1x</vt:lpstr>
      <vt:lpstr>Summary!OSRRefD21_18_1x</vt:lpstr>
      <vt:lpstr>'300'!OSRRefD21_18_2x</vt:lpstr>
      <vt:lpstr>'300 &amp; 317'!OSRRefD21_18_2x</vt:lpstr>
      <vt:lpstr>'310 &amp; 491'!OSRRefD21_18_2x</vt:lpstr>
      <vt:lpstr>'491'!OSRRefD21_18_2x</vt:lpstr>
      <vt:lpstr>'Div 3'!OSRRefD21_18_2x</vt:lpstr>
      <vt:lpstr>Summary!OSRRefD21_18_2x</vt:lpstr>
      <vt:lpstr>'300'!OSRRefD21_18_3x</vt:lpstr>
      <vt:lpstr>'300 &amp; 317'!OSRRefD21_18_3x</vt:lpstr>
      <vt:lpstr>'310 &amp; 491'!OSRRefD21_18_3x</vt:lpstr>
      <vt:lpstr>'491'!OSRRefD21_18_3x</vt:lpstr>
      <vt:lpstr>'Div 3'!OSRRefD21_18_3x</vt:lpstr>
      <vt:lpstr>Summary!OSRRefD21_18_3x</vt:lpstr>
      <vt:lpstr>'310 &amp; 491'!OSRRefD21_18_4x</vt:lpstr>
      <vt:lpstr>'491'!OSRRefD21_18_4x</vt:lpstr>
      <vt:lpstr>'310 &amp; 491'!OSRRefD21_18_5x</vt:lpstr>
      <vt:lpstr>'491'!OSRRefD21_18_5x</vt:lpstr>
      <vt:lpstr>'310 &amp; 491'!OSRRefD21_18_6x</vt:lpstr>
      <vt:lpstr>'491'!OSRRefD21_18_6x</vt:lpstr>
      <vt:lpstr>'310 &amp; 491'!OSRRefD21_18_7x</vt:lpstr>
      <vt:lpstr>'491'!OSRRefD21_18_7x</vt:lpstr>
      <vt:lpstr>'310 &amp; 491'!OSRRefD21_18_8x</vt:lpstr>
      <vt:lpstr>'491'!OSRRefD21_18_8x</vt:lpstr>
      <vt:lpstr>'310 &amp; 491'!OSRRefD21_18_9x</vt:lpstr>
      <vt:lpstr>'491'!OSRRefD21_18_9x</vt:lpstr>
      <vt:lpstr>'300'!OSRRefD21_18x_0</vt:lpstr>
      <vt:lpstr>'300 &amp; 317'!OSRRefD21_18x_0</vt:lpstr>
      <vt:lpstr>'301'!OSRRefD21_18x_0</vt:lpstr>
      <vt:lpstr>'310'!OSRRefD21_18x_0</vt:lpstr>
      <vt:lpstr>'310 &amp; 491'!OSRRefD21_18x_0</vt:lpstr>
      <vt:lpstr>'326'!OSRRefD21_18x_0</vt:lpstr>
      <vt:lpstr>'331'!OSRRefD21_18x_0</vt:lpstr>
      <vt:lpstr>'491'!OSRRefD21_18x_0</vt:lpstr>
      <vt:lpstr>'Div 2'!OSRRefD21_18x_0</vt:lpstr>
      <vt:lpstr>'Div 3'!OSRRefD21_18x_0</vt:lpstr>
      <vt:lpstr>'Div 4'!OSRRefD21_18x_0</vt:lpstr>
      <vt:lpstr>Summary!OSRRefD21_18x_0</vt:lpstr>
      <vt:lpstr>'300'!OSRRefD21_18x_1</vt:lpstr>
      <vt:lpstr>'300 &amp; 317'!OSRRefD21_18x_1</vt:lpstr>
      <vt:lpstr>'301'!OSRRefD21_18x_1</vt:lpstr>
      <vt:lpstr>'310'!OSRRefD21_18x_1</vt:lpstr>
      <vt:lpstr>'310 &amp; 491'!OSRRefD21_18x_1</vt:lpstr>
      <vt:lpstr>'326'!OSRRefD21_18x_1</vt:lpstr>
      <vt:lpstr>'331'!OSRRefD21_18x_1</vt:lpstr>
      <vt:lpstr>'491'!OSRRefD21_18x_1</vt:lpstr>
      <vt:lpstr>'Div 2'!OSRRefD21_18x_1</vt:lpstr>
      <vt:lpstr>'Div 3'!OSRRefD21_18x_1</vt:lpstr>
      <vt:lpstr>'Div 4'!OSRRefD21_18x_1</vt:lpstr>
      <vt:lpstr>Summary!OSRRefD21_18x_1</vt:lpstr>
      <vt:lpstr>'300'!OSRRefD21_18x_2</vt:lpstr>
      <vt:lpstr>'300 &amp; 317'!OSRRefD21_18x_2</vt:lpstr>
      <vt:lpstr>'301'!OSRRefD21_18x_2</vt:lpstr>
      <vt:lpstr>'310'!OSRRefD21_18x_2</vt:lpstr>
      <vt:lpstr>'310 &amp; 491'!OSRRefD21_18x_2</vt:lpstr>
      <vt:lpstr>'326'!OSRRefD21_18x_2</vt:lpstr>
      <vt:lpstr>'331'!OSRRefD21_18x_2</vt:lpstr>
      <vt:lpstr>'491'!OSRRefD21_18x_2</vt:lpstr>
      <vt:lpstr>'Div 2'!OSRRefD21_18x_2</vt:lpstr>
      <vt:lpstr>'Div 3'!OSRRefD21_18x_2</vt:lpstr>
      <vt:lpstr>'Div 4'!OSRRefD21_18x_2</vt:lpstr>
      <vt:lpstr>Summary!OSRRefD21_18x_2</vt:lpstr>
      <vt:lpstr>'300'!OSRRefD21_18x_3</vt:lpstr>
      <vt:lpstr>'300 &amp; 317'!OSRRefD21_18x_3</vt:lpstr>
      <vt:lpstr>'301'!OSRRefD21_18x_3</vt:lpstr>
      <vt:lpstr>'310'!OSRRefD21_18x_3</vt:lpstr>
      <vt:lpstr>'310 &amp; 491'!OSRRefD21_18x_3</vt:lpstr>
      <vt:lpstr>'326'!OSRRefD21_18x_3</vt:lpstr>
      <vt:lpstr>'331'!OSRRefD21_18x_3</vt:lpstr>
      <vt:lpstr>'491'!OSRRefD21_18x_3</vt:lpstr>
      <vt:lpstr>'Div 2'!OSRRefD21_18x_3</vt:lpstr>
      <vt:lpstr>'Div 3'!OSRRefD21_18x_3</vt:lpstr>
      <vt:lpstr>'Div 4'!OSRRefD21_18x_3</vt:lpstr>
      <vt:lpstr>Summary!OSRRefD21_18x_3</vt:lpstr>
      <vt:lpstr>'300'!OSRRefD21_19_0x</vt:lpstr>
      <vt:lpstr>'300 &amp; 317'!OSRRefD21_19_0x</vt:lpstr>
      <vt:lpstr>'301'!OSRRefD21_19_0x</vt:lpstr>
      <vt:lpstr>'310'!OSRRefD21_19_0x</vt:lpstr>
      <vt:lpstr>'310 &amp; 491'!OSRRefD21_19_0x</vt:lpstr>
      <vt:lpstr>'326'!OSRRefD21_19_0x</vt:lpstr>
      <vt:lpstr>'331'!OSRRefD21_19_0x</vt:lpstr>
      <vt:lpstr>'491'!OSRRefD21_19_0x</vt:lpstr>
      <vt:lpstr>'Div 2'!OSRRefD21_19_0x</vt:lpstr>
      <vt:lpstr>'Div 3'!OSRRefD21_19_0x</vt:lpstr>
      <vt:lpstr>'Div 4'!OSRRefD21_19_0x</vt:lpstr>
      <vt:lpstr>Summary!OSRRefD21_19_0x</vt:lpstr>
      <vt:lpstr>'Div 4'!OSRRefD21_19_10x</vt:lpstr>
      <vt:lpstr>'300'!OSRRefD21_19_1x</vt:lpstr>
      <vt:lpstr>'300 &amp; 317'!OSRRefD21_19_1x</vt:lpstr>
      <vt:lpstr>'310 &amp; 491'!OSRRefD21_19_1x</vt:lpstr>
      <vt:lpstr>'491'!OSRRefD21_19_1x</vt:lpstr>
      <vt:lpstr>'Div 2'!OSRRefD21_19_1x</vt:lpstr>
      <vt:lpstr>'Div 3'!OSRRefD21_19_1x</vt:lpstr>
      <vt:lpstr>'Div 4'!OSRRefD21_19_1x</vt:lpstr>
      <vt:lpstr>Summary!OSRRefD21_19_1x</vt:lpstr>
      <vt:lpstr>'Div 3'!OSRRefD21_19_2x</vt:lpstr>
      <vt:lpstr>'Div 4'!OSRRefD21_19_2x</vt:lpstr>
      <vt:lpstr>Summary!OSRRefD21_19_2x</vt:lpstr>
      <vt:lpstr>'Div 3'!OSRRefD21_19_3x</vt:lpstr>
      <vt:lpstr>'Div 4'!OSRRefD21_19_3x</vt:lpstr>
      <vt:lpstr>Summary!OSRRefD21_19_3x</vt:lpstr>
      <vt:lpstr>'Div 4'!OSRRefD21_19_4x</vt:lpstr>
      <vt:lpstr>'Div 4'!OSRRefD21_19_5x</vt:lpstr>
      <vt:lpstr>'Div 4'!OSRRefD21_19_6x</vt:lpstr>
      <vt:lpstr>'Div 4'!OSRRefD21_19_7x</vt:lpstr>
      <vt:lpstr>'Div 4'!OSRRefD21_19_8x</vt:lpstr>
      <vt:lpstr>'Div 4'!OSRRefD21_19_9x</vt:lpstr>
      <vt:lpstr>'300'!OSRRefD21_19x_0</vt:lpstr>
      <vt:lpstr>'300 &amp; 317'!OSRRefD21_19x_0</vt:lpstr>
      <vt:lpstr>'301'!OSRRefD21_19x_0</vt:lpstr>
      <vt:lpstr>'310'!OSRRefD21_19x_0</vt:lpstr>
      <vt:lpstr>'310 &amp; 491'!OSRRefD21_19x_0</vt:lpstr>
      <vt:lpstr>'326'!OSRRefD21_19x_0</vt:lpstr>
      <vt:lpstr>'331'!OSRRefD21_19x_0</vt:lpstr>
      <vt:lpstr>'491'!OSRRefD21_19x_0</vt:lpstr>
      <vt:lpstr>'Div 2'!OSRRefD21_19x_0</vt:lpstr>
      <vt:lpstr>'Div 3'!OSRRefD21_19x_0</vt:lpstr>
      <vt:lpstr>'Div 4'!OSRRefD21_19x_0</vt:lpstr>
      <vt:lpstr>Summary!OSRRefD21_19x_0</vt:lpstr>
      <vt:lpstr>'300'!OSRRefD21_19x_1</vt:lpstr>
      <vt:lpstr>'300 &amp; 317'!OSRRefD21_19x_1</vt:lpstr>
      <vt:lpstr>'301'!OSRRefD21_19x_1</vt:lpstr>
      <vt:lpstr>'310'!OSRRefD21_19x_1</vt:lpstr>
      <vt:lpstr>'310 &amp; 491'!OSRRefD21_19x_1</vt:lpstr>
      <vt:lpstr>'326'!OSRRefD21_19x_1</vt:lpstr>
      <vt:lpstr>'331'!OSRRefD21_19x_1</vt:lpstr>
      <vt:lpstr>'491'!OSRRefD21_19x_1</vt:lpstr>
      <vt:lpstr>'Div 2'!OSRRefD21_19x_1</vt:lpstr>
      <vt:lpstr>'Div 3'!OSRRefD21_19x_1</vt:lpstr>
      <vt:lpstr>'Div 4'!OSRRefD21_19x_1</vt:lpstr>
      <vt:lpstr>Summary!OSRRefD21_19x_1</vt:lpstr>
      <vt:lpstr>'300'!OSRRefD21_19x_2</vt:lpstr>
      <vt:lpstr>'300 &amp; 317'!OSRRefD21_19x_2</vt:lpstr>
      <vt:lpstr>'301'!OSRRefD21_19x_2</vt:lpstr>
      <vt:lpstr>'310'!OSRRefD21_19x_2</vt:lpstr>
      <vt:lpstr>'310 &amp; 491'!OSRRefD21_19x_2</vt:lpstr>
      <vt:lpstr>'326'!OSRRefD21_19x_2</vt:lpstr>
      <vt:lpstr>'331'!OSRRefD21_19x_2</vt:lpstr>
      <vt:lpstr>'491'!OSRRefD21_19x_2</vt:lpstr>
      <vt:lpstr>'Div 2'!OSRRefD21_19x_2</vt:lpstr>
      <vt:lpstr>'Div 3'!OSRRefD21_19x_2</vt:lpstr>
      <vt:lpstr>'Div 4'!OSRRefD21_19x_2</vt:lpstr>
      <vt:lpstr>Summary!OSRRefD21_19x_2</vt:lpstr>
      <vt:lpstr>'300'!OSRRefD21_19x_3</vt:lpstr>
      <vt:lpstr>'300 &amp; 317'!OSRRefD21_19x_3</vt:lpstr>
      <vt:lpstr>'301'!OSRRefD21_19x_3</vt:lpstr>
      <vt:lpstr>'310'!OSRRefD21_19x_3</vt:lpstr>
      <vt:lpstr>'310 &amp; 491'!OSRRefD21_19x_3</vt:lpstr>
      <vt:lpstr>'326'!OSRRefD21_19x_3</vt:lpstr>
      <vt:lpstr>'331'!OSRRefD21_19x_3</vt:lpstr>
      <vt:lpstr>'491'!OSRRefD21_19x_3</vt:lpstr>
      <vt:lpstr>'Div 2'!OSRRefD21_19x_3</vt:lpstr>
      <vt:lpstr>'Div 3'!OSRRefD21_19x_3</vt:lpstr>
      <vt:lpstr>'Div 4'!OSRRefD21_19x_3</vt:lpstr>
      <vt:lpstr>Summary!OSRRefD21_19x_3</vt:lpstr>
      <vt:lpstr>'200'!OSRRefD21_1x_0</vt:lpstr>
      <vt:lpstr>'201'!OSRRefD21_1x_0</vt:lpstr>
      <vt:lpstr>'202'!OSRRefD21_1x_0</vt:lpstr>
      <vt:lpstr>'203'!OSRRefD21_1x_0</vt:lpstr>
      <vt:lpstr>'204'!OSRRefD21_1x_0</vt:lpstr>
      <vt:lpstr>'205'!OSRRefD21_1x_0</vt:lpstr>
      <vt:lpstr>'206'!OSRRefD21_1x_0</vt:lpstr>
      <vt:lpstr>'300'!OSRRefD21_1x_0</vt:lpstr>
      <vt:lpstr>'300 &amp; 317'!OSRRefD21_1x_0</vt:lpstr>
      <vt:lpstr>'301'!OSRRefD21_1x_0</vt:lpstr>
      <vt:lpstr>'307'!OSRRefD21_1x_0</vt:lpstr>
      <vt:lpstr>'308'!OSRRefD21_1x_0</vt:lpstr>
      <vt:lpstr>'309'!OSRRefD21_1x_0</vt:lpstr>
      <vt:lpstr>'310'!OSRRefD21_1x_0</vt:lpstr>
      <vt:lpstr>'310 &amp; 491'!OSRRefD21_1x_0</vt:lpstr>
      <vt:lpstr>'311'!OSRRefD21_1x_0</vt:lpstr>
      <vt:lpstr>'313'!OSRRefD21_1x_0</vt:lpstr>
      <vt:lpstr>'315'!OSRRefD21_1x_0</vt:lpstr>
      <vt:lpstr>'316'!OSRRefD21_1x_0</vt:lpstr>
      <vt:lpstr>'317'!OSRRefD21_1x_0</vt:lpstr>
      <vt:lpstr>'321'!OSRRefD21_1x_0</vt:lpstr>
      <vt:lpstr>'322'!OSRRefD21_1x_0</vt:lpstr>
      <vt:lpstr>'324'!OSRRefD21_1x_0</vt:lpstr>
      <vt:lpstr>'325'!OSRRefD21_1x_0</vt:lpstr>
      <vt:lpstr>'326'!OSRRefD21_1x_0</vt:lpstr>
      <vt:lpstr>'330'!OSRRefD21_1x_0</vt:lpstr>
      <vt:lpstr>'331'!OSRRefD21_1x_0</vt:lpstr>
      <vt:lpstr>'332'!OSRRefD21_1x_0</vt:lpstr>
      <vt:lpstr>'405'!OSRRefD21_1x_0</vt:lpstr>
      <vt:lpstr>'406'!OSRRefD21_1x_0</vt:lpstr>
      <vt:lpstr>'411'!OSRRefD21_1x_0</vt:lpstr>
      <vt:lpstr>'412'!OSRRefD21_1x_0</vt:lpstr>
      <vt:lpstr>'413'!OSRRefD21_1x_0</vt:lpstr>
      <vt:lpstr>'414'!OSRRefD21_1x_0</vt:lpstr>
      <vt:lpstr>'415'!OSRRefD21_1x_0</vt:lpstr>
      <vt:lpstr>'418'!OSRRefD21_1x_0</vt:lpstr>
      <vt:lpstr>'423'!OSRRefD21_1x_0</vt:lpstr>
      <vt:lpstr>'424'!OSRRefD21_1x_0</vt:lpstr>
      <vt:lpstr>'425'!OSRRefD21_1x_0</vt:lpstr>
      <vt:lpstr>'430'!OSRRefD21_1x_0</vt:lpstr>
      <vt:lpstr>'433'!OSRRefD21_1x_0</vt:lpstr>
      <vt:lpstr>'444'!OSRRefD21_1x_0</vt:lpstr>
      <vt:lpstr>'450'!OSRRefD21_1x_0</vt:lpstr>
      <vt:lpstr>'491'!OSRRefD21_1x_0</vt:lpstr>
      <vt:lpstr>'492'!OSRRefD21_1x_0</vt:lpstr>
      <vt:lpstr>'501'!OSRRefD21_1x_0</vt:lpstr>
      <vt:lpstr>'Div 2'!OSRRefD21_1x_0</vt:lpstr>
      <vt:lpstr>'Div 3'!OSRRefD21_1x_0</vt:lpstr>
      <vt:lpstr>'Div 4'!OSRRefD21_1x_0</vt:lpstr>
      <vt:lpstr>'Div 5'!OSRRefD21_1x_0</vt:lpstr>
      <vt:lpstr>'Div 6'!OSRRefD21_1x_0</vt:lpstr>
      <vt:lpstr>Summary!OSRRefD21_1x_0</vt:lpstr>
      <vt:lpstr>'200'!OSRRefD21_1x_1</vt:lpstr>
      <vt:lpstr>'201'!OSRRefD21_1x_1</vt:lpstr>
      <vt:lpstr>'202'!OSRRefD21_1x_1</vt:lpstr>
      <vt:lpstr>'203'!OSRRefD21_1x_1</vt:lpstr>
      <vt:lpstr>'204'!OSRRefD21_1x_1</vt:lpstr>
      <vt:lpstr>'205'!OSRRefD21_1x_1</vt:lpstr>
      <vt:lpstr>'206'!OSRRefD21_1x_1</vt:lpstr>
      <vt:lpstr>'300'!OSRRefD21_1x_1</vt:lpstr>
      <vt:lpstr>'300 &amp; 317'!OSRRefD21_1x_1</vt:lpstr>
      <vt:lpstr>'301'!OSRRefD21_1x_1</vt:lpstr>
      <vt:lpstr>'307'!OSRRefD21_1x_1</vt:lpstr>
      <vt:lpstr>'308'!OSRRefD21_1x_1</vt:lpstr>
      <vt:lpstr>'309'!OSRRefD21_1x_1</vt:lpstr>
      <vt:lpstr>'310'!OSRRefD21_1x_1</vt:lpstr>
      <vt:lpstr>'310 &amp; 491'!OSRRefD21_1x_1</vt:lpstr>
      <vt:lpstr>'311'!OSRRefD21_1x_1</vt:lpstr>
      <vt:lpstr>'313'!OSRRefD21_1x_1</vt:lpstr>
      <vt:lpstr>'315'!OSRRefD21_1x_1</vt:lpstr>
      <vt:lpstr>'316'!OSRRefD21_1x_1</vt:lpstr>
      <vt:lpstr>'317'!OSRRefD21_1x_1</vt:lpstr>
      <vt:lpstr>'321'!OSRRefD21_1x_1</vt:lpstr>
      <vt:lpstr>'322'!OSRRefD21_1x_1</vt:lpstr>
      <vt:lpstr>'324'!OSRRefD21_1x_1</vt:lpstr>
      <vt:lpstr>'325'!OSRRefD21_1x_1</vt:lpstr>
      <vt:lpstr>'326'!OSRRefD21_1x_1</vt:lpstr>
      <vt:lpstr>'330'!OSRRefD21_1x_1</vt:lpstr>
      <vt:lpstr>'331'!OSRRefD21_1x_1</vt:lpstr>
      <vt:lpstr>'332'!OSRRefD21_1x_1</vt:lpstr>
      <vt:lpstr>'405'!OSRRefD21_1x_1</vt:lpstr>
      <vt:lpstr>'406'!OSRRefD21_1x_1</vt:lpstr>
      <vt:lpstr>'411'!OSRRefD21_1x_1</vt:lpstr>
      <vt:lpstr>'412'!OSRRefD21_1x_1</vt:lpstr>
      <vt:lpstr>'413'!OSRRefD21_1x_1</vt:lpstr>
      <vt:lpstr>'414'!OSRRefD21_1x_1</vt:lpstr>
      <vt:lpstr>'415'!OSRRefD21_1x_1</vt:lpstr>
      <vt:lpstr>'418'!OSRRefD21_1x_1</vt:lpstr>
      <vt:lpstr>'423'!OSRRefD21_1x_1</vt:lpstr>
      <vt:lpstr>'424'!OSRRefD21_1x_1</vt:lpstr>
      <vt:lpstr>'425'!OSRRefD21_1x_1</vt:lpstr>
      <vt:lpstr>'430'!OSRRefD21_1x_1</vt:lpstr>
      <vt:lpstr>'433'!OSRRefD21_1x_1</vt:lpstr>
      <vt:lpstr>'444'!OSRRefD21_1x_1</vt:lpstr>
      <vt:lpstr>'450'!OSRRefD21_1x_1</vt:lpstr>
      <vt:lpstr>'491'!OSRRefD21_1x_1</vt:lpstr>
      <vt:lpstr>'492'!OSRRefD21_1x_1</vt:lpstr>
      <vt:lpstr>'501'!OSRRefD21_1x_1</vt:lpstr>
      <vt:lpstr>'Div 2'!OSRRefD21_1x_1</vt:lpstr>
      <vt:lpstr>'Div 3'!OSRRefD21_1x_1</vt:lpstr>
      <vt:lpstr>'Div 4'!OSRRefD21_1x_1</vt:lpstr>
      <vt:lpstr>'Div 5'!OSRRefD21_1x_1</vt:lpstr>
      <vt:lpstr>'Div 6'!OSRRefD21_1x_1</vt:lpstr>
      <vt:lpstr>Summary!OSRRefD21_1x_1</vt:lpstr>
      <vt:lpstr>'200'!OSRRefD21_1x_2</vt:lpstr>
      <vt:lpstr>'201'!OSRRefD21_1x_2</vt:lpstr>
      <vt:lpstr>'202'!OSRRefD21_1x_2</vt:lpstr>
      <vt:lpstr>'203'!OSRRefD21_1x_2</vt:lpstr>
      <vt:lpstr>'204'!OSRRefD21_1x_2</vt:lpstr>
      <vt:lpstr>'205'!OSRRefD21_1x_2</vt:lpstr>
      <vt:lpstr>'206'!OSRRefD21_1x_2</vt:lpstr>
      <vt:lpstr>'300'!OSRRefD21_1x_2</vt:lpstr>
      <vt:lpstr>'300 &amp; 317'!OSRRefD21_1x_2</vt:lpstr>
      <vt:lpstr>'301'!OSRRefD21_1x_2</vt:lpstr>
      <vt:lpstr>'307'!OSRRefD21_1x_2</vt:lpstr>
      <vt:lpstr>'308'!OSRRefD21_1x_2</vt:lpstr>
      <vt:lpstr>'309'!OSRRefD21_1x_2</vt:lpstr>
      <vt:lpstr>'310'!OSRRefD21_1x_2</vt:lpstr>
      <vt:lpstr>'310 &amp; 491'!OSRRefD21_1x_2</vt:lpstr>
      <vt:lpstr>'311'!OSRRefD21_1x_2</vt:lpstr>
      <vt:lpstr>'313'!OSRRefD21_1x_2</vt:lpstr>
      <vt:lpstr>'315'!OSRRefD21_1x_2</vt:lpstr>
      <vt:lpstr>'316'!OSRRefD21_1x_2</vt:lpstr>
      <vt:lpstr>'317'!OSRRefD21_1x_2</vt:lpstr>
      <vt:lpstr>'321'!OSRRefD21_1x_2</vt:lpstr>
      <vt:lpstr>'322'!OSRRefD21_1x_2</vt:lpstr>
      <vt:lpstr>'324'!OSRRefD21_1x_2</vt:lpstr>
      <vt:lpstr>'325'!OSRRefD21_1x_2</vt:lpstr>
      <vt:lpstr>'326'!OSRRefD21_1x_2</vt:lpstr>
      <vt:lpstr>'330'!OSRRefD21_1x_2</vt:lpstr>
      <vt:lpstr>'331'!OSRRefD21_1x_2</vt:lpstr>
      <vt:lpstr>'332'!OSRRefD21_1x_2</vt:lpstr>
      <vt:lpstr>'405'!OSRRefD21_1x_2</vt:lpstr>
      <vt:lpstr>'406'!OSRRefD21_1x_2</vt:lpstr>
      <vt:lpstr>'411'!OSRRefD21_1x_2</vt:lpstr>
      <vt:lpstr>'412'!OSRRefD21_1x_2</vt:lpstr>
      <vt:lpstr>'413'!OSRRefD21_1x_2</vt:lpstr>
      <vt:lpstr>'414'!OSRRefD21_1x_2</vt:lpstr>
      <vt:lpstr>'415'!OSRRefD21_1x_2</vt:lpstr>
      <vt:lpstr>'418'!OSRRefD21_1x_2</vt:lpstr>
      <vt:lpstr>'423'!OSRRefD21_1x_2</vt:lpstr>
      <vt:lpstr>'424'!OSRRefD21_1x_2</vt:lpstr>
      <vt:lpstr>'425'!OSRRefD21_1x_2</vt:lpstr>
      <vt:lpstr>'430'!OSRRefD21_1x_2</vt:lpstr>
      <vt:lpstr>'433'!OSRRefD21_1x_2</vt:lpstr>
      <vt:lpstr>'444'!OSRRefD21_1x_2</vt:lpstr>
      <vt:lpstr>'450'!OSRRefD21_1x_2</vt:lpstr>
      <vt:lpstr>'491'!OSRRefD21_1x_2</vt:lpstr>
      <vt:lpstr>'492'!OSRRefD21_1x_2</vt:lpstr>
      <vt:lpstr>'501'!OSRRefD21_1x_2</vt:lpstr>
      <vt:lpstr>'Div 2'!OSRRefD21_1x_2</vt:lpstr>
      <vt:lpstr>'Div 3'!OSRRefD21_1x_2</vt:lpstr>
      <vt:lpstr>'Div 4'!OSRRefD21_1x_2</vt:lpstr>
      <vt:lpstr>'Div 5'!OSRRefD21_1x_2</vt:lpstr>
      <vt:lpstr>'Div 6'!OSRRefD21_1x_2</vt:lpstr>
      <vt:lpstr>Summary!OSRRefD21_1x_2</vt:lpstr>
      <vt:lpstr>'200'!OSRRefD21_1x_3</vt:lpstr>
      <vt:lpstr>'201'!OSRRefD21_1x_3</vt:lpstr>
      <vt:lpstr>'202'!OSRRefD21_1x_3</vt:lpstr>
      <vt:lpstr>'203'!OSRRefD21_1x_3</vt:lpstr>
      <vt:lpstr>'204'!OSRRefD21_1x_3</vt:lpstr>
      <vt:lpstr>'205'!OSRRefD21_1x_3</vt:lpstr>
      <vt:lpstr>'206'!OSRRefD21_1x_3</vt:lpstr>
      <vt:lpstr>'300'!OSRRefD21_1x_3</vt:lpstr>
      <vt:lpstr>'300 &amp; 317'!OSRRefD21_1x_3</vt:lpstr>
      <vt:lpstr>'301'!OSRRefD21_1x_3</vt:lpstr>
      <vt:lpstr>'307'!OSRRefD21_1x_3</vt:lpstr>
      <vt:lpstr>'308'!OSRRefD21_1x_3</vt:lpstr>
      <vt:lpstr>'309'!OSRRefD21_1x_3</vt:lpstr>
      <vt:lpstr>'310'!OSRRefD21_1x_3</vt:lpstr>
      <vt:lpstr>'310 &amp; 491'!OSRRefD21_1x_3</vt:lpstr>
      <vt:lpstr>'311'!OSRRefD21_1x_3</vt:lpstr>
      <vt:lpstr>'313'!OSRRefD21_1x_3</vt:lpstr>
      <vt:lpstr>'315'!OSRRefD21_1x_3</vt:lpstr>
      <vt:lpstr>'316'!OSRRefD21_1x_3</vt:lpstr>
      <vt:lpstr>'317'!OSRRefD21_1x_3</vt:lpstr>
      <vt:lpstr>'321'!OSRRefD21_1x_3</vt:lpstr>
      <vt:lpstr>'322'!OSRRefD21_1x_3</vt:lpstr>
      <vt:lpstr>'324'!OSRRefD21_1x_3</vt:lpstr>
      <vt:lpstr>'325'!OSRRefD21_1x_3</vt:lpstr>
      <vt:lpstr>'326'!OSRRefD21_1x_3</vt:lpstr>
      <vt:lpstr>'330'!OSRRefD21_1x_3</vt:lpstr>
      <vt:lpstr>'331'!OSRRefD21_1x_3</vt:lpstr>
      <vt:lpstr>'332'!OSRRefD21_1x_3</vt:lpstr>
      <vt:lpstr>'405'!OSRRefD21_1x_3</vt:lpstr>
      <vt:lpstr>'406'!OSRRefD21_1x_3</vt:lpstr>
      <vt:lpstr>'411'!OSRRefD21_1x_3</vt:lpstr>
      <vt:lpstr>'412'!OSRRefD21_1x_3</vt:lpstr>
      <vt:lpstr>'413'!OSRRefD21_1x_3</vt:lpstr>
      <vt:lpstr>'414'!OSRRefD21_1x_3</vt:lpstr>
      <vt:lpstr>'415'!OSRRefD21_1x_3</vt:lpstr>
      <vt:lpstr>'418'!OSRRefD21_1x_3</vt:lpstr>
      <vt:lpstr>'423'!OSRRefD21_1x_3</vt:lpstr>
      <vt:lpstr>'424'!OSRRefD21_1x_3</vt:lpstr>
      <vt:lpstr>'425'!OSRRefD21_1x_3</vt:lpstr>
      <vt:lpstr>'430'!OSRRefD21_1x_3</vt:lpstr>
      <vt:lpstr>'433'!OSRRefD21_1x_3</vt:lpstr>
      <vt:lpstr>'444'!OSRRefD21_1x_3</vt:lpstr>
      <vt:lpstr>'450'!OSRRefD21_1x_3</vt:lpstr>
      <vt:lpstr>'491'!OSRRefD21_1x_3</vt:lpstr>
      <vt:lpstr>'492'!OSRRefD21_1x_3</vt:lpstr>
      <vt:lpstr>'501'!OSRRefD21_1x_3</vt:lpstr>
      <vt:lpstr>'Div 2'!OSRRefD21_1x_3</vt:lpstr>
      <vt:lpstr>'Div 3'!OSRRefD21_1x_3</vt:lpstr>
      <vt:lpstr>'Div 4'!OSRRefD21_1x_3</vt:lpstr>
      <vt:lpstr>'Div 5'!OSRRefD21_1x_3</vt:lpstr>
      <vt:lpstr>'Div 6'!OSRRefD21_1x_3</vt:lpstr>
      <vt:lpstr>Summary!OSRRefD21_1x_3</vt:lpstr>
      <vt:lpstr>'200'!OSRRefD21_2_0x</vt:lpstr>
      <vt:lpstr>'201'!OSRRefD21_2_0x</vt:lpstr>
      <vt:lpstr>'202'!OSRRefD21_2_0x</vt:lpstr>
      <vt:lpstr>'203'!OSRRefD21_2_0x</vt:lpstr>
      <vt:lpstr>'204'!OSRRefD21_2_0x</vt:lpstr>
      <vt:lpstr>'205'!OSRRefD21_2_0x</vt:lpstr>
      <vt:lpstr>'206'!OSRRefD21_2_0x</vt:lpstr>
      <vt:lpstr>'300'!OSRRefD21_2_0x</vt:lpstr>
      <vt:lpstr>'300 &amp; 317'!OSRRefD21_2_0x</vt:lpstr>
      <vt:lpstr>'301'!OSRRefD21_2_0x</vt:lpstr>
      <vt:lpstr>'307'!OSRRefD21_2_0x</vt:lpstr>
      <vt:lpstr>'308'!OSRRefD21_2_0x</vt:lpstr>
      <vt:lpstr>'309'!OSRRefD21_2_0x</vt:lpstr>
      <vt:lpstr>'310'!OSRRefD21_2_0x</vt:lpstr>
      <vt:lpstr>'310 &amp; 491'!OSRRefD21_2_0x</vt:lpstr>
      <vt:lpstr>'311'!OSRRefD21_2_0x</vt:lpstr>
      <vt:lpstr>'313'!OSRRefD21_2_0x</vt:lpstr>
      <vt:lpstr>'315'!OSRRefD21_2_0x</vt:lpstr>
      <vt:lpstr>'316'!OSRRefD21_2_0x</vt:lpstr>
      <vt:lpstr>'317'!OSRRefD21_2_0x</vt:lpstr>
      <vt:lpstr>'321'!OSRRefD21_2_0x</vt:lpstr>
      <vt:lpstr>'322'!OSRRefD21_2_0x</vt:lpstr>
      <vt:lpstr>'325'!OSRRefD21_2_0x</vt:lpstr>
      <vt:lpstr>'326'!OSRRefD21_2_0x</vt:lpstr>
      <vt:lpstr>'330'!OSRRefD21_2_0x</vt:lpstr>
      <vt:lpstr>'331'!OSRRefD21_2_0x</vt:lpstr>
      <vt:lpstr>'332'!OSRRefD21_2_0x</vt:lpstr>
      <vt:lpstr>'405'!OSRRefD21_2_0x</vt:lpstr>
      <vt:lpstr>'406'!OSRRefD21_2_0x</vt:lpstr>
      <vt:lpstr>'411'!OSRRefD21_2_0x</vt:lpstr>
      <vt:lpstr>'412'!OSRRefD21_2_0x</vt:lpstr>
      <vt:lpstr>'413'!OSRRefD21_2_0x</vt:lpstr>
      <vt:lpstr>'414'!OSRRefD21_2_0x</vt:lpstr>
      <vt:lpstr>'415'!OSRRefD21_2_0x</vt:lpstr>
      <vt:lpstr>'418'!OSRRefD21_2_0x</vt:lpstr>
      <vt:lpstr>'423'!OSRRefD21_2_0x</vt:lpstr>
      <vt:lpstr>'424'!OSRRefD21_2_0x</vt:lpstr>
      <vt:lpstr>'425'!OSRRefD21_2_0x</vt:lpstr>
      <vt:lpstr>'430'!OSRRefD21_2_0x</vt:lpstr>
      <vt:lpstr>'433'!OSRRefD21_2_0x</vt:lpstr>
      <vt:lpstr>'444'!OSRRefD21_2_0x</vt:lpstr>
      <vt:lpstr>'450'!OSRRefD21_2_0x</vt:lpstr>
      <vt:lpstr>'491'!OSRRefD21_2_0x</vt:lpstr>
      <vt:lpstr>'492'!OSRRefD21_2_0x</vt:lpstr>
      <vt:lpstr>'501'!OSRRefD21_2_0x</vt:lpstr>
      <vt:lpstr>'Div 2'!OSRRefD21_2_0x</vt:lpstr>
      <vt:lpstr>'Div 3'!OSRRefD21_2_0x</vt:lpstr>
      <vt:lpstr>'Div 4'!OSRRefD21_2_0x</vt:lpstr>
      <vt:lpstr>'Div 5'!OSRRefD21_2_0x</vt:lpstr>
      <vt:lpstr>'Div 6'!OSRRefD21_2_0x</vt:lpstr>
      <vt:lpstr>Summary!OSRRefD21_2_0x</vt:lpstr>
      <vt:lpstr>'301'!OSRRefD21_2_1x</vt:lpstr>
      <vt:lpstr>'300'!OSRRefD21_20_0x</vt:lpstr>
      <vt:lpstr>'300 &amp; 317'!OSRRefD21_20_0x</vt:lpstr>
      <vt:lpstr>'301'!OSRRefD21_20_0x</vt:lpstr>
      <vt:lpstr>'310 &amp; 491'!OSRRefD21_20_0x</vt:lpstr>
      <vt:lpstr>'331'!OSRRefD21_20_0x</vt:lpstr>
      <vt:lpstr>'491'!OSRRefD21_20_0x</vt:lpstr>
      <vt:lpstr>'Div 3'!OSRRefD21_20_0x</vt:lpstr>
      <vt:lpstr>'Div 4'!OSRRefD21_20_0x</vt:lpstr>
      <vt:lpstr>Summary!OSRRefD21_20_0x</vt:lpstr>
      <vt:lpstr>'300'!OSRRefD21_20_1x</vt:lpstr>
      <vt:lpstr>'300 &amp; 317'!OSRRefD21_20_1x</vt:lpstr>
      <vt:lpstr>'331'!OSRRefD21_20_1x</vt:lpstr>
      <vt:lpstr>'Div 3'!OSRRefD21_20_1x</vt:lpstr>
      <vt:lpstr>'Div 4'!OSRRefD21_20_1x</vt:lpstr>
      <vt:lpstr>Summary!OSRRefD21_20_1x</vt:lpstr>
      <vt:lpstr>'300'!OSRRefD21_20_2x</vt:lpstr>
      <vt:lpstr>'300 &amp; 317'!OSRRefD21_20_2x</vt:lpstr>
      <vt:lpstr>Summary!OSRRefD21_20_2x</vt:lpstr>
      <vt:lpstr>'300'!OSRRefD21_20_3x</vt:lpstr>
      <vt:lpstr>'300 &amp; 317'!OSRRefD21_20_3x</vt:lpstr>
      <vt:lpstr>Summary!OSRRefD21_20_3x</vt:lpstr>
      <vt:lpstr>'300'!OSRRefD21_20_4x</vt:lpstr>
      <vt:lpstr>'300 &amp; 317'!OSRRefD21_20_4x</vt:lpstr>
      <vt:lpstr>Summary!OSRRefD21_20_4x</vt:lpstr>
      <vt:lpstr>'300'!OSRRefD21_20_5x</vt:lpstr>
      <vt:lpstr>'300 &amp; 317'!OSRRefD21_20_5x</vt:lpstr>
      <vt:lpstr>'300'!OSRRefD21_20_6x</vt:lpstr>
      <vt:lpstr>'300 &amp; 317'!OSRRefD21_20_6x</vt:lpstr>
      <vt:lpstr>'300'!OSRRefD21_20_7x</vt:lpstr>
      <vt:lpstr>'300 &amp; 317'!OSRRefD21_20_7x</vt:lpstr>
      <vt:lpstr>'300'!OSRRefD21_20_8x</vt:lpstr>
      <vt:lpstr>'300 &amp; 317'!OSRRefD21_20_8x</vt:lpstr>
      <vt:lpstr>'300'!OSRRefD21_20x_0</vt:lpstr>
      <vt:lpstr>'300 &amp; 317'!OSRRefD21_20x_0</vt:lpstr>
      <vt:lpstr>'301'!OSRRefD21_20x_0</vt:lpstr>
      <vt:lpstr>'310 &amp; 491'!OSRRefD21_20x_0</vt:lpstr>
      <vt:lpstr>'331'!OSRRefD21_20x_0</vt:lpstr>
      <vt:lpstr>'491'!OSRRefD21_20x_0</vt:lpstr>
      <vt:lpstr>'Div 3'!OSRRefD21_20x_0</vt:lpstr>
      <vt:lpstr>'Div 4'!OSRRefD21_20x_0</vt:lpstr>
      <vt:lpstr>Summary!OSRRefD21_20x_0</vt:lpstr>
      <vt:lpstr>'300'!OSRRefD21_20x_1</vt:lpstr>
      <vt:lpstr>'300 &amp; 317'!OSRRefD21_20x_1</vt:lpstr>
      <vt:lpstr>'301'!OSRRefD21_20x_1</vt:lpstr>
      <vt:lpstr>'310 &amp; 491'!OSRRefD21_20x_1</vt:lpstr>
      <vt:lpstr>'331'!OSRRefD21_20x_1</vt:lpstr>
      <vt:lpstr>'491'!OSRRefD21_20x_1</vt:lpstr>
      <vt:lpstr>'Div 3'!OSRRefD21_20x_1</vt:lpstr>
      <vt:lpstr>'Div 4'!OSRRefD21_20x_1</vt:lpstr>
      <vt:lpstr>Summary!OSRRefD21_20x_1</vt:lpstr>
      <vt:lpstr>'300'!OSRRefD21_20x_2</vt:lpstr>
      <vt:lpstr>'300 &amp; 317'!OSRRefD21_20x_2</vt:lpstr>
      <vt:lpstr>'301'!OSRRefD21_20x_2</vt:lpstr>
      <vt:lpstr>'310 &amp; 491'!OSRRefD21_20x_2</vt:lpstr>
      <vt:lpstr>'331'!OSRRefD21_20x_2</vt:lpstr>
      <vt:lpstr>'491'!OSRRefD21_20x_2</vt:lpstr>
      <vt:lpstr>'Div 3'!OSRRefD21_20x_2</vt:lpstr>
      <vt:lpstr>'Div 4'!OSRRefD21_20x_2</vt:lpstr>
      <vt:lpstr>Summary!OSRRefD21_20x_2</vt:lpstr>
      <vt:lpstr>'300'!OSRRefD21_20x_3</vt:lpstr>
      <vt:lpstr>'300 &amp; 317'!OSRRefD21_20x_3</vt:lpstr>
      <vt:lpstr>'301'!OSRRefD21_20x_3</vt:lpstr>
      <vt:lpstr>'310 &amp; 491'!OSRRefD21_20x_3</vt:lpstr>
      <vt:lpstr>'331'!OSRRefD21_20x_3</vt:lpstr>
      <vt:lpstr>'491'!OSRRefD21_20x_3</vt:lpstr>
      <vt:lpstr>'Div 3'!OSRRefD21_20x_3</vt:lpstr>
      <vt:lpstr>'Div 4'!OSRRefD21_20x_3</vt:lpstr>
      <vt:lpstr>Summary!OSRRefD21_20x_3</vt:lpstr>
      <vt:lpstr>'300'!OSRRefD21_21_0x</vt:lpstr>
      <vt:lpstr>'300 &amp; 317'!OSRRefD21_21_0x</vt:lpstr>
      <vt:lpstr>'310 &amp; 491'!OSRRefD21_21_0x</vt:lpstr>
      <vt:lpstr>'331'!OSRRefD21_21_0x</vt:lpstr>
      <vt:lpstr>'491'!OSRRefD21_21_0x</vt:lpstr>
      <vt:lpstr>'Div 3'!OSRRefD21_21_0x</vt:lpstr>
      <vt:lpstr>'Div 4'!OSRRefD21_21_0x</vt:lpstr>
      <vt:lpstr>Summary!OSRRefD21_21_0x</vt:lpstr>
      <vt:lpstr>'300'!OSRRefD21_21_1x</vt:lpstr>
      <vt:lpstr>'300 &amp; 317'!OSRRefD21_21_1x</vt:lpstr>
      <vt:lpstr>'Div 3'!OSRRefD21_21_1x</vt:lpstr>
      <vt:lpstr>Summary!OSRRefD21_21_1x</vt:lpstr>
      <vt:lpstr>'Div 3'!OSRRefD21_21_2x</vt:lpstr>
      <vt:lpstr>'Div 3'!OSRRefD21_21_3x</vt:lpstr>
      <vt:lpstr>'Div 3'!OSRRefD21_21_4x</vt:lpstr>
      <vt:lpstr>'Div 3'!OSRRefD21_21_5x</vt:lpstr>
      <vt:lpstr>'Div 3'!OSRRefD21_21_6x</vt:lpstr>
      <vt:lpstr>'Div 3'!OSRRefD21_21_7x</vt:lpstr>
      <vt:lpstr>'Div 3'!OSRRefD21_21_8x</vt:lpstr>
      <vt:lpstr>'300'!OSRRefD21_21x_0</vt:lpstr>
      <vt:lpstr>'300 &amp; 317'!OSRRefD21_21x_0</vt:lpstr>
      <vt:lpstr>'310 &amp; 491'!OSRRefD21_21x_0</vt:lpstr>
      <vt:lpstr>'331'!OSRRefD21_21x_0</vt:lpstr>
      <vt:lpstr>'491'!OSRRefD21_21x_0</vt:lpstr>
      <vt:lpstr>'Div 3'!OSRRefD21_21x_0</vt:lpstr>
      <vt:lpstr>'Div 4'!OSRRefD21_21x_0</vt:lpstr>
      <vt:lpstr>Summary!OSRRefD21_21x_0</vt:lpstr>
      <vt:lpstr>'300'!OSRRefD21_21x_1</vt:lpstr>
      <vt:lpstr>'300 &amp; 317'!OSRRefD21_21x_1</vt:lpstr>
      <vt:lpstr>'310 &amp; 491'!OSRRefD21_21x_1</vt:lpstr>
      <vt:lpstr>'331'!OSRRefD21_21x_1</vt:lpstr>
      <vt:lpstr>'491'!OSRRefD21_21x_1</vt:lpstr>
      <vt:lpstr>'Div 3'!OSRRefD21_21x_1</vt:lpstr>
      <vt:lpstr>'Div 4'!OSRRefD21_21x_1</vt:lpstr>
      <vt:lpstr>Summary!OSRRefD21_21x_1</vt:lpstr>
      <vt:lpstr>'300'!OSRRefD21_21x_2</vt:lpstr>
      <vt:lpstr>'300 &amp; 317'!OSRRefD21_21x_2</vt:lpstr>
      <vt:lpstr>'310 &amp; 491'!OSRRefD21_21x_2</vt:lpstr>
      <vt:lpstr>'331'!OSRRefD21_21x_2</vt:lpstr>
      <vt:lpstr>'491'!OSRRefD21_21x_2</vt:lpstr>
      <vt:lpstr>'Div 3'!OSRRefD21_21x_2</vt:lpstr>
      <vt:lpstr>'Div 4'!OSRRefD21_21x_2</vt:lpstr>
      <vt:lpstr>Summary!OSRRefD21_21x_2</vt:lpstr>
      <vt:lpstr>'300'!OSRRefD21_21x_3</vt:lpstr>
      <vt:lpstr>'300 &amp; 317'!OSRRefD21_21x_3</vt:lpstr>
      <vt:lpstr>'310 &amp; 491'!OSRRefD21_21x_3</vt:lpstr>
      <vt:lpstr>'331'!OSRRefD21_21x_3</vt:lpstr>
      <vt:lpstr>'491'!OSRRefD21_21x_3</vt:lpstr>
      <vt:lpstr>'Div 3'!OSRRefD21_21x_3</vt:lpstr>
      <vt:lpstr>'Div 4'!OSRRefD21_21x_3</vt:lpstr>
      <vt:lpstr>Summary!OSRRefD21_21x_3</vt:lpstr>
      <vt:lpstr>'300'!OSRRefD21_22_0x</vt:lpstr>
      <vt:lpstr>'300 &amp; 317'!OSRRefD21_22_0x</vt:lpstr>
      <vt:lpstr>'310 &amp; 491'!OSRRefD21_22_0x</vt:lpstr>
      <vt:lpstr>'491'!OSRRefD21_22_0x</vt:lpstr>
      <vt:lpstr>'Div 3'!OSRRefD21_22_0x</vt:lpstr>
      <vt:lpstr>'Div 4'!OSRRefD21_22_0x</vt:lpstr>
      <vt:lpstr>Summary!OSRRefD21_22_0x</vt:lpstr>
      <vt:lpstr>Summary!OSRRefD21_22_10x</vt:lpstr>
      <vt:lpstr>'Div 3'!OSRRefD21_22_1x</vt:lpstr>
      <vt:lpstr>'Div 4'!OSRRefD21_22_1x</vt:lpstr>
      <vt:lpstr>Summary!OSRRefD21_22_1x</vt:lpstr>
      <vt:lpstr>Summary!OSRRefD21_22_2x</vt:lpstr>
      <vt:lpstr>Summary!OSRRefD21_22_3x</vt:lpstr>
      <vt:lpstr>Summary!OSRRefD21_22_4x</vt:lpstr>
      <vt:lpstr>Summary!OSRRefD21_22_5x</vt:lpstr>
      <vt:lpstr>Summary!OSRRefD21_22_6x</vt:lpstr>
      <vt:lpstr>Summary!OSRRefD21_22_7x</vt:lpstr>
      <vt:lpstr>Summary!OSRRefD21_22_8x</vt:lpstr>
      <vt:lpstr>Summary!OSRRefD21_22_9x</vt:lpstr>
      <vt:lpstr>'300'!OSRRefD21_22x_0</vt:lpstr>
      <vt:lpstr>'300 &amp; 317'!OSRRefD21_22x_0</vt:lpstr>
      <vt:lpstr>'310 &amp; 491'!OSRRefD21_22x_0</vt:lpstr>
      <vt:lpstr>'491'!OSRRefD21_22x_0</vt:lpstr>
      <vt:lpstr>'Div 3'!OSRRefD21_22x_0</vt:lpstr>
      <vt:lpstr>'Div 4'!OSRRefD21_22x_0</vt:lpstr>
      <vt:lpstr>Summary!OSRRefD21_22x_0</vt:lpstr>
      <vt:lpstr>'300'!OSRRefD21_22x_1</vt:lpstr>
      <vt:lpstr>'300 &amp; 317'!OSRRefD21_22x_1</vt:lpstr>
      <vt:lpstr>'310 &amp; 491'!OSRRefD21_22x_1</vt:lpstr>
      <vt:lpstr>'491'!OSRRefD21_22x_1</vt:lpstr>
      <vt:lpstr>'Div 3'!OSRRefD21_22x_1</vt:lpstr>
      <vt:lpstr>'Div 4'!OSRRefD21_22x_1</vt:lpstr>
      <vt:lpstr>Summary!OSRRefD21_22x_1</vt:lpstr>
      <vt:lpstr>'300'!OSRRefD21_22x_2</vt:lpstr>
      <vt:lpstr>'300 &amp; 317'!OSRRefD21_22x_2</vt:lpstr>
      <vt:lpstr>'310 &amp; 491'!OSRRefD21_22x_2</vt:lpstr>
      <vt:lpstr>'491'!OSRRefD21_22x_2</vt:lpstr>
      <vt:lpstr>'Div 3'!OSRRefD21_22x_2</vt:lpstr>
      <vt:lpstr>'Div 4'!OSRRefD21_22x_2</vt:lpstr>
      <vt:lpstr>Summary!OSRRefD21_22x_2</vt:lpstr>
      <vt:lpstr>'300'!OSRRefD21_22x_3</vt:lpstr>
      <vt:lpstr>'300 &amp; 317'!OSRRefD21_22x_3</vt:lpstr>
      <vt:lpstr>'310 &amp; 491'!OSRRefD21_22x_3</vt:lpstr>
      <vt:lpstr>'491'!OSRRefD21_22x_3</vt:lpstr>
      <vt:lpstr>'Div 3'!OSRRefD21_22x_3</vt:lpstr>
      <vt:lpstr>'Div 4'!OSRRefD21_22x_3</vt:lpstr>
      <vt:lpstr>Summary!OSRRefD21_22x_3</vt:lpstr>
      <vt:lpstr>'300'!OSRRefD21_23_0x</vt:lpstr>
      <vt:lpstr>'300 &amp; 317'!OSRRefD21_23_0x</vt:lpstr>
      <vt:lpstr>'Div 3'!OSRRefD21_23_0x</vt:lpstr>
      <vt:lpstr>'Div 4'!OSRRefD21_23_0x</vt:lpstr>
      <vt:lpstr>Summary!OSRRefD21_23_0x</vt:lpstr>
      <vt:lpstr>'300'!OSRRefD21_23_1x</vt:lpstr>
      <vt:lpstr>'300 &amp; 317'!OSRRefD21_23_1x</vt:lpstr>
      <vt:lpstr>Summary!OSRRefD21_23_1x</vt:lpstr>
      <vt:lpstr>'300'!OSRRefD21_23_2x</vt:lpstr>
      <vt:lpstr>'300 &amp; 317'!OSRRefD21_23_2x</vt:lpstr>
      <vt:lpstr>'300'!OSRRefD21_23x_0</vt:lpstr>
      <vt:lpstr>'300 &amp; 317'!OSRRefD21_23x_0</vt:lpstr>
      <vt:lpstr>'Div 3'!OSRRefD21_23x_0</vt:lpstr>
      <vt:lpstr>'Div 4'!OSRRefD21_23x_0</vt:lpstr>
      <vt:lpstr>Summary!OSRRefD21_23x_0</vt:lpstr>
      <vt:lpstr>'300'!OSRRefD21_23x_1</vt:lpstr>
      <vt:lpstr>'300 &amp; 317'!OSRRefD21_23x_1</vt:lpstr>
      <vt:lpstr>'Div 3'!OSRRefD21_23x_1</vt:lpstr>
      <vt:lpstr>'Div 4'!OSRRefD21_23x_1</vt:lpstr>
      <vt:lpstr>Summary!OSRRefD21_23x_1</vt:lpstr>
      <vt:lpstr>'300'!OSRRefD21_23x_2</vt:lpstr>
      <vt:lpstr>'300 &amp; 317'!OSRRefD21_23x_2</vt:lpstr>
      <vt:lpstr>'Div 3'!OSRRefD21_23x_2</vt:lpstr>
      <vt:lpstr>'Div 4'!OSRRefD21_23x_2</vt:lpstr>
      <vt:lpstr>Summary!OSRRefD21_23x_2</vt:lpstr>
      <vt:lpstr>'300'!OSRRefD21_23x_3</vt:lpstr>
      <vt:lpstr>'300 &amp; 317'!OSRRefD21_23x_3</vt:lpstr>
      <vt:lpstr>'Div 3'!OSRRefD21_23x_3</vt:lpstr>
      <vt:lpstr>'Div 4'!OSRRefD21_23x_3</vt:lpstr>
      <vt:lpstr>Summary!OSRRefD21_23x_3</vt:lpstr>
      <vt:lpstr>'300'!OSRRefD21_24_0x</vt:lpstr>
      <vt:lpstr>'300 &amp; 317'!OSRRefD21_24_0x</vt:lpstr>
      <vt:lpstr>'Div 3'!OSRRefD21_24_0x</vt:lpstr>
      <vt:lpstr>Summary!OSRRefD21_24_0x</vt:lpstr>
      <vt:lpstr>'Div 3'!OSRRefD21_24_1x</vt:lpstr>
      <vt:lpstr>'Div 3'!OSRRefD21_24_2x</vt:lpstr>
      <vt:lpstr>'300'!OSRRefD21_24x_0</vt:lpstr>
      <vt:lpstr>'300 &amp; 317'!OSRRefD21_24x_0</vt:lpstr>
      <vt:lpstr>'Div 3'!OSRRefD21_24x_0</vt:lpstr>
      <vt:lpstr>Summary!OSRRefD21_24x_0</vt:lpstr>
      <vt:lpstr>'300'!OSRRefD21_24x_1</vt:lpstr>
      <vt:lpstr>'300 &amp; 317'!OSRRefD21_24x_1</vt:lpstr>
      <vt:lpstr>'Div 3'!OSRRefD21_24x_1</vt:lpstr>
      <vt:lpstr>Summary!OSRRefD21_24x_1</vt:lpstr>
      <vt:lpstr>'300'!OSRRefD21_24x_2</vt:lpstr>
      <vt:lpstr>'300 &amp; 317'!OSRRefD21_24x_2</vt:lpstr>
      <vt:lpstr>'Div 3'!OSRRefD21_24x_2</vt:lpstr>
      <vt:lpstr>Summary!OSRRefD21_24x_2</vt:lpstr>
      <vt:lpstr>'300'!OSRRefD21_24x_3</vt:lpstr>
      <vt:lpstr>'300 &amp; 317'!OSRRefD21_24x_3</vt:lpstr>
      <vt:lpstr>'Div 3'!OSRRefD21_24x_3</vt:lpstr>
      <vt:lpstr>Summary!OSRRefD21_24x_3</vt:lpstr>
      <vt:lpstr>'Div 3'!OSRRefD21_25_0x</vt:lpstr>
      <vt:lpstr>Summary!OSRRefD21_25_0x</vt:lpstr>
      <vt:lpstr>Summary!OSRRefD21_25_1x</vt:lpstr>
      <vt:lpstr>Summary!OSRRefD21_25_2x</vt:lpstr>
      <vt:lpstr>'Div 3'!OSRRefD21_25x_0</vt:lpstr>
      <vt:lpstr>Summary!OSRRefD21_25x_0</vt:lpstr>
      <vt:lpstr>'Div 3'!OSRRefD21_25x_1</vt:lpstr>
      <vt:lpstr>Summary!OSRRefD21_25x_1</vt:lpstr>
      <vt:lpstr>'Div 3'!OSRRefD21_25x_2</vt:lpstr>
      <vt:lpstr>Summary!OSRRefD21_25x_2</vt:lpstr>
      <vt:lpstr>'Div 3'!OSRRefD21_25x_3</vt:lpstr>
      <vt:lpstr>Summary!OSRRefD21_25x_3</vt:lpstr>
      <vt:lpstr>Summary!OSRRefD21_26_0x</vt:lpstr>
      <vt:lpstr>Summary!OSRRefD21_26x_0</vt:lpstr>
      <vt:lpstr>Summary!OSRRefD21_26x_1</vt:lpstr>
      <vt:lpstr>Summary!OSRRefD21_26x_2</vt:lpstr>
      <vt:lpstr>Summary!OSRRefD21_26x_3</vt:lpstr>
      <vt:lpstr>'200'!OSRRefD21_2x_0</vt:lpstr>
      <vt:lpstr>'201'!OSRRefD21_2x_0</vt:lpstr>
      <vt:lpstr>'202'!OSRRefD21_2x_0</vt:lpstr>
      <vt:lpstr>'203'!OSRRefD21_2x_0</vt:lpstr>
      <vt:lpstr>'204'!OSRRefD21_2x_0</vt:lpstr>
      <vt:lpstr>'205'!OSRRefD21_2x_0</vt:lpstr>
      <vt:lpstr>'206'!OSRRefD21_2x_0</vt:lpstr>
      <vt:lpstr>'300'!OSRRefD21_2x_0</vt:lpstr>
      <vt:lpstr>'300 &amp; 317'!OSRRefD21_2x_0</vt:lpstr>
      <vt:lpstr>'301'!OSRRefD21_2x_0</vt:lpstr>
      <vt:lpstr>'307'!OSRRefD21_2x_0</vt:lpstr>
      <vt:lpstr>'308'!OSRRefD21_2x_0</vt:lpstr>
      <vt:lpstr>'309'!OSRRefD21_2x_0</vt:lpstr>
      <vt:lpstr>'310'!OSRRefD21_2x_0</vt:lpstr>
      <vt:lpstr>'310 &amp; 491'!OSRRefD21_2x_0</vt:lpstr>
      <vt:lpstr>'311'!OSRRefD21_2x_0</vt:lpstr>
      <vt:lpstr>'313'!OSRRefD21_2x_0</vt:lpstr>
      <vt:lpstr>'315'!OSRRefD21_2x_0</vt:lpstr>
      <vt:lpstr>'316'!OSRRefD21_2x_0</vt:lpstr>
      <vt:lpstr>'317'!OSRRefD21_2x_0</vt:lpstr>
      <vt:lpstr>'321'!OSRRefD21_2x_0</vt:lpstr>
      <vt:lpstr>'322'!OSRRefD21_2x_0</vt:lpstr>
      <vt:lpstr>'325'!OSRRefD21_2x_0</vt:lpstr>
      <vt:lpstr>'326'!OSRRefD21_2x_0</vt:lpstr>
      <vt:lpstr>'330'!OSRRefD21_2x_0</vt:lpstr>
      <vt:lpstr>'331'!OSRRefD21_2x_0</vt:lpstr>
      <vt:lpstr>'332'!OSRRefD21_2x_0</vt:lpstr>
      <vt:lpstr>'405'!OSRRefD21_2x_0</vt:lpstr>
      <vt:lpstr>'406'!OSRRefD21_2x_0</vt:lpstr>
      <vt:lpstr>'411'!OSRRefD21_2x_0</vt:lpstr>
      <vt:lpstr>'412'!OSRRefD21_2x_0</vt:lpstr>
      <vt:lpstr>'413'!OSRRefD21_2x_0</vt:lpstr>
      <vt:lpstr>'414'!OSRRefD21_2x_0</vt:lpstr>
      <vt:lpstr>'415'!OSRRefD21_2x_0</vt:lpstr>
      <vt:lpstr>'418'!OSRRefD21_2x_0</vt:lpstr>
      <vt:lpstr>'423'!OSRRefD21_2x_0</vt:lpstr>
      <vt:lpstr>'424'!OSRRefD21_2x_0</vt:lpstr>
      <vt:lpstr>'425'!OSRRefD21_2x_0</vt:lpstr>
      <vt:lpstr>'430'!OSRRefD21_2x_0</vt:lpstr>
      <vt:lpstr>'433'!OSRRefD21_2x_0</vt:lpstr>
      <vt:lpstr>'444'!OSRRefD21_2x_0</vt:lpstr>
      <vt:lpstr>'450'!OSRRefD21_2x_0</vt:lpstr>
      <vt:lpstr>'491'!OSRRefD21_2x_0</vt:lpstr>
      <vt:lpstr>'492'!OSRRefD21_2x_0</vt:lpstr>
      <vt:lpstr>'501'!OSRRefD21_2x_0</vt:lpstr>
      <vt:lpstr>'Div 2'!OSRRefD21_2x_0</vt:lpstr>
      <vt:lpstr>'Div 3'!OSRRefD21_2x_0</vt:lpstr>
      <vt:lpstr>'Div 4'!OSRRefD21_2x_0</vt:lpstr>
      <vt:lpstr>'Div 5'!OSRRefD21_2x_0</vt:lpstr>
      <vt:lpstr>'Div 6'!OSRRefD21_2x_0</vt:lpstr>
      <vt:lpstr>Summary!OSRRefD21_2x_0</vt:lpstr>
      <vt:lpstr>'200'!OSRRefD21_2x_1</vt:lpstr>
      <vt:lpstr>'201'!OSRRefD21_2x_1</vt:lpstr>
      <vt:lpstr>'202'!OSRRefD21_2x_1</vt:lpstr>
      <vt:lpstr>'203'!OSRRefD21_2x_1</vt:lpstr>
      <vt:lpstr>'204'!OSRRefD21_2x_1</vt:lpstr>
      <vt:lpstr>'205'!OSRRefD21_2x_1</vt:lpstr>
      <vt:lpstr>'206'!OSRRefD21_2x_1</vt:lpstr>
      <vt:lpstr>'300'!OSRRefD21_2x_1</vt:lpstr>
      <vt:lpstr>'300 &amp; 317'!OSRRefD21_2x_1</vt:lpstr>
      <vt:lpstr>'301'!OSRRefD21_2x_1</vt:lpstr>
      <vt:lpstr>'307'!OSRRefD21_2x_1</vt:lpstr>
      <vt:lpstr>'308'!OSRRefD21_2x_1</vt:lpstr>
      <vt:lpstr>'309'!OSRRefD21_2x_1</vt:lpstr>
      <vt:lpstr>'310'!OSRRefD21_2x_1</vt:lpstr>
      <vt:lpstr>'310 &amp; 491'!OSRRefD21_2x_1</vt:lpstr>
      <vt:lpstr>'311'!OSRRefD21_2x_1</vt:lpstr>
      <vt:lpstr>'313'!OSRRefD21_2x_1</vt:lpstr>
      <vt:lpstr>'315'!OSRRefD21_2x_1</vt:lpstr>
      <vt:lpstr>'316'!OSRRefD21_2x_1</vt:lpstr>
      <vt:lpstr>'317'!OSRRefD21_2x_1</vt:lpstr>
      <vt:lpstr>'321'!OSRRefD21_2x_1</vt:lpstr>
      <vt:lpstr>'322'!OSRRefD21_2x_1</vt:lpstr>
      <vt:lpstr>'325'!OSRRefD21_2x_1</vt:lpstr>
      <vt:lpstr>'326'!OSRRefD21_2x_1</vt:lpstr>
      <vt:lpstr>'330'!OSRRefD21_2x_1</vt:lpstr>
      <vt:lpstr>'331'!OSRRefD21_2x_1</vt:lpstr>
      <vt:lpstr>'332'!OSRRefD21_2x_1</vt:lpstr>
      <vt:lpstr>'405'!OSRRefD21_2x_1</vt:lpstr>
      <vt:lpstr>'406'!OSRRefD21_2x_1</vt:lpstr>
      <vt:lpstr>'411'!OSRRefD21_2x_1</vt:lpstr>
      <vt:lpstr>'412'!OSRRefD21_2x_1</vt:lpstr>
      <vt:lpstr>'413'!OSRRefD21_2x_1</vt:lpstr>
      <vt:lpstr>'414'!OSRRefD21_2x_1</vt:lpstr>
      <vt:lpstr>'415'!OSRRefD21_2x_1</vt:lpstr>
      <vt:lpstr>'418'!OSRRefD21_2x_1</vt:lpstr>
      <vt:lpstr>'423'!OSRRefD21_2x_1</vt:lpstr>
      <vt:lpstr>'424'!OSRRefD21_2x_1</vt:lpstr>
      <vt:lpstr>'425'!OSRRefD21_2x_1</vt:lpstr>
      <vt:lpstr>'430'!OSRRefD21_2x_1</vt:lpstr>
      <vt:lpstr>'433'!OSRRefD21_2x_1</vt:lpstr>
      <vt:lpstr>'444'!OSRRefD21_2x_1</vt:lpstr>
      <vt:lpstr>'450'!OSRRefD21_2x_1</vt:lpstr>
      <vt:lpstr>'491'!OSRRefD21_2x_1</vt:lpstr>
      <vt:lpstr>'492'!OSRRefD21_2x_1</vt:lpstr>
      <vt:lpstr>'501'!OSRRefD21_2x_1</vt:lpstr>
      <vt:lpstr>'Div 2'!OSRRefD21_2x_1</vt:lpstr>
      <vt:lpstr>'Div 3'!OSRRefD21_2x_1</vt:lpstr>
      <vt:lpstr>'Div 4'!OSRRefD21_2x_1</vt:lpstr>
      <vt:lpstr>'Div 5'!OSRRefD21_2x_1</vt:lpstr>
      <vt:lpstr>'Div 6'!OSRRefD21_2x_1</vt:lpstr>
      <vt:lpstr>Summary!OSRRefD21_2x_1</vt:lpstr>
      <vt:lpstr>'200'!OSRRefD21_2x_2</vt:lpstr>
      <vt:lpstr>'201'!OSRRefD21_2x_2</vt:lpstr>
      <vt:lpstr>'202'!OSRRefD21_2x_2</vt:lpstr>
      <vt:lpstr>'203'!OSRRefD21_2x_2</vt:lpstr>
      <vt:lpstr>'204'!OSRRefD21_2x_2</vt:lpstr>
      <vt:lpstr>'205'!OSRRefD21_2x_2</vt:lpstr>
      <vt:lpstr>'206'!OSRRefD21_2x_2</vt:lpstr>
      <vt:lpstr>'300'!OSRRefD21_2x_2</vt:lpstr>
      <vt:lpstr>'300 &amp; 317'!OSRRefD21_2x_2</vt:lpstr>
      <vt:lpstr>'301'!OSRRefD21_2x_2</vt:lpstr>
      <vt:lpstr>'307'!OSRRefD21_2x_2</vt:lpstr>
      <vt:lpstr>'308'!OSRRefD21_2x_2</vt:lpstr>
      <vt:lpstr>'309'!OSRRefD21_2x_2</vt:lpstr>
      <vt:lpstr>'310'!OSRRefD21_2x_2</vt:lpstr>
      <vt:lpstr>'310 &amp; 491'!OSRRefD21_2x_2</vt:lpstr>
      <vt:lpstr>'311'!OSRRefD21_2x_2</vt:lpstr>
      <vt:lpstr>'313'!OSRRefD21_2x_2</vt:lpstr>
      <vt:lpstr>'315'!OSRRefD21_2x_2</vt:lpstr>
      <vt:lpstr>'316'!OSRRefD21_2x_2</vt:lpstr>
      <vt:lpstr>'317'!OSRRefD21_2x_2</vt:lpstr>
      <vt:lpstr>'321'!OSRRefD21_2x_2</vt:lpstr>
      <vt:lpstr>'322'!OSRRefD21_2x_2</vt:lpstr>
      <vt:lpstr>'325'!OSRRefD21_2x_2</vt:lpstr>
      <vt:lpstr>'326'!OSRRefD21_2x_2</vt:lpstr>
      <vt:lpstr>'330'!OSRRefD21_2x_2</vt:lpstr>
      <vt:lpstr>'331'!OSRRefD21_2x_2</vt:lpstr>
      <vt:lpstr>'332'!OSRRefD21_2x_2</vt:lpstr>
      <vt:lpstr>'405'!OSRRefD21_2x_2</vt:lpstr>
      <vt:lpstr>'406'!OSRRefD21_2x_2</vt:lpstr>
      <vt:lpstr>'411'!OSRRefD21_2x_2</vt:lpstr>
      <vt:lpstr>'412'!OSRRefD21_2x_2</vt:lpstr>
      <vt:lpstr>'413'!OSRRefD21_2x_2</vt:lpstr>
      <vt:lpstr>'414'!OSRRefD21_2x_2</vt:lpstr>
      <vt:lpstr>'415'!OSRRefD21_2x_2</vt:lpstr>
      <vt:lpstr>'418'!OSRRefD21_2x_2</vt:lpstr>
      <vt:lpstr>'423'!OSRRefD21_2x_2</vt:lpstr>
      <vt:lpstr>'424'!OSRRefD21_2x_2</vt:lpstr>
      <vt:lpstr>'425'!OSRRefD21_2x_2</vt:lpstr>
      <vt:lpstr>'430'!OSRRefD21_2x_2</vt:lpstr>
      <vt:lpstr>'433'!OSRRefD21_2x_2</vt:lpstr>
      <vt:lpstr>'444'!OSRRefD21_2x_2</vt:lpstr>
      <vt:lpstr>'450'!OSRRefD21_2x_2</vt:lpstr>
      <vt:lpstr>'491'!OSRRefD21_2x_2</vt:lpstr>
      <vt:lpstr>'492'!OSRRefD21_2x_2</vt:lpstr>
      <vt:lpstr>'501'!OSRRefD21_2x_2</vt:lpstr>
      <vt:lpstr>'Div 2'!OSRRefD21_2x_2</vt:lpstr>
      <vt:lpstr>'Div 3'!OSRRefD21_2x_2</vt:lpstr>
      <vt:lpstr>'Div 4'!OSRRefD21_2x_2</vt:lpstr>
      <vt:lpstr>'Div 5'!OSRRefD21_2x_2</vt:lpstr>
      <vt:lpstr>'Div 6'!OSRRefD21_2x_2</vt:lpstr>
      <vt:lpstr>Summary!OSRRefD21_2x_2</vt:lpstr>
      <vt:lpstr>'200'!OSRRefD21_2x_3</vt:lpstr>
      <vt:lpstr>'201'!OSRRefD21_2x_3</vt:lpstr>
      <vt:lpstr>'202'!OSRRefD21_2x_3</vt:lpstr>
      <vt:lpstr>'203'!OSRRefD21_2x_3</vt:lpstr>
      <vt:lpstr>'204'!OSRRefD21_2x_3</vt:lpstr>
      <vt:lpstr>'205'!OSRRefD21_2x_3</vt:lpstr>
      <vt:lpstr>'206'!OSRRefD21_2x_3</vt:lpstr>
      <vt:lpstr>'300'!OSRRefD21_2x_3</vt:lpstr>
      <vt:lpstr>'300 &amp; 317'!OSRRefD21_2x_3</vt:lpstr>
      <vt:lpstr>'301'!OSRRefD21_2x_3</vt:lpstr>
      <vt:lpstr>'307'!OSRRefD21_2x_3</vt:lpstr>
      <vt:lpstr>'308'!OSRRefD21_2x_3</vt:lpstr>
      <vt:lpstr>'309'!OSRRefD21_2x_3</vt:lpstr>
      <vt:lpstr>'310'!OSRRefD21_2x_3</vt:lpstr>
      <vt:lpstr>'310 &amp; 491'!OSRRefD21_2x_3</vt:lpstr>
      <vt:lpstr>'311'!OSRRefD21_2x_3</vt:lpstr>
      <vt:lpstr>'313'!OSRRefD21_2x_3</vt:lpstr>
      <vt:lpstr>'315'!OSRRefD21_2x_3</vt:lpstr>
      <vt:lpstr>'316'!OSRRefD21_2x_3</vt:lpstr>
      <vt:lpstr>'317'!OSRRefD21_2x_3</vt:lpstr>
      <vt:lpstr>'321'!OSRRefD21_2x_3</vt:lpstr>
      <vt:lpstr>'322'!OSRRefD21_2x_3</vt:lpstr>
      <vt:lpstr>'325'!OSRRefD21_2x_3</vt:lpstr>
      <vt:lpstr>'326'!OSRRefD21_2x_3</vt:lpstr>
      <vt:lpstr>'330'!OSRRefD21_2x_3</vt:lpstr>
      <vt:lpstr>'331'!OSRRefD21_2x_3</vt:lpstr>
      <vt:lpstr>'332'!OSRRefD21_2x_3</vt:lpstr>
      <vt:lpstr>'405'!OSRRefD21_2x_3</vt:lpstr>
      <vt:lpstr>'406'!OSRRefD21_2x_3</vt:lpstr>
      <vt:lpstr>'411'!OSRRefD21_2x_3</vt:lpstr>
      <vt:lpstr>'412'!OSRRefD21_2x_3</vt:lpstr>
      <vt:lpstr>'413'!OSRRefD21_2x_3</vt:lpstr>
      <vt:lpstr>'414'!OSRRefD21_2x_3</vt:lpstr>
      <vt:lpstr>'415'!OSRRefD21_2x_3</vt:lpstr>
      <vt:lpstr>'418'!OSRRefD21_2x_3</vt:lpstr>
      <vt:lpstr>'423'!OSRRefD21_2x_3</vt:lpstr>
      <vt:lpstr>'424'!OSRRefD21_2x_3</vt:lpstr>
      <vt:lpstr>'425'!OSRRefD21_2x_3</vt:lpstr>
      <vt:lpstr>'430'!OSRRefD21_2x_3</vt:lpstr>
      <vt:lpstr>'433'!OSRRefD21_2x_3</vt:lpstr>
      <vt:lpstr>'444'!OSRRefD21_2x_3</vt:lpstr>
      <vt:lpstr>'450'!OSRRefD21_2x_3</vt:lpstr>
      <vt:lpstr>'491'!OSRRefD21_2x_3</vt:lpstr>
      <vt:lpstr>'492'!OSRRefD21_2x_3</vt:lpstr>
      <vt:lpstr>'501'!OSRRefD21_2x_3</vt:lpstr>
      <vt:lpstr>'Div 2'!OSRRefD21_2x_3</vt:lpstr>
      <vt:lpstr>'Div 3'!OSRRefD21_2x_3</vt:lpstr>
      <vt:lpstr>'Div 4'!OSRRefD21_2x_3</vt:lpstr>
      <vt:lpstr>'Div 5'!OSRRefD21_2x_3</vt:lpstr>
      <vt:lpstr>'Div 6'!OSRRefD21_2x_3</vt:lpstr>
      <vt:lpstr>Summary!OSRRefD21_2x_3</vt:lpstr>
      <vt:lpstr>'200'!OSRRefD21_3_0x</vt:lpstr>
      <vt:lpstr>'201'!OSRRefD21_3_0x</vt:lpstr>
      <vt:lpstr>'202'!OSRRefD21_3_0x</vt:lpstr>
      <vt:lpstr>'203'!OSRRefD21_3_0x</vt:lpstr>
      <vt:lpstr>'204'!OSRRefD21_3_0x</vt:lpstr>
      <vt:lpstr>'205'!OSRRefD21_3_0x</vt:lpstr>
      <vt:lpstr>'206'!OSRRefD21_3_0x</vt:lpstr>
      <vt:lpstr>'300'!OSRRefD21_3_0x</vt:lpstr>
      <vt:lpstr>'300 &amp; 317'!OSRRefD21_3_0x</vt:lpstr>
      <vt:lpstr>'301'!OSRRefD21_3_0x</vt:lpstr>
      <vt:lpstr>'307'!OSRRefD21_3_0x</vt:lpstr>
      <vt:lpstr>'308'!OSRRefD21_3_0x</vt:lpstr>
      <vt:lpstr>'309'!OSRRefD21_3_0x</vt:lpstr>
      <vt:lpstr>'310'!OSRRefD21_3_0x</vt:lpstr>
      <vt:lpstr>'310 &amp; 491'!OSRRefD21_3_0x</vt:lpstr>
      <vt:lpstr>'311'!OSRRefD21_3_0x</vt:lpstr>
      <vt:lpstr>'313'!OSRRefD21_3_0x</vt:lpstr>
      <vt:lpstr>'315'!OSRRefD21_3_0x</vt:lpstr>
      <vt:lpstr>'316'!OSRRefD21_3_0x</vt:lpstr>
      <vt:lpstr>'317'!OSRRefD21_3_0x</vt:lpstr>
      <vt:lpstr>'321'!OSRRefD21_3_0x</vt:lpstr>
      <vt:lpstr>'322'!OSRRefD21_3_0x</vt:lpstr>
      <vt:lpstr>'325'!OSRRefD21_3_0x</vt:lpstr>
      <vt:lpstr>'326'!OSRRefD21_3_0x</vt:lpstr>
      <vt:lpstr>'330'!OSRRefD21_3_0x</vt:lpstr>
      <vt:lpstr>'331'!OSRRefD21_3_0x</vt:lpstr>
      <vt:lpstr>'332'!OSRRefD21_3_0x</vt:lpstr>
      <vt:lpstr>'405'!OSRRefD21_3_0x</vt:lpstr>
      <vt:lpstr>'406'!OSRRefD21_3_0x</vt:lpstr>
      <vt:lpstr>'411'!OSRRefD21_3_0x</vt:lpstr>
      <vt:lpstr>'412'!OSRRefD21_3_0x</vt:lpstr>
      <vt:lpstr>'413'!OSRRefD21_3_0x</vt:lpstr>
      <vt:lpstr>'414'!OSRRefD21_3_0x</vt:lpstr>
      <vt:lpstr>'415'!OSRRefD21_3_0x</vt:lpstr>
      <vt:lpstr>'418'!OSRRefD21_3_0x</vt:lpstr>
      <vt:lpstr>'423'!OSRRefD21_3_0x</vt:lpstr>
      <vt:lpstr>'424'!OSRRefD21_3_0x</vt:lpstr>
      <vt:lpstr>'425'!OSRRefD21_3_0x</vt:lpstr>
      <vt:lpstr>'430'!OSRRefD21_3_0x</vt:lpstr>
      <vt:lpstr>'433'!OSRRefD21_3_0x</vt:lpstr>
      <vt:lpstr>'444'!OSRRefD21_3_0x</vt:lpstr>
      <vt:lpstr>'450'!OSRRefD21_3_0x</vt:lpstr>
      <vt:lpstr>'491'!OSRRefD21_3_0x</vt:lpstr>
      <vt:lpstr>'492'!OSRRefD21_3_0x</vt:lpstr>
      <vt:lpstr>'501'!OSRRefD21_3_0x</vt:lpstr>
      <vt:lpstr>'Div 2'!OSRRefD21_3_0x</vt:lpstr>
      <vt:lpstr>'Div 3'!OSRRefD21_3_0x</vt:lpstr>
      <vt:lpstr>'Div 4'!OSRRefD21_3_0x</vt:lpstr>
      <vt:lpstr>'Div 5'!OSRRefD21_3_0x</vt:lpstr>
      <vt:lpstr>'Div 6'!OSRRefD21_3_0x</vt:lpstr>
      <vt:lpstr>Summary!OSRRefD21_3_0x</vt:lpstr>
      <vt:lpstr>'300'!OSRRefD21_3_1x</vt:lpstr>
      <vt:lpstr>'300 &amp; 317'!OSRRefD21_3_1x</vt:lpstr>
      <vt:lpstr>'423'!OSRRefD21_3_1x</vt:lpstr>
      <vt:lpstr>'Div 3'!OSRRefD21_3_1x</vt:lpstr>
      <vt:lpstr>Summary!OSRRefD21_3_1x</vt:lpstr>
      <vt:lpstr>'200'!OSRRefD21_3x_0</vt:lpstr>
      <vt:lpstr>'201'!OSRRefD21_3x_0</vt:lpstr>
      <vt:lpstr>'202'!OSRRefD21_3x_0</vt:lpstr>
      <vt:lpstr>'203'!OSRRefD21_3x_0</vt:lpstr>
      <vt:lpstr>'204'!OSRRefD21_3x_0</vt:lpstr>
      <vt:lpstr>'205'!OSRRefD21_3x_0</vt:lpstr>
      <vt:lpstr>'206'!OSRRefD21_3x_0</vt:lpstr>
      <vt:lpstr>'300'!OSRRefD21_3x_0</vt:lpstr>
      <vt:lpstr>'300 &amp; 317'!OSRRefD21_3x_0</vt:lpstr>
      <vt:lpstr>'301'!OSRRefD21_3x_0</vt:lpstr>
      <vt:lpstr>'307'!OSRRefD21_3x_0</vt:lpstr>
      <vt:lpstr>'308'!OSRRefD21_3x_0</vt:lpstr>
      <vt:lpstr>'309'!OSRRefD21_3x_0</vt:lpstr>
      <vt:lpstr>'310'!OSRRefD21_3x_0</vt:lpstr>
      <vt:lpstr>'310 &amp; 491'!OSRRefD21_3x_0</vt:lpstr>
      <vt:lpstr>'311'!OSRRefD21_3x_0</vt:lpstr>
      <vt:lpstr>'313'!OSRRefD21_3x_0</vt:lpstr>
      <vt:lpstr>'315'!OSRRefD21_3x_0</vt:lpstr>
      <vt:lpstr>'316'!OSRRefD21_3x_0</vt:lpstr>
      <vt:lpstr>'317'!OSRRefD21_3x_0</vt:lpstr>
      <vt:lpstr>'321'!OSRRefD21_3x_0</vt:lpstr>
      <vt:lpstr>'322'!OSRRefD21_3x_0</vt:lpstr>
      <vt:lpstr>'325'!OSRRefD21_3x_0</vt:lpstr>
      <vt:lpstr>'326'!OSRRefD21_3x_0</vt:lpstr>
      <vt:lpstr>'330'!OSRRefD21_3x_0</vt:lpstr>
      <vt:lpstr>'331'!OSRRefD21_3x_0</vt:lpstr>
      <vt:lpstr>'332'!OSRRefD21_3x_0</vt:lpstr>
      <vt:lpstr>'405'!OSRRefD21_3x_0</vt:lpstr>
      <vt:lpstr>'406'!OSRRefD21_3x_0</vt:lpstr>
      <vt:lpstr>'411'!OSRRefD21_3x_0</vt:lpstr>
      <vt:lpstr>'412'!OSRRefD21_3x_0</vt:lpstr>
      <vt:lpstr>'413'!OSRRefD21_3x_0</vt:lpstr>
      <vt:lpstr>'414'!OSRRefD21_3x_0</vt:lpstr>
      <vt:lpstr>'415'!OSRRefD21_3x_0</vt:lpstr>
      <vt:lpstr>'418'!OSRRefD21_3x_0</vt:lpstr>
      <vt:lpstr>'423'!OSRRefD21_3x_0</vt:lpstr>
      <vt:lpstr>'424'!OSRRefD21_3x_0</vt:lpstr>
      <vt:lpstr>'425'!OSRRefD21_3x_0</vt:lpstr>
      <vt:lpstr>'430'!OSRRefD21_3x_0</vt:lpstr>
      <vt:lpstr>'433'!OSRRefD21_3x_0</vt:lpstr>
      <vt:lpstr>'444'!OSRRefD21_3x_0</vt:lpstr>
      <vt:lpstr>'450'!OSRRefD21_3x_0</vt:lpstr>
      <vt:lpstr>'491'!OSRRefD21_3x_0</vt:lpstr>
      <vt:lpstr>'492'!OSRRefD21_3x_0</vt:lpstr>
      <vt:lpstr>'501'!OSRRefD21_3x_0</vt:lpstr>
      <vt:lpstr>'Div 2'!OSRRefD21_3x_0</vt:lpstr>
      <vt:lpstr>'Div 3'!OSRRefD21_3x_0</vt:lpstr>
      <vt:lpstr>'Div 4'!OSRRefD21_3x_0</vt:lpstr>
      <vt:lpstr>'Div 5'!OSRRefD21_3x_0</vt:lpstr>
      <vt:lpstr>'Div 6'!OSRRefD21_3x_0</vt:lpstr>
      <vt:lpstr>Summary!OSRRefD21_3x_0</vt:lpstr>
      <vt:lpstr>'200'!OSRRefD21_3x_1</vt:lpstr>
      <vt:lpstr>'201'!OSRRefD21_3x_1</vt:lpstr>
      <vt:lpstr>'202'!OSRRefD21_3x_1</vt:lpstr>
      <vt:lpstr>'203'!OSRRefD21_3x_1</vt:lpstr>
      <vt:lpstr>'204'!OSRRefD21_3x_1</vt:lpstr>
      <vt:lpstr>'205'!OSRRefD21_3x_1</vt:lpstr>
      <vt:lpstr>'206'!OSRRefD21_3x_1</vt:lpstr>
      <vt:lpstr>'300'!OSRRefD21_3x_1</vt:lpstr>
      <vt:lpstr>'300 &amp; 317'!OSRRefD21_3x_1</vt:lpstr>
      <vt:lpstr>'301'!OSRRefD21_3x_1</vt:lpstr>
      <vt:lpstr>'307'!OSRRefD21_3x_1</vt:lpstr>
      <vt:lpstr>'308'!OSRRefD21_3x_1</vt:lpstr>
      <vt:lpstr>'309'!OSRRefD21_3x_1</vt:lpstr>
      <vt:lpstr>'310'!OSRRefD21_3x_1</vt:lpstr>
      <vt:lpstr>'310 &amp; 491'!OSRRefD21_3x_1</vt:lpstr>
      <vt:lpstr>'311'!OSRRefD21_3x_1</vt:lpstr>
      <vt:lpstr>'313'!OSRRefD21_3x_1</vt:lpstr>
      <vt:lpstr>'315'!OSRRefD21_3x_1</vt:lpstr>
      <vt:lpstr>'316'!OSRRefD21_3x_1</vt:lpstr>
      <vt:lpstr>'317'!OSRRefD21_3x_1</vt:lpstr>
      <vt:lpstr>'321'!OSRRefD21_3x_1</vt:lpstr>
      <vt:lpstr>'322'!OSRRefD21_3x_1</vt:lpstr>
      <vt:lpstr>'325'!OSRRefD21_3x_1</vt:lpstr>
      <vt:lpstr>'326'!OSRRefD21_3x_1</vt:lpstr>
      <vt:lpstr>'330'!OSRRefD21_3x_1</vt:lpstr>
      <vt:lpstr>'331'!OSRRefD21_3x_1</vt:lpstr>
      <vt:lpstr>'332'!OSRRefD21_3x_1</vt:lpstr>
      <vt:lpstr>'405'!OSRRefD21_3x_1</vt:lpstr>
      <vt:lpstr>'406'!OSRRefD21_3x_1</vt:lpstr>
      <vt:lpstr>'411'!OSRRefD21_3x_1</vt:lpstr>
      <vt:lpstr>'412'!OSRRefD21_3x_1</vt:lpstr>
      <vt:lpstr>'413'!OSRRefD21_3x_1</vt:lpstr>
      <vt:lpstr>'414'!OSRRefD21_3x_1</vt:lpstr>
      <vt:lpstr>'415'!OSRRefD21_3x_1</vt:lpstr>
      <vt:lpstr>'418'!OSRRefD21_3x_1</vt:lpstr>
      <vt:lpstr>'423'!OSRRefD21_3x_1</vt:lpstr>
      <vt:lpstr>'424'!OSRRefD21_3x_1</vt:lpstr>
      <vt:lpstr>'425'!OSRRefD21_3x_1</vt:lpstr>
      <vt:lpstr>'430'!OSRRefD21_3x_1</vt:lpstr>
      <vt:lpstr>'433'!OSRRefD21_3x_1</vt:lpstr>
      <vt:lpstr>'444'!OSRRefD21_3x_1</vt:lpstr>
      <vt:lpstr>'450'!OSRRefD21_3x_1</vt:lpstr>
      <vt:lpstr>'491'!OSRRefD21_3x_1</vt:lpstr>
      <vt:lpstr>'492'!OSRRefD21_3x_1</vt:lpstr>
      <vt:lpstr>'501'!OSRRefD21_3x_1</vt:lpstr>
      <vt:lpstr>'Div 2'!OSRRefD21_3x_1</vt:lpstr>
      <vt:lpstr>'Div 3'!OSRRefD21_3x_1</vt:lpstr>
      <vt:lpstr>'Div 4'!OSRRefD21_3x_1</vt:lpstr>
      <vt:lpstr>'Div 5'!OSRRefD21_3x_1</vt:lpstr>
      <vt:lpstr>'Div 6'!OSRRefD21_3x_1</vt:lpstr>
      <vt:lpstr>Summary!OSRRefD21_3x_1</vt:lpstr>
      <vt:lpstr>'200'!OSRRefD21_3x_2</vt:lpstr>
      <vt:lpstr>'201'!OSRRefD21_3x_2</vt:lpstr>
      <vt:lpstr>'202'!OSRRefD21_3x_2</vt:lpstr>
      <vt:lpstr>'203'!OSRRefD21_3x_2</vt:lpstr>
      <vt:lpstr>'204'!OSRRefD21_3x_2</vt:lpstr>
      <vt:lpstr>'205'!OSRRefD21_3x_2</vt:lpstr>
      <vt:lpstr>'206'!OSRRefD21_3x_2</vt:lpstr>
      <vt:lpstr>'300'!OSRRefD21_3x_2</vt:lpstr>
      <vt:lpstr>'300 &amp; 317'!OSRRefD21_3x_2</vt:lpstr>
      <vt:lpstr>'301'!OSRRefD21_3x_2</vt:lpstr>
      <vt:lpstr>'307'!OSRRefD21_3x_2</vt:lpstr>
      <vt:lpstr>'308'!OSRRefD21_3x_2</vt:lpstr>
      <vt:lpstr>'309'!OSRRefD21_3x_2</vt:lpstr>
      <vt:lpstr>'310'!OSRRefD21_3x_2</vt:lpstr>
      <vt:lpstr>'310 &amp; 491'!OSRRefD21_3x_2</vt:lpstr>
      <vt:lpstr>'311'!OSRRefD21_3x_2</vt:lpstr>
      <vt:lpstr>'313'!OSRRefD21_3x_2</vt:lpstr>
      <vt:lpstr>'315'!OSRRefD21_3x_2</vt:lpstr>
      <vt:lpstr>'316'!OSRRefD21_3x_2</vt:lpstr>
      <vt:lpstr>'317'!OSRRefD21_3x_2</vt:lpstr>
      <vt:lpstr>'321'!OSRRefD21_3x_2</vt:lpstr>
      <vt:lpstr>'322'!OSRRefD21_3x_2</vt:lpstr>
      <vt:lpstr>'325'!OSRRefD21_3x_2</vt:lpstr>
      <vt:lpstr>'326'!OSRRefD21_3x_2</vt:lpstr>
      <vt:lpstr>'330'!OSRRefD21_3x_2</vt:lpstr>
      <vt:lpstr>'331'!OSRRefD21_3x_2</vt:lpstr>
      <vt:lpstr>'332'!OSRRefD21_3x_2</vt:lpstr>
      <vt:lpstr>'405'!OSRRefD21_3x_2</vt:lpstr>
      <vt:lpstr>'406'!OSRRefD21_3x_2</vt:lpstr>
      <vt:lpstr>'411'!OSRRefD21_3x_2</vt:lpstr>
      <vt:lpstr>'412'!OSRRefD21_3x_2</vt:lpstr>
      <vt:lpstr>'413'!OSRRefD21_3x_2</vt:lpstr>
      <vt:lpstr>'414'!OSRRefD21_3x_2</vt:lpstr>
      <vt:lpstr>'415'!OSRRefD21_3x_2</vt:lpstr>
      <vt:lpstr>'418'!OSRRefD21_3x_2</vt:lpstr>
      <vt:lpstr>'423'!OSRRefD21_3x_2</vt:lpstr>
      <vt:lpstr>'424'!OSRRefD21_3x_2</vt:lpstr>
      <vt:lpstr>'425'!OSRRefD21_3x_2</vt:lpstr>
      <vt:lpstr>'430'!OSRRefD21_3x_2</vt:lpstr>
      <vt:lpstr>'433'!OSRRefD21_3x_2</vt:lpstr>
      <vt:lpstr>'444'!OSRRefD21_3x_2</vt:lpstr>
      <vt:lpstr>'450'!OSRRefD21_3x_2</vt:lpstr>
      <vt:lpstr>'491'!OSRRefD21_3x_2</vt:lpstr>
      <vt:lpstr>'492'!OSRRefD21_3x_2</vt:lpstr>
      <vt:lpstr>'501'!OSRRefD21_3x_2</vt:lpstr>
      <vt:lpstr>'Div 2'!OSRRefD21_3x_2</vt:lpstr>
      <vt:lpstr>'Div 3'!OSRRefD21_3x_2</vt:lpstr>
      <vt:lpstr>'Div 4'!OSRRefD21_3x_2</vt:lpstr>
      <vt:lpstr>'Div 5'!OSRRefD21_3x_2</vt:lpstr>
      <vt:lpstr>'Div 6'!OSRRefD21_3x_2</vt:lpstr>
      <vt:lpstr>Summary!OSRRefD21_3x_2</vt:lpstr>
      <vt:lpstr>'200'!OSRRefD21_3x_3</vt:lpstr>
      <vt:lpstr>'201'!OSRRefD21_3x_3</vt:lpstr>
      <vt:lpstr>'202'!OSRRefD21_3x_3</vt:lpstr>
      <vt:lpstr>'203'!OSRRefD21_3x_3</vt:lpstr>
      <vt:lpstr>'204'!OSRRefD21_3x_3</vt:lpstr>
      <vt:lpstr>'205'!OSRRefD21_3x_3</vt:lpstr>
      <vt:lpstr>'206'!OSRRefD21_3x_3</vt:lpstr>
      <vt:lpstr>'300'!OSRRefD21_3x_3</vt:lpstr>
      <vt:lpstr>'300 &amp; 317'!OSRRefD21_3x_3</vt:lpstr>
      <vt:lpstr>'301'!OSRRefD21_3x_3</vt:lpstr>
      <vt:lpstr>'307'!OSRRefD21_3x_3</vt:lpstr>
      <vt:lpstr>'308'!OSRRefD21_3x_3</vt:lpstr>
      <vt:lpstr>'309'!OSRRefD21_3x_3</vt:lpstr>
      <vt:lpstr>'310'!OSRRefD21_3x_3</vt:lpstr>
      <vt:lpstr>'310 &amp; 491'!OSRRefD21_3x_3</vt:lpstr>
      <vt:lpstr>'311'!OSRRefD21_3x_3</vt:lpstr>
      <vt:lpstr>'313'!OSRRefD21_3x_3</vt:lpstr>
      <vt:lpstr>'315'!OSRRefD21_3x_3</vt:lpstr>
      <vt:lpstr>'316'!OSRRefD21_3x_3</vt:lpstr>
      <vt:lpstr>'317'!OSRRefD21_3x_3</vt:lpstr>
      <vt:lpstr>'321'!OSRRefD21_3x_3</vt:lpstr>
      <vt:lpstr>'322'!OSRRefD21_3x_3</vt:lpstr>
      <vt:lpstr>'325'!OSRRefD21_3x_3</vt:lpstr>
      <vt:lpstr>'326'!OSRRefD21_3x_3</vt:lpstr>
      <vt:lpstr>'330'!OSRRefD21_3x_3</vt:lpstr>
      <vt:lpstr>'331'!OSRRefD21_3x_3</vt:lpstr>
      <vt:lpstr>'332'!OSRRefD21_3x_3</vt:lpstr>
      <vt:lpstr>'405'!OSRRefD21_3x_3</vt:lpstr>
      <vt:lpstr>'406'!OSRRefD21_3x_3</vt:lpstr>
      <vt:lpstr>'411'!OSRRefD21_3x_3</vt:lpstr>
      <vt:lpstr>'412'!OSRRefD21_3x_3</vt:lpstr>
      <vt:lpstr>'413'!OSRRefD21_3x_3</vt:lpstr>
      <vt:lpstr>'414'!OSRRefD21_3x_3</vt:lpstr>
      <vt:lpstr>'415'!OSRRefD21_3x_3</vt:lpstr>
      <vt:lpstr>'418'!OSRRefD21_3x_3</vt:lpstr>
      <vt:lpstr>'423'!OSRRefD21_3x_3</vt:lpstr>
      <vt:lpstr>'424'!OSRRefD21_3x_3</vt:lpstr>
      <vt:lpstr>'425'!OSRRefD21_3x_3</vt:lpstr>
      <vt:lpstr>'430'!OSRRefD21_3x_3</vt:lpstr>
      <vt:lpstr>'433'!OSRRefD21_3x_3</vt:lpstr>
      <vt:lpstr>'444'!OSRRefD21_3x_3</vt:lpstr>
      <vt:lpstr>'450'!OSRRefD21_3x_3</vt:lpstr>
      <vt:lpstr>'491'!OSRRefD21_3x_3</vt:lpstr>
      <vt:lpstr>'492'!OSRRefD21_3x_3</vt:lpstr>
      <vt:lpstr>'501'!OSRRefD21_3x_3</vt:lpstr>
      <vt:lpstr>'Div 2'!OSRRefD21_3x_3</vt:lpstr>
      <vt:lpstr>'Div 3'!OSRRefD21_3x_3</vt:lpstr>
      <vt:lpstr>'Div 4'!OSRRefD21_3x_3</vt:lpstr>
      <vt:lpstr>'Div 5'!OSRRefD21_3x_3</vt:lpstr>
      <vt:lpstr>'Div 6'!OSRRefD21_3x_3</vt:lpstr>
      <vt:lpstr>Summary!OSRRefD21_3x_3</vt:lpstr>
      <vt:lpstr>'200'!OSRRefD21_4_0x</vt:lpstr>
      <vt:lpstr>'201'!OSRRefD21_4_0x</vt:lpstr>
      <vt:lpstr>'202'!OSRRefD21_4_0x</vt:lpstr>
      <vt:lpstr>'203'!OSRRefD21_4_0x</vt:lpstr>
      <vt:lpstr>'204'!OSRRefD21_4_0x</vt:lpstr>
      <vt:lpstr>'205'!OSRRefD21_4_0x</vt:lpstr>
      <vt:lpstr>'206'!OSRRefD21_4_0x</vt:lpstr>
      <vt:lpstr>'300'!OSRRefD21_4_0x</vt:lpstr>
      <vt:lpstr>'300 &amp; 317'!OSRRefD21_4_0x</vt:lpstr>
      <vt:lpstr>'301'!OSRRefD21_4_0x</vt:lpstr>
      <vt:lpstr>'307'!OSRRefD21_4_0x</vt:lpstr>
      <vt:lpstr>'308'!OSRRefD21_4_0x</vt:lpstr>
      <vt:lpstr>'309'!OSRRefD21_4_0x</vt:lpstr>
      <vt:lpstr>'310'!OSRRefD21_4_0x</vt:lpstr>
      <vt:lpstr>'310 &amp; 491'!OSRRefD21_4_0x</vt:lpstr>
      <vt:lpstr>'311'!OSRRefD21_4_0x</vt:lpstr>
      <vt:lpstr>'313'!OSRRefD21_4_0x</vt:lpstr>
      <vt:lpstr>'315'!OSRRefD21_4_0x</vt:lpstr>
      <vt:lpstr>'316'!OSRRefD21_4_0x</vt:lpstr>
      <vt:lpstr>'317'!OSRRefD21_4_0x</vt:lpstr>
      <vt:lpstr>'321'!OSRRefD21_4_0x</vt:lpstr>
      <vt:lpstr>'322'!OSRRefD21_4_0x</vt:lpstr>
      <vt:lpstr>'325'!OSRRefD21_4_0x</vt:lpstr>
      <vt:lpstr>'326'!OSRRefD21_4_0x</vt:lpstr>
      <vt:lpstr>'330'!OSRRefD21_4_0x</vt:lpstr>
      <vt:lpstr>'331'!OSRRefD21_4_0x</vt:lpstr>
      <vt:lpstr>'332'!OSRRefD21_4_0x</vt:lpstr>
      <vt:lpstr>'405'!OSRRefD21_4_0x</vt:lpstr>
      <vt:lpstr>'406'!OSRRefD21_4_0x</vt:lpstr>
      <vt:lpstr>'411'!OSRRefD21_4_0x</vt:lpstr>
      <vt:lpstr>'412'!OSRRefD21_4_0x</vt:lpstr>
      <vt:lpstr>'413'!OSRRefD21_4_0x</vt:lpstr>
      <vt:lpstr>'414'!OSRRefD21_4_0x</vt:lpstr>
      <vt:lpstr>'415'!OSRRefD21_4_0x</vt:lpstr>
      <vt:lpstr>'418'!OSRRefD21_4_0x</vt:lpstr>
      <vt:lpstr>'423'!OSRRefD21_4_0x</vt:lpstr>
      <vt:lpstr>'425'!OSRRefD21_4_0x</vt:lpstr>
      <vt:lpstr>'430'!OSRRefD21_4_0x</vt:lpstr>
      <vt:lpstr>'433'!OSRRefD21_4_0x</vt:lpstr>
      <vt:lpstr>'444'!OSRRefD21_4_0x</vt:lpstr>
      <vt:lpstr>'450'!OSRRefD21_4_0x</vt:lpstr>
      <vt:lpstr>'491'!OSRRefD21_4_0x</vt:lpstr>
      <vt:lpstr>'492'!OSRRefD21_4_0x</vt:lpstr>
      <vt:lpstr>'501'!OSRRefD21_4_0x</vt:lpstr>
      <vt:lpstr>'Div 2'!OSRRefD21_4_0x</vt:lpstr>
      <vt:lpstr>'Div 3'!OSRRefD21_4_0x</vt:lpstr>
      <vt:lpstr>'Div 4'!OSRRefD21_4_0x</vt:lpstr>
      <vt:lpstr>'Div 5'!OSRRefD21_4_0x</vt:lpstr>
      <vt:lpstr>'Div 6'!OSRRefD21_4_0x</vt:lpstr>
      <vt:lpstr>Summary!OSRRefD21_4_0x</vt:lpstr>
      <vt:lpstr>'200'!OSRRefD21_4_1x</vt:lpstr>
      <vt:lpstr>'201'!OSRRefD21_4_1x</vt:lpstr>
      <vt:lpstr>'202'!OSRRefD21_4_1x</vt:lpstr>
      <vt:lpstr>'204'!OSRRefD21_4_1x</vt:lpstr>
      <vt:lpstr>'205'!OSRRefD21_4_1x</vt:lpstr>
      <vt:lpstr>'301'!OSRRefD21_4_1x</vt:lpstr>
      <vt:lpstr>'405'!OSRRefD21_4_1x</vt:lpstr>
      <vt:lpstr>'411'!OSRRefD21_4_1x</vt:lpstr>
      <vt:lpstr>'412'!OSRRefD21_4_1x</vt:lpstr>
      <vt:lpstr>'418'!OSRRefD21_4_1x</vt:lpstr>
      <vt:lpstr>'430'!OSRRefD21_4_1x</vt:lpstr>
      <vt:lpstr>'204'!OSRRefD21_4_2x</vt:lpstr>
      <vt:lpstr>'205'!OSRRefD21_4_2x</vt:lpstr>
      <vt:lpstr>'430'!OSRRefD21_4_2x</vt:lpstr>
      <vt:lpstr>'200'!OSRRefD21_4x_0</vt:lpstr>
      <vt:lpstr>'201'!OSRRefD21_4x_0</vt:lpstr>
      <vt:lpstr>'202'!OSRRefD21_4x_0</vt:lpstr>
      <vt:lpstr>'203'!OSRRefD21_4x_0</vt:lpstr>
      <vt:lpstr>'204'!OSRRefD21_4x_0</vt:lpstr>
      <vt:lpstr>'205'!OSRRefD21_4x_0</vt:lpstr>
      <vt:lpstr>'206'!OSRRefD21_4x_0</vt:lpstr>
      <vt:lpstr>'300'!OSRRefD21_4x_0</vt:lpstr>
      <vt:lpstr>'300 &amp; 317'!OSRRefD21_4x_0</vt:lpstr>
      <vt:lpstr>'301'!OSRRefD21_4x_0</vt:lpstr>
      <vt:lpstr>'307'!OSRRefD21_4x_0</vt:lpstr>
      <vt:lpstr>'308'!OSRRefD21_4x_0</vt:lpstr>
      <vt:lpstr>'309'!OSRRefD21_4x_0</vt:lpstr>
      <vt:lpstr>'310'!OSRRefD21_4x_0</vt:lpstr>
      <vt:lpstr>'310 &amp; 491'!OSRRefD21_4x_0</vt:lpstr>
      <vt:lpstr>'311'!OSRRefD21_4x_0</vt:lpstr>
      <vt:lpstr>'313'!OSRRefD21_4x_0</vt:lpstr>
      <vt:lpstr>'315'!OSRRefD21_4x_0</vt:lpstr>
      <vt:lpstr>'316'!OSRRefD21_4x_0</vt:lpstr>
      <vt:lpstr>'317'!OSRRefD21_4x_0</vt:lpstr>
      <vt:lpstr>'321'!OSRRefD21_4x_0</vt:lpstr>
      <vt:lpstr>'322'!OSRRefD21_4x_0</vt:lpstr>
      <vt:lpstr>'325'!OSRRefD21_4x_0</vt:lpstr>
      <vt:lpstr>'326'!OSRRefD21_4x_0</vt:lpstr>
      <vt:lpstr>'330'!OSRRefD21_4x_0</vt:lpstr>
      <vt:lpstr>'331'!OSRRefD21_4x_0</vt:lpstr>
      <vt:lpstr>'332'!OSRRefD21_4x_0</vt:lpstr>
      <vt:lpstr>'405'!OSRRefD21_4x_0</vt:lpstr>
      <vt:lpstr>'406'!OSRRefD21_4x_0</vt:lpstr>
      <vt:lpstr>'411'!OSRRefD21_4x_0</vt:lpstr>
      <vt:lpstr>'412'!OSRRefD21_4x_0</vt:lpstr>
      <vt:lpstr>'413'!OSRRefD21_4x_0</vt:lpstr>
      <vt:lpstr>'414'!OSRRefD21_4x_0</vt:lpstr>
      <vt:lpstr>'415'!OSRRefD21_4x_0</vt:lpstr>
      <vt:lpstr>'418'!OSRRefD21_4x_0</vt:lpstr>
      <vt:lpstr>'423'!OSRRefD21_4x_0</vt:lpstr>
      <vt:lpstr>'425'!OSRRefD21_4x_0</vt:lpstr>
      <vt:lpstr>'430'!OSRRefD21_4x_0</vt:lpstr>
      <vt:lpstr>'433'!OSRRefD21_4x_0</vt:lpstr>
      <vt:lpstr>'444'!OSRRefD21_4x_0</vt:lpstr>
      <vt:lpstr>'450'!OSRRefD21_4x_0</vt:lpstr>
      <vt:lpstr>'491'!OSRRefD21_4x_0</vt:lpstr>
      <vt:lpstr>'492'!OSRRefD21_4x_0</vt:lpstr>
      <vt:lpstr>'501'!OSRRefD21_4x_0</vt:lpstr>
      <vt:lpstr>'Div 2'!OSRRefD21_4x_0</vt:lpstr>
      <vt:lpstr>'Div 3'!OSRRefD21_4x_0</vt:lpstr>
      <vt:lpstr>'Div 4'!OSRRefD21_4x_0</vt:lpstr>
      <vt:lpstr>'Div 5'!OSRRefD21_4x_0</vt:lpstr>
      <vt:lpstr>'Div 6'!OSRRefD21_4x_0</vt:lpstr>
      <vt:lpstr>Summary!OSRRefD21_4x_0</vt:lpstr>
      <vt:lpstr>'200'!OSRRefD21_4x_1</vt:lpstr>
      <vt:lpstr>'201'!OSRRefD21_4x_1</vt:lpstr>
      <vt:lpstr>'202'!OSRRefD21_4x_1</vt:lpstr>
      <vt:lpstr>'203'!OSRRefD21_4x_1</vt:lpstr>
      <vt:lpstr>'204'!OSRRefD21_4x_1</vt:lpstr>
      <vt:lpstr>'205'!OSRRefD21_4x_1</vt:lpstr>
      <vt:lpstr>'206'!OSRRefD21_4x_1</vt:lpstr>
      <vt:lpstr>'300'!OSRRefD21_4x_1</vt:lpstr>
      <vt:lpstr>'300 &amp; 317'!OSRRefD21_4x_1</vt:lpstr>
      <vt:lpstr>'301'!OSRRefD21_4x_1</vt:lpstr>
      <vt:lpstr>'307'!OSRRefD21_4x_1</vt:lpstr>
      <vt:lpstr>'308'!OSRRefD21_4x_1</vt:lpstr>
      <vt:lpstr>'309'!OSRRefD21_4x_1</vt:lpstr>
      <vt:lpstr>'310'!OSRRefD21_4x_1</vt:lpstr>
      <vt:lpstr>'310 &amp; 491'!OSRRefD21_4x_1</vt:lpstr>
      <vt:lpstr>'311'!OSRRefD21_4x_1</vt:lpstr>
      <vt:lpstr>'313'!OSRRefD21_4x_1</vt:lpstr>
      <vt:lpstr>'315'!OSRRefD21_4x_1</vt:lpstr>
      <vt:lpstr>'316'!OSRRefD21_4x_1</vt:lpstr>
      <vt:lpstr>'317'!OSRRefD21_4x_1</vt:lpstr>
      <vt:lpstr>'321'!OSRRefD21_4x_1</vt:lpstr>
      <vt:lpstr>'322'!OSRRefD21_4x_1</vt:lpstr>
      <vt:lpstr>'325'!OSRRefD21_4x_1</vt:lpstr>
      <vt:lpstr>'326'!OSRRefD21_4x_1</vt:lpstr>
      <vt:lpstr>'330'!OSRRefD21_4x_1</vt:lpstr>
      <vt:lpstr>'331'!OSRRefD21_4x_1</vt:lpstr>
      <vt:lpstr>'332'!OSRRefD21_4x_1</vt:lpstr>
      <vt:lpstr>'405'!OSRRefD21_4x_1</vt:lpstr>
      <vt:lpstr>'406'!OSRRefD21_4x_1</vt:lpstr>
      <vt:lpstr>'411'!OSRRefD21_4x_1</vt:lpstr>
      <vt:lpstr>'412'!OSRRefD21_4x_1</vt:lpstr>
      <vt:lpstr>'413'!OSRRefD21_4x_1</vt:lpstr>
      <vt:lpstr>'414'!OSRRefD21_4x_1</vt:lpstr>
      <vt:lpstr>'415'!OSRRefD21_4x_1</vt:lpstr>
      <vt:lpstr>'418'!OSRRefD21_4x_1</vt:lpstr>
      <vt:lpstr>'423'!OSRRefD21_4x_1</vt:lpstr>
      <vt:lpstr>'425'!OSRRefD21_4x_1</vt:lpstr>
      <vt:lpstr>'430'!OSRRefD21_4x_1</vt:lpstr>
      <vt:lpstr>'433'!OSRRefD21_4x_1</vt:lpstr>
      <vt:lpstr>'444'!OSRRefD21_4x_1</vt:lpstr>
      <vt:lpstr>'450'!OSRRefD21_4x_1</vt:lpstr>
      <vt:lpstr>'491'!OSRRefD21_4x_1</vt:lpstr>
      <vt:lpstr>'492'!OSRRefD21_4x_1</vt:lpstr>
      <vt:lpstr>'501'!OSRRefD21_4x_1</vt:lpstr>
      <vt:lpstr>'Div 2'!OSRRefD21_4x_1</vt:lpstr>
      <vt:lpstr>'Div 3'!OSRRefD21_4x_1</vt:lpstr>
      <vt:lpstr>'Div 4'!OSRRefD21_4x_1</vt:lpstr>
      <vt:lpstr>'Div 5'!OSRRefD21_4x_1</vt:lpstr>
      <vt:lpstr>'Div 6'!OSRRefD21_4x_1</vt:lpstr>
      <vt:lpstr>Summary!OSRRefD21_4x_1</vt:lpstr>
      <vt:lpstr>'200'!OSRRefD21_4x_2</vt:lpstr>
      <vt:lpstr>'201'!OSRRefD21_4x_2</vt:lpstr>
      <vt:lpstr>'202'!OSRRefD21_4x_2</vt:lpstr>
      <vt:lpstr>'203'!OSRRefD21_4x_2</vt:lpstr>
      <vt:lpstr>'204'!OSRRefD21_4x_2</vt:lpstr>
      <vt:lpstr>'205'!OSRRefD21_4x_2</vt:lpstr>
      <vt:lpstr>'206'!OSRRefD21_4x_2</vt:lpstr>
      <vt:lpstr>'300'!OSRRefD21_4x_2</vt:lpstr>
      <vt:lpstr>'300 &amp; 317'!OSRRefD21_4x_2</vt:lpstr>
      <vt:lpstr>'301'!OSRRefD21_4x_2</vt:lpstr>
      <vt:lpstr>'307'!OSRRefD21_4x_2</vt:lpstr>
      <vt:lpstr>'308'!OSRRefD21_4x_2</vt:lpstr>
      <vt:lpstr>'309'!OSRRefD21_4x_2</vt:lpstr>
      <vt:lpstr>'310'!OSRRefD21_4x_2</vt:lpstr>
      <vt:lpstr>'310 &amp; 491'!OSRRefD21_4x_2</vt:lpstr>
      <vt:lpstr>'311'!OSRRefD21_4x_2</vt:lpstr>
      <vt:lpstr>'313'!OSRRefD21_4x_2</vt:lpstr>
      <vt:lpstr>'315'!OSRRefD21_4x_2</vt:lpstr>
      <vt:lpstr>'316'!OSRRefD21_4x_2</vt:lpstr>
      <vt:lpstr>'317'!OSRRefD21_4x_2</vt:lpstr>
      <vt:lpstr>'321'!OSRRefD21_4x_2</vt:lpstr>
      <vt:lpstr>'322'!OSRRefD21_4x_2</vt:lpstr>
      <vt:lpstr>'325'!OSRRefD21_4x_2</vt:lpstr>
      <vt:lpstr>'326'!OSRRefD21_4x_2</vt:lpstr>
      <vt:lpstr>'330'!OSRRefD21_4x_2</vt:lpstr>
      <vt:lpstr>'331'!OSRRefD21_4x_2</vt:lpstr>
      <vt:lpstr>'332'!OSRRefD21_4x_2</vt:lpstr>
      <vt:lpstr>'405'!OSRRefD21_4x_2</vt:lpstr>
      <vt:lpstr>'406'!OSRRefD21_4x_2</vt:lpstr>
      <vt:lpstr>'411'!OSRRefD21_4x_2</vt:lpstr>
      <vt:lpstr>'412'!OSRRefD21_4x_2</vt:lpstr>
      <vt:lpstr>'413'!OSRRefD21_4x_2</vt:lpstr>
      <vt:lpstr>'414'!OSRRefD21_4x_2</vt:lpstr>
      <vt:lpstr>'415'!OSRRefD21_4x_2</vt:lpstr>
      <vt:lpstr>'418'!OSRRefD21_4x_2</vt:lpstr>
      <vt:lpstr>'423'!OSRRefD21_4x_2</vt:lpstr>
      <vt:lpstr>'425'!OSRRefD21_4x_2</vt:lpstr>
      <vt:lpstr>'430'!OSRRefD21_4x_2</vt:lpstr>
      <vt:lpstr>'433'!OSRRefD21_4x_2</vt:lpstr>
      <vt:lpstr>'444'!OSRRefD21_4x_2</vt:lpstr>
      <vt:lpstr>'450'!OSRRefD21_4x_2</vt:lpstr>
      <vt:lpstr>'491'!OSRRefD21_4x_2</vt:lpstr>
      <vt:lpstr>'492'!OSRRefD21_4x_2</vt:lpstr>
      <vt:lpstr>'501'!OSRRefD21_4x_2</vt:lpstr>
      <vt:lpstr>'Div 2'!OSRRefD21_4x_2</vt:lpstr>
      <vt:lpstr>'Div 3'!OSRRefD21_4x_2</vt:lpstr>
      <vt:lpstr>'Div 4'!OSRRefD21_4x_2</vt:lpstr>
      <vt:lpstr>'Div 5'!OSRRefD21_4x_2</vt:lpstr>
      <vt:lpstr>'Div 6'!OSRRefD21_4x_2</vt:lpstr>
      <vt:lpstr>Summary!OSRRefD21_4x_2</vt:lpstr>
      <vt:lpstr>'200'!OSRRefD21_4x_3</vt:lpstr>
      <vt:lpstr>'201'!OSRRefD21_4x_3</vt:lpstr>
      <vt:lpstr>'202'!OSRRefD21_4x_3</vt:lpstr>
      <vt:lpstr>'203'!OSRRefD21_4x_3</vt:lpstr>
      <vt:lpstr>'204'!OSRRefD21_4x_3</vt:lpstr>
      <vt:lpstr>'205'!OSRRefD21_4x_3</vt:lpstr>
      <vt:lpstr>'206'!OSRRefD21_4x_3</vt:lpstr>
      <vt:lpstr>'300'!OSRRefD21_4x_3</vt:lpstr>
      <vt:lpstr>'300 &amp; 317'!OSRRefD21_4x_3</vt:lpstr>
      <vt:lpstr>'301'!OSRRefD21_4x_3</vt:lpstr>
      <vt:lpstr>'307'!OSRRefD21_4x_3</vt:lpstr>
      <vt:lpstr>'308'!OSRRefD21_4x_3</vt:lpstr>
      <vt:lpstr>'309'!OSRRefD21_4x_3</vt:lpstr>
      <vt:lpstr>'310'!OSRRefD21_4x_3</vt:lpstr>
      <vt:lpstr>'310 &amp; 491'!OSRRefD21_4x_3</vt:lpstr>
      <vt:lpstr>'311'!OSRRefD21_4x_3</vt:lpstr>
      <vt:lpstr>'313'!OSRRefD21_4x_3</vt:lpstr>
      <vt:lpstr>'315'!OSRRefD21_4x_3</vt:lpstr>
      <vt:lpstr>'316'!OSRRefD21_4x_3</vt:lpstr>
      <vt:lpstr>'317'!OSRRefD21_4x_3</vt:lpstr>
      <vt:lpstr>'321'!OSRRefD21_4x_3</vt:lpstr>
      <vt:lpstr>'322'!OSRRefD21_4x_3</vt:lpstr>
      <vt:lpstr>'325'!OSRRefD21_4x_3</vt:lpstr>
      <vt:lpstr>'326'!OSRRefD21_4x_3</vt:lpstr>
      <vt:lpstr>'330'!OSRRefD21_4x_3</vt:lpstr>
      <vt:lpstr>'331'!OSRRefD21_4x_3</vt:lpstr>
      <vt:lpstr>'332'!OSRRefD21_4x_3</vt:lpstr>
      <vt:lpstr>'405'!OSRRefD21_4x_3</vt:lpstr>
      <vt:lpstr>'406'!OSRRefD21_4x_3</vt:lpstr>
      <vt:lpstr>'411'!OSRRefD21_4x_3</vt:lpstr>
      <vt:lpstr>'412'!OSRRefD21_4x_3</vt:lpstr>
      <vt:lpstr>'413'!OSRRefD21_4x_3</vt:lpstr>
      <vt:lpstr>'414'!OSRRefD21_4x_3</vt:lpstr>
      <vt:lpstr>'415'!OSRRefD21_4x_3</vt:lpstr>
      <vt:lpstr>'418'!OSRRefD21_4x_3</vt:lpstr>
      <vt:lpstr>'423'!OSRRefD21_4x_3</vt:lpstr>
      <vt:lpstr>'425'!OSRRefD21_4x_3</vt:lpstr>
      <vt:lpstr>'430'!OSRRefD21_4x_3</vt:lpstr>
      <vt:lpstr>'433'!OSRRefD21_4x_3</vt:lpstr>
      <vt:lpstr>'444'!OSRRefD21_4x_3</vt:lpstr>
      <vt:lpstr>'450'!OSRRefD21_4x_3</vt:lpstr>
      <vt:lpstr>'491'!OSRRefD21_4x_3</vt:lpstr>
      <vt:lpstr>'492'!OSRRefD21_4x_3</vt:lpstr>
      <vt:lpstr>'501'!OSRRefD21_4x_3</vt:lpstr>
      <vt:lpstr>'Div 2'!OSRRefD21_4x_3</vt:lpstr>
      <vt:lpstr>'Div 3'!OSRRefD21_4x_3</vt:lpstr>
      <vt:lpstr>'Div 4'!OSRRefD21_4x_3</vt:lpstr>
      <vt:lpstr>'Div 5'!OSRRefD21_4x_3</vt:lpstr>
      <vt:lpstr>'Div 6'!OSRRefD21_4x_3</vt:lpstr>
      <vt:lpstr>Summary!OSRRefD21_4x_3</vt:lpstr>
      <vt:lpstr>'201'!OSRRefD21_5_0x</vt:lpstr>
      <vt:lpstr>'202'!OSRRefD21_5_0x</vt:lpstr>
      <vt:lpstr>'203'!OSRRefD21_5_0x</vt:lpstr>
      <vt:lpstr>'204'!OSRRefD21_5_0x</vt:lpstr>
      <vt:lpstr>'205'!OSRRefD21_5_0x</vt:lpstr>
      <vt:lpstr>'206'!OSRRefD21_5_0x</vt:lpstr>
      <vt:lpstr>'300'!OSRRefD21_5_0x</vt:lpstr>
      <vt:lpstr>'300 &amp; 317'!OSRRefD21_5_0x</vt:lpstr>
      <vt:lpstr>'301'!OSRRefD21_5_0x</vt:lpstr>
      <vt:lpstr>'307'!OSRRefD21_5_0x</vt:lpstr>
      <vt:lpstr>'308'!OSRRefD21_5_0x</vt:lpstr>
      <vt:lpstr>'309'!OSRRefD21_5_0x</vt:lpstr>
      <vt:lpstr>'310'!OSRRefD21_5_0x</vt:lpstr>
      <vt:lpstr>'310 &amp; 491'!OSRRefD21_5_0x</vt:lpstr>
      <vt:lpstr>'311'!OSRRefD21_5_0x</vt:lpstr>
      <vt:lpstr>'313'!OSRRefD21_5_0x</vt:lpstr>
      <vt:lpstr>'315'!OSRRefD21_5_0x</vt:lpstr>
      <vt:lpstr>'316'!OSRRefD21_5_0x</vt:lpstr>
      <vt:lpstr>'317'!OSRRefD21_5_0x</vt:lpstr>
      <vt:lpstr>'321'!OSRRefD21_5_0x</vt:lpstr>
      <vt:lpstr>'322'!OSRRefD21_5_0x</vt:lpstr>
      <vt:lpstr>'325'!OSRRefD21_5_0x</vt:lpstr>
      <vt:lpstr>'326'!OSRRefD21_5_0x</vt:lpstr>
      <vt:lpstr>'330'!OSRRefD21_5_0x</vt:lpstr>
      <vt:lpstr>'331'!OSRRefD21_5_0x</vt:lpstr>
      <vt:lpstr>'332'!OSRRefD21_5_0x</vt:lpstr>
      <vt:lpstr>'405'!OSRRefD21_5_0x</vt:lpstr>
      <vt:lpstr>'411'!OSRRefD21_5_0x</vt:lpstr>
      <vt:lpstr>'412'!OSRRefD21_5_0x</vt:lpstr>
      <vt:lpstr>'413'!OSRRefD21_5_0x</vt:lpstr>
      <vt:lpstr>'414'!OSRRefD21_5_0x</vt:lpstr>
      <vt:lpstr>'415'!OSRRefD21_5_0x</vt:lpstr>
      <vt:lpstr>'418'!OSRRefD21_5_0x</vt:lpstr>
      <vt:lpstr>'423'!OSRRefD21_5_0x</vt:lpstr>
      <vt:lpstr>'430'!OSRRefD21_5_0x</vt:lpstr>
      <vt:lpstr>'433'!OSRRefD21_5_0x</vt:lpstr>
      <vt:lpstr>'444'!OSRRefD21_5_0x</vt:lpstr>
      <vt:lpstr>'450'!OSRRefD21_5_0x</vt:lpstr>
      <vt:lpstr>'491'!OSRRefD21_5_0x</vt:lpstr>
      <vt:lpstr>'492'!OSRRefD21_5_0x</vt:lpstr>
      <vt:lpstr>'501'!OSRRefD21_5_0x</vt:lpstr>
      <vt:lpstr>'Div 2'!OSRRefD21_5_0x</vt:lpstr>
      <vt:lpstr>'Div 3'!OSRRefD21_5_0x</vt:lpstr>
      <vt:lpstr>'Div 4'!OSRRefD21_5_0x</vt:lpstr>
      <vt:lpstr>'Div 5'!OSRRefD21_5_0x</vt:lpstr>
      <vt:lpstr>'Div 6'!OSRRefD21_5_0x</vt:lpstr>
      <vt:lpstr>Summary!OSRRefD21_5_0x</vt:lpstr>
      <vt:lpstr>'300'!OSRRefD21_5_1x</vt:lpstr>
      <vt:lpstr>'300 &amp; 317'!OSRRefD21_5_1x</vt:lpstr>
      <vt:lpstr>'307'!OSRRefD21_5_1x</vt:lpstr>
      <vt:lpstr>'309'!OSRRefD21_5_1x</vt:lpstr>
      <vt:lpstr>'310'!OSRRefD21_5_1x</vt:lpstr>
      <vt:lpstr>'310 &amp; 491'!OSRRefD21_5_1x</vt:lpstr>
      <vt:lpstr>'325'!OSRRefD21_5_1x</vt:lpstr>
      <vt:lpstr>'330'!OSRRefD21_5_1x</vt:lpstr>
      <vt:lpstr>'415'!OSRRefD21_5_1x</vt:lpstr>
      <vt:lpstr>'430'!OSRRefD21_5_1x</vt:lpstr>
      <vt:lpstr>'491'!OSRRefD21_5_1x</vt:lpstr>
      <vt:lpstr>'501'!OSRRefD21_5_1x</vt:lpstr>
      <vt:lpstr>'Div 3'!OSRRefD21_5_1x</vt:lpstr>
      <vt:lpstr>'Div 4'!OSRRefD21_5_1x</vt:lpstr>
      <vt:lpstr>'Div 5'!OSRRefD21_5_1x</vt:lpstr>
      <vt:lpstr>Summary!OSRRefD21_5_1x</vt:lpstr>
      <vt:lpstr>'310 &amp; 491'!OSRRefD21_5_2x</vt:lpstr>
      <vt:lpstr>'491'!OSRRefD21_5_2x</vt:lpstr>
      <vt:lpstr>'Div 4'!OSRRefD21_5_2x</vt:lpstr>
      <vt:lpstr>Summary!OSRRefD21_5_2x</vt:lpstr>
      <vt:lpstr>'201'!OSRRefD21_5x_0</vt:lpstr>
      <vt:lpstr>'202'!OSRRefD21_5x_0</vt:lpstr>
      <vt:lpstr>'203'!OSRRefD21_5x_0</vt:lpstr>
      <vt:lpstr>'204'!OSRRefD21_5x_0</vt:lpstr>
      <vt:lpstr>'205'!OSRRefD21_5x_0</vt:lpstr>
      <vt:lpstr>'206'!OSRRefD21_5x_0</vt:lpstr>
      <vt:lpstr>'300'!OSRRefD21_5x_0</vt:lpstr>
      <vt:lpstr>'300 &amp; 317'!OSRRefD21_5x_0</vt:lpstr>
      <vt:lpstr>'301'!OSRRefD21_5x_0</vt:lpstr>
      <vt:lpstr>'307'!OSRRefD21_5x_0</vt:lpstr>
      <vt:lpstr>'308'!OSRRefD21_5x_0</vt:lpstr>
      <vt:lpstr>'309'!OSRRefD21_5x_0</vt:lpstr>
      <vt:lpstr>'310'!OSRRefD21_5x_0</vt:lpstr>
      <vt:lpstr>'310 &amp; 491'!OSRRefD21_5x_0</vt:lpstr>
      <vt:lpstr>'311'!OSRRefD21_5x_0</vt:lpstr>
      <vt:lpstr>'313'!OSRRefD21_5x_0</vt:lpstr>
      <vt:lpstr>'315'!OSRRefD21_5x_0</vt:lpstr>
      <vt:lpstr>'316'!OSRRefD21_5x_0</vt:lpstr>
      <vt:lpstr>'317'!OSRRefD21_5x_0</vt:lpstr>
      <vt:lpstr>'321'!OSRRefD21_5x_0</vt:lpstr>
      <vt:lpstr>'322'!OSRRefD21_5x_0</vt:lpstr>
      <vt:lpstr>'325'!OSRRefD21_5x_0</vt:lpstr>
      <vt:lpstr>'326'!OSRRefD21_5x_0</vt:lpstr>
      <vt:lpstr>'330'!OSRRefD21_5x_0</vt:lpstr>
      <vt:lpstr>'331'!OSRRefD21_5x_0</vt:lpstr>
      <vt:lpstr>'332'!OSRRefD21_5x_0</vt:lpstr>
      <vt:lpstr>'405'!OSRRefD21_5x_0</vt:lpstr>
      <vt:lpstr>'411'!OSRRefD21_5x_0</vt:lpstr>
      <vt:lpstr>'412'!OSRRefD21_5x_0</vt:lpstr>
      <vt:lpstr>'413'!OSRRefD21_5x_0</vt:lpstr>
      <vt:lpstr>'414'!OSRRefD21_5x_0</vt:lpstr>
      <vt:lpstr>'415'!OSRRefD21_5x_0</vt:lpstr>
      <vt:lpstr>'418'!OSRRefD21_5x_0</vt:lpstr>
      <vt:lpstr>'423'!OSRRefD21_5x_0</vt:lpstr>
      <vt:lpstr>'430'!OSRRefD21_5x_0</vt:lpstr>
      <vt:lpstr>'433'!OSRRefD21_5x_0</vt:lpstr>
      <vt:lpstr>'444'!OSRRefD21_5x_0</vt:lpstr>
      <vt:lpstr>'450'!OSRRefD21_5x_0</vt:lpstr>
      <vt:lpstr>'491'!OSRRefD21_5x_0</vt:lpstr>
      <vt:lpstr>'492'!OSRRefD21_5x_0</vt:lpstr>
      <vt:lpstr>'501'!OSRRefD21_5x_0</vt:lpstr>
      <vt:lpstr>'Div 2'!OSRRefD21_5x_0</vt:lpstr>
      <vt:lpstr>'Div 3'!OSRRefD21_5x_0</vt:lpstr>
      <vt:lpstr>'Div 4'!OSRRefD21_5x_0</vt:lpstr>
      <vt:lpstr>'Div 5'!OSRRefD21_5x_0</vt:lpstr>
      <vt:lpstr>'Div 6'!OSRRefD21_5x_0</vt:lpstr>
      <vt:lpstr>Summary!OSRRefD21_5x_0</vt:lpstr>
      <vt:lpstr>'201'!OSRRefD21_5x_1</vt:lpstr>
      <vt:lpstr>'202'!OSRRefD21_5x_1</vt:lpstr>
      <vt:lpstr>'203'!OSRRefD21_5x_1</vt:lpstr>
      <vt:lpstr>'204'!OSRRefD21_5x_1</vt:lpstr>
      <vt:lpstr>'205'!OSRRefD21_5x_1</vt:lpstr>
      <vt:lpstr>'206'!OSRRefD21_5x_1</vt:lpstr>
      <vt:lpstr>'300'!OSRRefD21_5x_1</vt:lpstr>
      <vt:lpstr>'300 &amp; 317'!OSRRefD21_5x_1</vt:lpstr>
      <vt:lpstr>'301'!OSRRefD21_5x_1</vt:lpstr>
      <vt:lpstr>'307'!OSRRefD21_5x_1</vt:lpstr>
      <vt:lpstr>'308'!OSRRefD21_5x_1</vt:lpstr>
      <vt:lpstr>'309'!OSRRefD21_5x_1</vt:lpstr>
      <vt:lpstr>'310'!OSRRefD21_5x_1</vt:lpstr>
      <vt:lpstr>'310 &amp; 491'!OSRRefD21_5x_1</vt:lpstr>
      <vt:lpstr>'311'!OSRRefD21_5x_1</vt:lpstr>
      <vt:lpstr>'313'!OSRRefD21_5x_1</vt:lpstr>
      <vt:lpstr>'315'!OSRRefD21_5x_1</vt:lpstr>
      <vt:lpstr>'316'!OSRRefD21_5x_1</vt:lpstr>
      <vt:lpstr>'317'!OSRRefD21_5x_1</vt:lpstr>
      <vt:lpstr>'321'!OSRRefD21_5x_1</vt:lpstr>
      <vt:lpstr>'322'!OSRRefD21_5x_1</vt:lpstr>
      <vt:lpstr>'325'!OSRRefD21_5x_1</vt:lpstr>
      <vt:lpstr>'326'!OSRRefD21_5x_1</vt:lpstr>
      <vt:lpstr>'330'!OSRRefD21_5x_1</vt:lpstr>
      <vt:lpstr>'331'!OSRRefD21_5x_1</vt:lpstr>
      <vt:lpstr>'332'!OSRRefD21_5x_1</vt:lpstr>
      <vt:lpstr>'405'!OSRRefD21_5x_1</vt:lpstr>
      <vt:lpstr>'411'!OSRRefD21_5x_1</vt:lpstr>
      <vt:lpstr>'412'!OSRRefD21_5x_1</vt:lpstr>
      <vt:lpstr>'413'!OSRRefD21_5x_1</vt:lpstr>
      <vt:lpstr>'414'!OSRRefD21_5x_1</vt:lpstr>
      <vt:lpstr>'415'!OSRRefD21_5x_1</vt:lpstr>
      <vt:lpstr>'418'!OSRRefD21_5x_1</vt:lpstr>
      <vt:lpstr>'423'!OSRRefD21_5x_1</vt:lpstr>
      <vt:lpstr>'430'!OSRRefD21_5x_1</vt:lpstr>
      <vt:lpstr>'433'!OSRRefD21_5x_1</vt:lpstr>
      <vt:lpstr>'444'!OSRRefD21_5x_1</vt:lpstr>
      <vt:lpstr>'450'!OSRRefD21_5x_1</vt:lpstr>
      <vt:lpstr>'491'!OSRRefD21_5x_1</vt:lpstr>
      <vt:lpstr>'492'!OSRRefD21_5x_1</vt:lpstr>
      <vt:lpstr>'501'!OSRRefD21_5x_1</vt:lpstr>
      <vt:lpstr>'Div 2'!OSRRefD21_5x_1</vt:lpstr>
      <vt:lpstr>'Div 3'!OSRRefD21_5x_1</vt:lpstr>
      <vt:lpstr>'Div 4'!OSRRefD21_5x_1</vt:lpstr>
      <vt:lpstr>'Div 5'!OSRRefD21_5x_1</vt:lpstr>
      <vt:lpstr>'Div 6'!OSRRefD21_5x_1</vt:lpstr>
      <vt:lpstr>Summary!OSRRefD21_5x_1</vt:lpstr>
      <vt:lpstr>'201'!OSRRefD21_5x_2</vt:lpstr>
      <vt:lpstr>'202'!OSRRefD21_5x_2</vt:lpstr>
      <vt:lpstr>'203'!OSRRefD21_5x_2</vt:lpstr>
      <vt:lpstr>'204'!OSRRefD21_5x_2</vt:lpstr>
      <vt:lpstr>'205'!OSRRefD21_5x_2</vt:lpstr>
      <vt:lpstr>'206'!OSRRefD21_5x_2</vt:lpstr>
      <vt:lpstr>'300'!OSRRefD21_5x_2</vt:lpstr>
      <vt:lpstr>'300 &amp; 317'!OSRRefD21_5x_2</vt:lpstr>
      <vt:lpstr>'301'!OSRRefD21_5x_2</vt:lpstr>
      <vt:lpstr>'307'!OSRRefD21_5x_2</vt:lpstr>
      <vt:lpstr>'308'!OSRRefD21_5x_2</vt:lpstr>
      <vt:lpstr>'309'!OSRRefD21_5x_2</vt:lpstr>
      <vt:lpstr>'310'!OSRRefD21_5x_2</vt:lpstr>
      <vt:lpstr>'310 &amp; 491'!OSRRefD21_5x_2</vt:lpstr>
      <vt:lpstr>'311'!OSRRefD21_5x_2</vt:lpstr>
      <vt:lpstr>'313'!OSRRefD21_5x_2</vt:lpstr>
      <vt:lpstr>'315'!OSRRefD21_5x_2</vt:lpstr>
      <vt:lpstr>'316'!OSRRefD21_5x_2</vt:lpstr>
      <vt:lpstr>'317'!OSRRefD21_5x_2</vt:lpstr>
      <vt:lpstr>'321'!OSRRefD21_5x_2</vt:lpstr>
      <vt:lpstr>'322'!OSRRefD21_5x_2</vt:lpstr>
      <vt:lpstr>'325'!OSRRefD21_5x_2</vt:lpstr>
      <vt:lpstr>'326'!OSRRefD21_5x_2</vt:lpstr>
      <vt:lpstr>'330'!OSRRefD21_5x_2</vt:lpstr>
      <vt:lpstr>'331'!OSRRefD21_5x_2</vt:lpstr>
      <vt:lpstr>'332'!OSRRefD21_5x_2</vt:lpstr>
      <vt:lpstr>'405'!OSRRefD21_5x_2</vt:lpstr>
      <vt:lpstr>'411'!OSRRefD21_5x_2</vt:lpstr>
      <vt:lpstr>'412'!OSRRefD21_5x_2</vt:lpstr>
      <vt:lpstr>'413'!OSRRefD21_5x_2</vt:lpstr>
      <vt:lpstr>'414'!OSRRefD21_5x_2</vt:lpstr>
      <vt:lpstr>'415'!OSRRefD21_5x_2</vt:lpstr>
      <vt:lpstr>'418'!OSRRefD21_5x_2</vt:lpstr>
      <vt:lpstr>'423'!OSRRefD21_5x_2</vt:lpstr>
      <vt:lpstr>'430'!OSRRefD21_5x_2</vt:lpstr>
      <vt:lpstr>'433'!OSRRefD21_5x_2</vt:lpstr>
      <vt:lpstr>'444'!OSRRefD21_5x_2</vt:lpstr>
      <vt:lpstr>'450'!OSRRefD21_5x_2</vt:lpstr>
      <vt:lpstr>'491'!OSRRefD21_5x_2</vt:lpstr>
      <vt:lpstr>'492'!OSRRefD21_5x_2</vt:lpstr>
      <vt:lpstr>'501'!OSRRefD21_5x_2</vt:lpstr>
      <vt:lpstr>'Div 2'!OSRRefD21_5x_2</vt:lpstr>
      <vt:lpstr>'Div 3'!OSRRefD21_5x_2</vt:lpstr>
      <vt:lpstr>'Div 4'!OSRRefD21_5x_2</vt:lpstr>
      <vt:lpstr>'Div 5'!OSRRefD21_5x_2</vt:lpstr>
      <vt:lpstr>'Div 6'!OSRRefD21_5x_2</vt:lpstr>
      <vt:lpstr>Summary!OSRRefD21_5x_2</vt:lpstr>
      <vt:lpstr>'201'!OSRRefD21_5x_3</vt:lpstr>
      <vt:lpstr>'202'!OSRRefD21_5x_3</vt:lpstr>
      <vt:lpstr>'203'!OSRRefD21_5x_3</vt:lpstr>
      <vt:lpstr>'204'!OSRRefD21_5x_3</vt:lpstr>
      <vt:lpstr>'205'!OSRRefD21_5x_3</vt:lpstr>
      <vt:lpstr>'206'!OSRRefD21_5x_3</vt:lpstr>
      <vt:lpstr>'300'!OSRRefD21_5x_3</vt:lpstr>
      <vt:lpstr>'300 &amp; 317'!OSRRefD21_5x_3</vt:lpstr>
      <vt:lpstr>'301'!OSRRefD21_5x_3</vt:lpstr>
      <vt:lpstr>'307'!OSRRefD21_5x_3</vt:lpstr>
      <vt:lpstr>'308'!OSRRefD21_5x_3</vt:lpstr>
      <vt:lpstr>'309'!OSRRefD21_5x_3</vt:lpstr>
      <vt:lpstr>'310'!OSRRefD21_5x_3</vt:lpstr>
      <vt:lpstr>'310 &amp; 491'!OSRRefD21_5x_3</vt:lpstr>
      <vt:lpstr>'311'!OSRRefD21_5x_3</vt:lpstr>
      <vt:lpstr>'313'!OSRRefD21_5x_3</vt:lpstr>
      <vt:lpstr>'315'!OSRRefD21_5x_3</vt:lpstr>
      <vt:lpstr>'316'!OSRRefD21_5x_3</vt:lpstr>
      <vt:lpstr>'317'!OSRRefD21_5x_3</vt:lpstr>
      <vt:lpstr>'321'!OSRRefD21_5x_3</vt:lpstr>
      <vt:lpstr>'322'!OSRRefD21_5x_3</vt:lpstr>
      <vt:lpstr>'325'!OSRRefD21_5x_3</vt:lpstr>
      <vt:lpstr>'326'!OSRRefD21_5x_3</vt:lpstr>
      <vt:lpstr>'330'!OSRRefD21_5x_3</vt:lpstr>
      <vt:lpstr>'331'!OSRRefD21_5x_3</vt:lpstr>
      <vt:lpstr>'332'!OSRRefD21_5x_3</vt:lpstr>
      <vt:lpstr>'405'!OSRRefD21_5x_3</vt:lpstr>
      <vt:lpstr>'411'!OSRRefD21_5x_3</vt:lpstr>
      <vt:lpstr>'412'!OSRRefD21_5x_3</vt:lpstr>
      <vt:lpstr>'413'!OSRRefD21_5x_3</vt:lpstr>
      <vt:lpstr>'414'!OSRRefD21_5x_3</vt:lpstr>
      <vt:lpstr>'415'!OSRRefD21_5x_3</vt:lpstr>
      <vt:lpstr>'418'!OSRRefD21_5x_3</vt:lpstr>
      <vt:lpstr>'423'!OSRRefD21_5x_3</vt:lpstr>
      <vt:lpstr>'430'!OSRRefD21_5x_3</vt:lpstr>
      <vt:lpstr>'433'!OSRRefD21_5x_3</vt:lpstr>
      <vt:lpstr>'444'!OSRRefD21_5x_3</vt:lpstr>
      <vt:lpstr>'450'!OSRRefD21_5x_3</vt:lpstr>
      <vt:lpstr>'491'!OSRRefD21_5x_3</vt:lpstr>
      <vt:lpstr>'492'!OSRRefD21_5x_3</vt:lpstr>
      <vt:lpstr>'501'!OSRRefD21_5x_3</vt:lpstr>
      <vt:lpstr>'Div 2'!OSRRefD21_5x_3</vt:lpstr>
      <vt:lpstr>'Div 3'!OSRRefD21_5x_3</vt:lpstr>
      <vt:lpstr>'Div 4'!OSRRefD21_5x_3</vt:lpstr>
      <vt:lpstr>'Div 5'!OSRRefD21_5x_3</vt:lpstr>
      <vt:lpstr>'Div 6'!OSRRefD21_5x_3</vt:lpstr>
      <vt:lpstr>Summary!OSRRefD21_5x_3</vt:lpstr>
      <vt:lpstr>'201'!OSRRefD21_6_0x</vt:lpstr>
      <vt:lpstr>'202'!OSRRefD21_6_0x</vt:lpstr>
      <vt:lpstr>'203'!OSRRefD21_6_0x</vt:lpstr>
      <vt:lpstr>'204'!OSRRefD21_6_0x</vt:lpstr>
      <vt:lpstr>'205'!OSRRefD21_6_0x</vt:lpstr>
      <vt:lpstr>'206'!OSRRefD21_6_0x</vt:lpstr>
      <vt:lpstr>'300'!OSRRefD21_6_0x</vt:lpstr>
      <vt:lpstr>'300 &amp; 317'!OSRRefD21_6_0x</vt:lpstr>
      <vt:lpstr>'301'!OSRRefD21_6_0x</vt:lpstr>
      <vt:lpstr>'307'!OSRRefD21_6_0x</vt:lpstr>
      <vt:lpstr>'308'!OSRRefD21_6_0x</vt:lpstr>
      <vt:lpstr>'309'!OSRRefD21_6_0x</vt:lpstr>
      <vt:lpstr>'310'!OSRRefD21_6_0x</vt:lpstr>
      <vt:lpstr>'310 &amp; 491'!OSRRefD21_6_0x</vt:lpstr>
      <vt:lpstr>'311'!OSRRefD21_6_0x</vt:lpstr>
      <vt:lpstr>'313'!OSRRefD21_6_0x</vt:lpstr>
      <vt:lpstr>'315'!OSRRefD21_6_0x</vt:lpstr>
      <vt:lpstr>'316'!OSRRefD21_6_0x</vt:lpstr>
      <vt:lpstr>'317'!OSRRefD21_6_0x</vt:lpstr>
      <vt:lpstr>'321'!OSRRefD21_6_0x</vt:lpstr>
      <vt:lpstr>'322'!OSRRefD21_6_0x</vt:lpstr>
      <vt:lpstr>'325'!OSRRefD21_6_0x</vt:lpstr>
      <vt:lpstr>'326'!OSRRefD21_6_0x</vt:lpstr>
      <vt:lpstr>'330'!OSRRefD21_6_0x</vt:lpstr>
      <vt:lpstr>'331'!OSRRefD21_6_0x</vt:lpstr>
      <vt:lpstr>'332'!OSRRefD21_6_0x</vt:lpstr>
      <vt:lpstr>'405'!OSRRefD21_6_0x</vt:lpstr>
      <vt:lpstr>'411'!OSRRefD21_6_0x</vt:lpstr>
      <vt:lpstr>'412'!OSRRefD21_6_0x</vt:lpstr>
      <vt:lpstr>'413'!OSRRefD21_6_0x</vt:lpstr>
      <vt:lpstr>'414'!OSRRefD21_6_0x</vt:lpstr>
      <vt:lpstr>'415'!OSRRefD21_6_0x</vt:lpstr>
      <vt:lpstr>'418'!OSRRefD21_6_0x</vt:lpstr>
      <vt:lpstr>'423'!OSRRefD21_6_0x</vt:lpstr>
      <vt:lpstr>'430'!OSRRefD21_6_0x</vt:lpstr>
      <vt:lpstr>'433'!OSRRefD21_6_0x</vt:lpstr>
      <vt:lpstr>'444'!OSRRefD21_6_0x</vt:lpstr>
      <vt:lpstr>'450'!OSRRefD21_6_0x</vt:lpstr>
      <vt:lpstr>'491'!OSRRefD21_6_0x</vt:lpstr>
      <vt:lpstr>'492'!OSRRefD21_6_0x</vt:lpstr>
      <vt:lpstr>'501'!OSRRefD21_6_0x</vt:lpstr>
      <vt:lpstr>'Div 2'!OSRRefD21_6_0x</vt:lpstr>
      <vt:lpstr>'Div 3'!OSRRefD21_6_0x</vt:lpstr>
      <vt:lpstr>'Div 4'!OSRRefD21_6_0x</vt:lpstr>
      <vt:lpstr>'Div 5'!OSRRefD21_6_0x</vt:lpstr>
      <vt:lpstr>'Div 6'!OSRRefD21_6_0x</vt:lpstr>
      <vt:lpstr>Summary!OSRRefD21_6_0x</vt:lpstr>
      <vt:lpstr>'300'!OSRRefD21_6_1x</vt:lpstr>
      <vt:lpstr>'300 &amp; 317'!OSRRefD21_6_1x</vt:lpstr>
      <vt:lpstr>'307'!OSRRefD21_6_1x</vt:lpstr>
      <vt:lpstr>'309'!OSRRefD21_6_1x</vt:lpstr>
      <vt:lpstr>'316'!OSRRefD21_6_1x</vt:lpstr>
      <vt:lpstr>'317'!OSRRefD21_6_1x</vt:lpstr>
      <vt:lpstr>'321'!OSRRefD21_6_1x</vt:lpstr>
      <vt:lpstr>'322'!OSRRefD21_6_1x</vt:lpstr>
      <vt:lpstr>'330'!OSRRefD21_6_1x</vt:lpstr>
      <vt:lpstr>'332'!OSRRefD21_6_1x</vt:lpstr>
      <vt:lpstr>'Div 2'!OSRRefD21_6_1x</vt:lpstr>
      <vt:lpstr>'Div 3'!OSRRefD21_6_1x</vt:lpstr>
      <vt:lpstr>'Div 6'!OSRRefD21_6_1x</vt:lpstr>
      <vt:lpstr>Summary!OSRRefD21_6_1x</vt:lpstr>
      <vt:lpstr>'201'!OSRRefD21_6x_0</vt:lpstr>
      <vt:lpstr>'202'!OSRRefD21_6x_0</vt:lpstr>
      <vt:lpstr>'203'!OSRRefD21_6x_0</vt:lpstr>
      <vt:lpstr>'204'!OSRRefD21_6x_0</vt:lpstr>
      <vt:lpstr>'205'!OSRRefD21_6x_0</vt:lpstr>
      <vt:lpstr>'206'!OSRRefD21_6x_0</vt:lpstr>
      <vt:lpstr>'300'!OSRRefD21_6x_0</vt:lpstr>
      <vt:lpstr>'300 &amp; 317'!OSRRefD21_6x_0</vt:lpstr>
      <vt:lpstr>'301'!OSRRefD21_6x_0</vt:lpstr>
      <vt:lpstr>'307'!OSRRefD21_6x_0</vt:lpstr>
      <vt:lpstr>'308'!OSRRefD21_6x_0</vt:lpstr>
      <vt:lpstr>'309'!OSRRefD21_6x_0</vt:lpstr>
      <vt:lpstr>'310'!OSRRefD21_6x_0</vt:lpstr>
      <vt:lpstr>'310 &amp; 491'!OSRRefD21_6x_0</vt:lpstr>
      <vt:lpstr>'311'!OSRRefD21_6x_0</vt:lpstr>
      <vt:lpstr>'313'!OSRRefD21_6x_0</vt:lpstr>
      <vt:lpstr>'315'!OSRRefD21_6x_0</vt:lpstr>
      <vt:lpstr>'316'!OSRRefD21_6x_0</vt:lpstr>
      <vt:lpstr>'317'!OSRRefD21_6x_0</vt:lpstr>
      <vt:lpstr>'321'!OSRRefD21_6x_0</vt:lpstr>
      <vt:lpstr>'322'!OSRRefD21_6x_0</vt:lpstr>
      <vt:lpstr>'325'!OSRRefD21_6x_0</vt:lpstr>
      <vt:lpstr>'326'!OSRRefD21_6x_0</vt:lpstr>
      <vt:lpstr>'330'!OSRRefD21_6x_0</vt:lpstr>
      <vt:lpstr>'331'!OSRRefD21_6x_0</vt:lpstr>
      <vt:lpstr>'332'!OSRRefD21_6x_0</vt:lpstr>
      <vt:lpstr>'405'!OSRRefD21_6x_0</vt:lpstr>
      <vt:lpstr>'411'!OSRRefD21_6x_0</vt:lpstr>
      <vt:lpstr>'412'!OSRRefD21_6x_0</vt:lpstr>
      <vt:lpstr>'413'!OSRRefD21_6x_0</vt:lpstr>
      <vt:lpstr>'414'!OSRRefD21_6x_0</vt:lpstr>
      <vt:lpstr>'415'!OSRRefD21_6x_0</vt:lpstr>
      <vt:lpstr>'418'!OSRRefD21_6x_0</vt:lpstr>
      <vt:lpstr>'423'!OSRRefD21_6x_0</vt:lpstr>
      <vt:lpstr>'430'!OSRRefD21_6x_0</vt:lpstr>
      <vt:lpstr>'433'!OSRRefD21_6x_0</vt:lpstr>
      <vt:lpstr>'444'!OSRRefD21_6x_0</vt:lpstr>
      <vt:lpstr>'450'!OSRRefD21_6x_0</vt:lpstr>
      <vt:lpstr>'491'!OSRRefD21_6x_0</vt:lpstr>
      <vt:lpstr>'492'!OSRRefD21_6x_0</vt:lpstr>
      <vt:lpstr>'501'!OSRRefD21_6x_0</vt:lpstr>
      <vt:lpstr>'Div 2'!OSRRefD21_6x_0</vt:lpstr>
      <vt:lpstr>'Div 3'!OSRRefD21_6x_0</vt:lpstr>
      <vt:lpstr>'Div 4'!OSRRefD21_6x_0</vt:lpstr>
      <vt:lpstr>'Div 5'!OSRRefD21_6x_0</vt:lpstr>
      <vt:lpstr>'Div 6'!OSRRefD21_6x_0</vt:lpstr>
      <vt:lpstr>Summary!OSRRefD21_6x_0</vt:lpstr>
      <vt:lpstr>'201'!OSRRefD21_6x_1</vt:lpstr>
      <vt:lpstr>'202'!OSRRefD21_6x_1</vt:lpstr>
      <vt:lpstr>'203'!OSRRefD21_6x_1</vt:lpstr>
      <vt:lpstr>'204'!OSRRefD21_6x_1</vt:lpstr>
      <vt:lpstr>'205'!OSRRefD21_6x_1</vt:lpstr>
      <vt:lpstr>'206'!OSRRefD21_6x_1</vt:lpstr>
      <vt:lpstr>'300'!OSRRefD21_6x_1</vt:lpstr>
      <vt:lpstr>'300 &amp; 317'!OSRRefD21_6x_1</vt:lpstr>
      <vt:lpstr>'301'!OSRRefD21_6x_1</vt:lpstr>
      <vt:lpstr>'307'!OSRRefD21_6x_1</vt:lpstr>
      <vt:lpstr>'308'!OSRRefD21_6x_1</vt:lpstr>
      <vt:lpstr>'309'!OSRRefD21_6x_1</vt:lpstr>
      <vt:lpstr>'310'!OSRRefD21_6x_1</vt:lpstr>
      <vt:lpstr>'310 &amp; 491'!OSRRefD21_6x_1</vt:lpstr>
      <vt:lpstr>'311'!OSRRefD21_6x_1</vt:lpstr>
      <vt:lpstr>'313'!OSRRefD21_6x_1</vt:lpstr>
      <vt:lpstr>'315'!OSRRefD21_6x_1</vt:lpstr>
      <vt:lpstr>'316'!OSRRefD21_6x_1</vt:lpstr>
      <vt:lpstr>'317'!OSRRefD21_6x_1</vt:lpstr>
      <vt:lpstr>'321'!OSRRefD21_6x_1</vt:lpstr>
      <vt:lpstr>'322'!OSRRefD21_6x_1</vt:lpstr>
      <vt:lpstr>'325'!OSRRefD21_6x_1</vt:lpstr>
      <vt:lpstr>'326'!OSRRefD21_6x_1</vt:lpstr>
      <vt:lpstr>'330'!OSRRefD21_6x_1</vt:lpstr>
      <vt:lpstr>'331'!OSRRefD21_6x_1</vt:lpstr>
      <vt:lpstr>'332'!OSRRefD21_6x_1</vt:lpstr>
      <vt:lpstr>'405'!OSRRefD21_6x_1</vt:lpstr>
      <vt:lpstr>'411'!OSRRefD21_6x_1</vt:lpstr>
      <vt:lpstr>'412'!OSRRefD21_6x_1</vt:lpstr>
      <vt:lpstr>'413'!OSRRefD21_6x_1</vt:lpstr>
      <vt:lpstr>'414'!OSRRefD21_6x_1</vt:lpstr>
      <vt:lpstr>'415'!OSRRefD21_6x_1</vt:lpstr>
      <vt:lpstr>'418'!OSRRefD21_6x_1</vt:lpstr>
      <vt:lpstr>'423'!OSRRefD21_6x_1</vt:lpstr>
      <vt:lpstr>'430'!OSRRefD21_6x_1</vt:lpstr>
      <vt:lpstr>'433'!OSRRefD21_6x_1</vt:lpstr>
      <vt:lpstr>'444'!OSRRefD21_6x_1</vt:lpstr>
      <vt:lpstr>'450'!OSRRefD21_6x_1</vt:lpstr>
      <vt:lpstr>'491'!OSRRefD21_6x_1</vt:lpstr>
      <vt:lpstr>'492'!OSRRefD21_6x_1</vt:lpstr>
      <vt:lpstr>'501'!OSRRefD21_6x_1</vt:lpstr>
      <vt:lpstr>'Div 2'!OSRRefD21_6x_1</vt:lpstr>
      <vt:lpstr>'Div 3'!OSRRefD21_6x_1</vt:lpstr>
      <vt:lpstr>'Div 4'!OSRRefD21_6x_1</vt:lpstr>
      <vt:lpstr>'Div 5'!OSRRefD21_6x_1</vt:lpstr>
      <vt:lpstr>'Div 6'!OSRRefD21_6x_1</vt:lpstr>
      <vt:lpstr>Summary!OSRRefD21_6x_1</vt:lpstr>
      <vt:lpstr>'201'!OSRRefD21_6x_2</vt:lpstr>
      <vt:lpstr>'202'!OSRRefD21_6x_2</vt:lpstr>
      <vt:lpstr>'203'!OSRRefD21_6x_2</vt:lpstr>
      <vt:lpstr>'204'!OSRRefD21_6x_2</vt:lpstr>
      <vt:lpstr>'205'!OSRRefD21_6x_2</vt:lpstr>
      <vt:lpstr>'206'!OSRRefD21_6x_2</vt:lpstr>
      <vt:lpstr>'300'!OSRRefD21_6x_2</vt:lpstr>
      <vt:lpstr>'300 &amp; 317'!OSRRefD21_6x_2</vt:lpstr>
      <vt:lpstr>'301'!OSRRefD21_6x_2</vt:lpstr>
      <vt:lpstr>'307'!OSRRefD21_6x_2</vt:lpstr>
      <vt:lpstr>'308'!OSRRefD21_6x_2</vt:lpstr>
      <vt:lpstr>'309'!OSRRefD21_6x_2</vt:lpstr>
      <vt:lpstr>'310'!OSRRefD21_6x_2</vt:lpstr>
      <vt:lpstr>'310 &amp; 491'!OSRRefD21_6x_2</vt:lpstr>
      <vt:lpstr>'311'!OSRRefD21_6x_2</vt:lpstr>
      <vt:lpstr>'313'!OSRRefD21_6x_2</vt:lpstr>
      <vt:lpstr>'315'!OSRRefD21_6x_2</vt:lpstr>
      <vt:lpstr>'316'!OSRRefD21_6x_2</vt:lpstr>
      <vt:lpstr>'317'!OSRRefD21_6x_2</vt:lpstr>
      <vt:lpstr>'321'!OSRRefD21_6x_2</vt:lpstr>
      <vt:lpstr>'322'!OSRRefD21_6x_2</vt:lpstr>
      <vt:lpstr>'325'!OSRRefD21_6x_2</vt:lpstr>
      <vt:lpstr>'326'!OSRRefD21_6x_2</vt:lpstr>
      <vt:lpstr>'330'!OSRRefD21_6x_2</vt:lpstr>
      <vt:lpstr>'331'!OSRRefD21_6x_2</vt:lpstr>
      <vt:lpstr>'332'!OSRRefD21_6x_2</vt:lpstr>
      <vt:lpstr>'405'!OSRRefD21_6x_2</vt:lpstr>
      <vt:lpstr>'411'!OSRRefD21_6x_2</vt:lpstr>
      <vt:lpstr>'412'!OSRRefD21_6x_2</vt:lpstr>
      <vt:lpstr>'413'!OSRRefD21_6x_2</vt:lpstr>
      <vt:lpstr>'414'!OSRRefD21_6x_2</vt:lpstr>
      <vt:lpstr>'415'!OSRRefD21_6x_2</vt:lpstr>
      <vt:lpstr>'418'!OSRRefD21_6x_2</vt:lpstr>
      <vt:lpstr>'423'!OSRRefD21_6x_2</vt:lpstr>
      <vt:lpstr>'430'!OSRRefD21_6x_2</vt:lpstr>
      <vt:lpstr>'433'!OSRRefD21_6x_2</vt:lpstr>
      <vt:lpstr>'444'!OSRRefD21_6x_2</vt:lpstr>
      <vt:lpstr>'450'!OSRRefD21_6x_2</vt:lpstr>
      <vt:lpstr>'491'!OSRRefD21_6x_2</vt:lpstr>
      <vt:lpstr>'492'!OSRRefD21_6x_2</vt:lpstr>
      <vt:lpstr>'501'!OSRRefD21_6x_2</vt:lpstr>
      <vt:lpstr>'Div 2'!OSRRefD21_6x_2</vt:lpstr>
      <vt:lpstr>'Div 3'!OSRRefD21_6x_2</vt:lpstr>
      <vt:lpstr>'Div 4'!OSRRefD21_6x_2</vt:lpstr>
      <vt:lpstr>'Div 5'!OSRRefD21_6x_2</vt:lpstr>
      <vt:lpstr>'Div 6'!OSRRefD21_6x_2</vt:lpstr>
      <vt:lpstr>Summary!OSRRefD21_6x_2</vt:lpstr>
      <vt:lpstr>'201'!OSRRefD21_6x_3</vt:lpstr>
      <vt:lpstr>'202'!OSRRefD21_6x_3</vt:lpstr>
      <vt:lpstr>'203'!OSRRefD21_6x_3</vt:lpstr>
      <vt:lpstr>'204'!OSRRefD21_6x_3</vt:lpstr>
      <vt:lpstr>'205'!OSRRefD21_6x_3</vt:lpstr>
      <vt:lpstr>'206'!OSRRefD21_6x_3</vt:lpstr>
      <vt:lpstr>'300'!OSRRefD21_6x_3</vt:lpstr>
      <vt:lpstr>'300 &amp; 317'!OSRRefD21_6x_3</vt:lpstr>
      <vt:lpstr>'301'!OSRRefD21_6x_3</vt:lpstr>
      <vt:lpstr>'307'!OSRRefD21_6x_3</vt:lpstr>
      <vt:lpstr>'308'!OSRRefD21_6x_3</vt:lpstr>
      <vt:lpstr>'309'!OSRRefD21_6x_3</vt:lpstr>
      <vt:lpstr>'310'!OSRRefD21_6x_3</vt:lpstr>
      <vt:lpstr>'310 &amp; 491'!OSRRefD21_6x_3</vt:lpstr>
      <vt:lpstr>'311'!OSRRefD21_6x_3</vt:lpstr>
      <vt:lpstr>'313'!OSRRefD21_6x_3</vt:lpstr>
      <vt:lpstr>'315'!OSRRefD21_6x_3</vt:lpstr>
      <vt:lpstr>'316'!OSRRefD21_6x_3</vt:lpstr>
      <vt:lpstr>'317'!OSRRefD21_6x_3</vt:lpstr>
      <vt:lpstr>'321'!OSRRefD21_6x_3</vt:lpstr>
      <vt:lpstr>'322'!OSRRefD21_6x_3</vt:lpstr>
      <vt:lpstr>'325'!OSRRefD21_6x_3</vt:lpstr>
      <vt:lpstr>'326'!OSRRefD21_6x_3</vt:lpstr>
      <vt:lpstr>'330'!OSRRefD21_6x_3</vt:lpstr>
      <vt:lpstr>'331'!OSRRefD21_6x_3</vt:lpstr>
      <vt:lpstr>'332'!OSRRefD21_6x_3</vt:lpstr>
      <vt:lpstr>'405'!OSRRefD21_6x_3</vt:lpstr>
      <vt:lpstr>'411'!OSRRefD21_6x_3</vt:lpstr>
      <vt:lpstr>'412'!OSRRefD21_6x_3</vt:lpstr>
      <vt:lpstr>'413'!OSRRefD21_6x_3</vt:lpstr>
      <vt:lpstr>'414'!OSRRefD21_6x_3</vt:lpstr>
      <vt:lpstr>'415'!OSRRefD21_6x_3</vt:lpstr>
      <vt:lpstr>'418'!OSRRefD21_6x_3</vt:lpstr>
      <vt:lpstr>'423'!OSRRefD21_6x_3</vt:lpstr>
      <vt:lpstr>'430'!OSRRefD21_6x_3</vt:lpstr>
      <vt:lpstr>'433'!OSRRefD21_6x_3</vt:lpstr>
      <vt:lpstr>'444'!OSRRefD21_6x_3</vt:lpstr>
      <vt:lpstr>'450'!OSRRefD21_6x_3</vt:lpstr>
      <vt:lpstr>'491'!OSRRefD21_6x_3</vt:lpstr>
      <vt:lpstr>'492'!OSRRefD21_6x_3</vt:lpstr>
      <vt:lpstr>'501'!OSRRefD21_6x_3</vt:lpstr>
      <vt:lpstr>'Div 2'!OSRRefD21_6x_3</vt:lpstr>
      <vt:lpstr>'Div 3'!OSRRefD21_6x_3</vt:lpstr>
      <vt:lpstr>'Div 4'!OSRRefD21_6x_3</vt:lpstr>
      <vt:lpstr>'Div 5'!OSRRefD21_6x_3</vt:lpstr>
      <vt:lpstr>'Div 6'!OSRRefD21_6x_3</vt:lpstr>
      <vt:lpstr>Summary!OSRRefD21_6x_3</vt:lpstr>
      <vt:lpstr>'201'!OSRRefD21_7_0x</vt:lpstr>
      <vt:lpstr>'202'!OSRRefD21_7_0x</vt:lpstr>
      <vt:lpstr>'203'!OSRRefD21_7_0x</vt:lpstr>
      <vt:lpstr>'204'!OSRRefD21_7_0x</vt:lpstr>
      <vt:lpstr>'205'!OSRRefD21_7_0x</vt:lpstr>
      <vt:lpstr>'300'!OSRRefD21_7_0x</vt:lpstr>
      <vt:lpstr>'300 &amp; 317'!OSRRefD21_7_0x</vt:lpstr>
      <vt:lpstr>'301'!OSRRefD21_7_0x</vt:lpstr>
      <vt:lpstr>'307'!OSRRefD21_7_0x</vt:lpstr>
      <vt:lpstr>'308'!OSRRefD21_7_0x</vt:lpstr>
      <vt:lpstr>'309'!OSRRefD21_7_0x</vt:lpstr>
      <vt:lpstr>'310'!OSRRefD21_7_0x</vt:lpstr>
      <vt:lpstr>'310 &amp; 491'!OSRRefD21_7_0x</vt:lpstr>
      <vt:lpstr>'311'!OSRRefD21_7_0x</vt:lpstr>
      <vt:lpstr>'313'!OSRRefD21_7_0x</vt:lpstr>
      <vt:lpstr>'315'!OSRRefD21_7_0x</vt:lpstr>
      <vt:lpstr>'316'!OSRRefD21_7_0x</vt:lpstr>
      <vt:lpstr>'317'!OSRRefD21_7_0x</vt:lpstr>
      <vt:lpstr>'321'!OSRRefD21_7_0x</vt:lpstr>
      <vt:lpstr>'322'!OSRRefD21_7_0x</vt:lpstr>
      <vt:lpstr>'325'!OSRRefD21_7_0x</vt:lpstr>
      <vt:lpstr>'326'!OSRRefD21_7_0x</vt:lpstr>
      <vt:lpstr>'330'!OSRRefD21_7_0x</vt:lpstr>
      <vt:lpstr>'331'!OSRRefD21_7_0x</vt:lpstr>
      <vt:lpstr>'332'!OSRRefD21_7_0x</vt:lpstr>
      <vt:lpstr>'405'!OSRRefD21_7_0x</vt:lpstr>
      <vt:lpstr>'411'!OSRRefD21_7_0x</vt:lpstr>
      <vt:lpstr>'412'!OSRRefD21_7_0x</vt:lpstr>
      <vt:lpstr>'413'!OSRRefD21_7_0x</vt:lpstr>
      <vt:lpstr>'414'!OSRRefD21_7_0x</vt:lpstr>
      <vt:lpstr>'415'!OSRRefD21_7_0x</vt:lpstr>
      <vt:lpstr>'418'!OSRRefD21_7_0x</vt:lpstr>
      <vt:lpstr>'430'!OSRRefD21_7_0x</vt:lpstr>
      <vt:lpstr>'433'!OSRRefD21_7_0x</vt:lpstr>
      <vt:lpstr>'444'!OSRRefD21_7_0x</vt:lpstr>
      <vt:lpstr>'450'!OSRRefD21_7_0x</vt:lpstr>
      <vt:lpstr>'491'!OSRRefD21_7_0x</vt:lpstr>
      <vt:lpstr>'492'!OSRRefD21_7_0x</vt:lpstr>
      <vt:lpstr>'501'!OSRRefD21_7_0x</vt:lpstr>
      <vt:lpstr>'Div 2'!OSRRefD21_7_0x</vt:lpstr>
      <vt:lpstr>'Div 3'!OSRRefD21_7_0x</vt:lpstr>
      <vt:lpstr>'Div 4'!OSRRefD21_7_0x</vt:lpstr>
      <vt:lpstr>'Div 5'!OSRRefD21_7_0x</vt:lpstr>
      <vt:lpstr>'Div 6'!OSRRefD21_7_0x</vt:lpstr>
      <vt:lpstr>Summary!OSRRefD21_7_0x</vt:lpstr>
      <vt:lpstr>'202'!OSRRefD21_7_1x</vt:lpstr>
      <vt:lpstr>'204'!OSRRefD21_7_1x</vt:lpstr>
      <vt:lpstr>'308'!OSRRefD21_7_1x</vt:lpstr>
      <vt:lpstr>'309'!OSRRefD21_7_1x</vt:lpstr>
      <vt:lpstr>'311'!OSRRefD21_7_1x</vt:lpstr>
      <vt:lpstr>'315'!OSRRefD21_7_1x</vt:lpstr>
      <vt:lpstr>'316'!OSRRefD21_7_1x</vt:lpstr>
      <vt:lpstr>'322'!OSRRefD21_7_1x</vt:lpstr>
      <vt:lpstr>'331'!OSRRefD21_7_1x</vt:lpstr>
      <vt:lpstr>'332'!OSRRefD21_7_1x</vt:lpstr>
      <vt:lpstr>'309'!OSRRefD21_7_2x</vt:lpstr>
      <vt:lpstr>'201'!OSRRefD21_7x_0</vt:lpstr>
      <vt:lpstr>'202'!OSRRefD21_7x_0</vt:lpstr>
      <vt:lpstr>'203'!OSRRefD21_7x_0</vt:lpstr>
      <vt:lpstr>'204'!OSRRefD21_7x_0</vt:lpstr>
      <vt:lpstr>'205'!OSRRefD21_7x_0</vt:lpstr>
      <vt:lpstr>'300'!OSRRefD21_7x_0</vt:lpstr>
      <vt:lpstr>'300 &amp; 317'!OSRRefD21_7x_0</vt:lpstr>
      <vt:lpstr>'301'!OSRRefD21_7x_0</vt:lpstr>
      <vt:lpstr>'307'!OSRRefD21_7x_0</vt:lpstr>
      <vt:lpstr>'308'!OSRRefD21_7x_0</vt:lpstr>
      <vt:lpstr>'309'!OSRRefD21_7x_0</vt:lpstr>
      <vt:lpstr>'310'!OSRRefD21_7x_0</vt:lpstr>
      <vt:lpstr>'310 &amp; 491'!OSRRefD21_7x_0</vt:lpstr>
      <vt:lpstr>'311'!OSRRefD21_7x_0</vt:lpstr>
      <vt:lpstr>'313'!OSRRefD21_7x_0</vt:lpstr>
      <vt:lpstr>'315'!OSRRefD21_7x_0</vt:lpstr>
      <vt:lpstr>'316'!OSRRefD21_7x_0</vt:lpstr>
      <vt:lpstr>'317'!OSRRefD21_7x_0</vt:lpstr>
      <vt:lpstr>'321'!OSRRefD21_7x_0</vt:lpstr>
      <vt:lpstr>'322'!OSRRefD21_7x_0</vt:lpstr>
      <vt:lpstr>'325'!OSRRefD21_7x_0</vt:lpstr>
      <vt:lpstr>'326'!OSRRefD21_7x_0</vt:lpstr>
      <vt:lpstr>'330'!OSRRefD21_7x_0</vt:lpstr>
      <vt:lpstr>'331'!OSRRefD21_7x_0</vt:lpstr>
      <vt:lpstr>'332'!OSRRefD21_7x_0</vt:lpstr>
      <vt:lpstr>'405'!OSRRefD21_7x_0</vt:lpstr>
      <vt:lpstr>'411'!OSRRefD21_7x_0</vt:lpstr>
      <vt:lpstr>'412'!OSRRefD21_7x_0</vt:lpstr>
      <vt:lpstr>'413'!OSRRefD21_7x_0</vt:lpstr>
      <vt:lpstr>'414'!OSRRefD21_7x_0</vt:lpstr>
      <vt:lpstr>'415'!OSRRefD21_7x_0</vt:lpstr>
      <vt:lpstr>'418'!OSRRefD21_7x_0</vt:lpstr>
      <vt:lpstr>'430'!OSRRefD21_7x_0</vt:lpstr>
      <vt:lpstr>'433'!OSRRefD21_7x_0</vt:lpstr>
      <vt:lpstr>'444'!OSRRefD21_7x_0</vt:lpstr>
      <vt:lpstr>'450'!OSRRefD21_7x_0</vt:lpstr>
      <vt:lpstr>'491'!OSRRefD21_7x_0</vt:lpstr>
      <vt:lpstr>'492'!OSRRefD21_7x_0</vt:lpstr>
      <vt:lpstr>'501'!OSRRefD21_7x_0</vt:lpstr>
      <vt:lpstr>'Div 2'!OSRRefD21_7x_0</vt:lpstr>
      <vt:lpstr>'Div 3'!OSRRefD21_7x_0</vt:lpstr>
      <vt:lpstr>'Div 4'!OSRRefD21_7x_0</vt:lpstr>
      <vt:lpstr>'Div 5'!OSRRefD21_7x_0</vt:lpstr>
      <vt:lpstr>'Div 6'!OSRRefD21_7x_0</vt:lpstr>
      <vt:lpstr>Summary!OSRRefD21_7x_0</vt:lpstr>
      <vt:lpstr>'201'!OSRRefD21_7x_1</vt:lpstr>
      <vt:lpstr>'202'!OSRRefD21_7x_1</vt:lpstr>
      <vt:lpstr>'203'!OSRRefD21_7x_1</vt:lpstr>
      <vt:lpstr>'204'!OSRRefD21_7x_1</vt:lpstr>
      <vt:lpstr>'205'!OSRRefD21_7x_1</vt:lpstr>
      <vt:lpstr>'300'!OSRRefD21_7x_1</vt:lpstr>
      <vt:lpstr>'300 &amp; 317'!OSRRefD21_7x_1</vt:lpstr>
      <vt:lpstr>'301'!OSRRefD21_7x_1</vt:lpstr>
      <vt:lpstr>'307'!OSRRefD21_7x_1</vt:lpstr>
      <vt:lpstr>'308'!OSRRefD21_7x_1</vt:lpstr>
      <vt:lpstr>'309'!OSRRefD21_7x_1</vt:lpstr>
      <vt:lpstr>'310'!OSRRefD21_7x_1</vt:lpstr>
      <vt:lpstr>'310 &amp; 491'!OSRRefD21_7x_1</vt:lpstr>
      <vt:lpstr>'311'!OSRRefD21_7x_1</vt:lpstr>
      <vt:lpstr>'313'!OSRRefD21_7x_1</vt:lpstr>
      <vt:lpstr>'315'!OSRRefD21_7x_1</vt:lpstr>
      <vt:lpstr>'316'!OSRRefD21_7x_1</vt:lpstr>
      <vt:lpstr>'317'!OSRRefD21_7x_1</vt:lpstr>
      <vt:lpstr>'321'!OSRRefD21_7x_1</vt:lpstr>
      <vt:lpstr>'322'!OSRRefD21_7x_1</vt:lpstr>
      <vt:lpstr>'325'!OSRRefD21_7x_1</vt:lpstr>
      <vt:lpstr>'326'!OSRRefD21_7x_1</vt:lpstr>
      <vt:lpstr>'330'!OSRRefD21_7x_1</vt:lpstr>
      <vt:lpstr>'331'!OSRRefD21_7x_1</vt:lpstr>
      <vt:lpstr>'332'!OSRRefD21_7x_1</vt:lpstr>
      <vt:lpstr>'405'!OSRRefD21_7x_1</vt:lpstr>
      <vt:lpstr>'411'!OSRRefD21_7x_1</vt:lpstr>
      <vt:lpstr>'412'!OSRRefD21_7x_1</vt:lpstr>
      <vt:lpstr>'413'!OSRRefD21_7x_1</vt:lpstr>
      <vt:lpstr>'414'!OSRRefD21_7x_1</vt:lpstr>
      <vt:lpstr>'415'!OSRRefD21_7x_1</vt:lpstr>
      <vt:lpstr>'418'!OSRRefD21_7x_1</vt:lpstr>
      <vt:lpstr>'430'!OSRRefD21_7x_1</vt:lpstr>
      <vt:lpstr>'433'!OSRRefD21_7x_1</vt:lpstr>
      <vt:lpstr>'444'!OSRRefD21_7x_1</vt:lpstr>
      <vt:lpstr>'450'!OSRRefD21_7x_1</vt:lpstr>
      <vt:lpstr>'491'!OSRRefD21_7x_1</vt:lpstr>
      <vt:lpstr>'492'!OSRRefD21_7x_1</vt:lpstr>
      <vt:lpstr>'501'!OSRRefD21_7x_1</vt:lpstr>
      <vt:lpstr>'Div 2'!OSRRefD21_7x_1</vt:lpstr>
      <vt:lpstr>'Div 3'!OSRRefD21_7x_1</vt:lpstr>
      <vt:lpstr>'Div 4'!OSRRefD21_7x_1</vt:lpstr>
      <vt:lpstr>'Div 5'!OSRRefD21_7x_1</vt:lpstr>
      <vt:lpstr>'Div 6'!OSRRefD21_7x_1</vt:lpstr>
      <vt:lpstr>Summary!OSRRefD21_7x_1</vt:lpstr>
      <vt:lpstr>'201'!OSRRefD21_7x_2</vt:lpstr>
      <vt:lpstr>'202'!OSRRefD21_7x_2</vt:lpstr>
      <vt:lpstr>'203'!OSRRefD21_7x_2</vt:lpstr>
      <vt:lpstr>'204'!OSRRefD21_7x_2</vt:lpstr>
      <vt:lpstr>'205'!OSRRefD21_7x_2</vt:lpstr>
      <vt:lpstr>'300'!OSRRefD21_7x_2</vt:lpstr>
      <vt:lpstr>'300 &amp; 317'!OSRRefD21_7x_2</vt:lpstr>
      <vt:lpstr>'301'!OSRRefD21_7x_2</vt:lpstr>
      <vt:lpstr>'307'!OSRRefD21_7x_2</vt:lpstr>
      <vt:lpstr>'308'!OSRRefD21_7x_2</vt:lpstr>
      <vt:lpstr>'309'!OSRRefD21_7x_2</vt:lpstr>
      <vt:lpstr>'310'!OSRRefD21_7x_2</vt:lpstr>
      <vt:lpstr>'310 &amp; 491'!OSRRefD21_7x_2</vt:lpstr>
      <vt:lpstr>'311'!OSRRefD21_7x_2</vt:lpstr>
      <vt:lpstr>'313'!OSRRefD21_7x_2</vt:lpstr>
      <vt:lpstr>'315'!OSRRefD21_7x_2</vt:lpstr>
      <vt:lpstr>'316'!OSRRefD21_7x_2</vt:lpstr>
      <vt:lpstr>'317'!OSRRefD21_7x_2</vt:lpstr>
      <vt:lpstr>'321'!OSRRefD21_7x_2</vt:lpstr>
      <vt:lpstr>'322'!OSRRefD21_7x_2</vt:lpstr>
      <vt:lpstr>'325'!OSRRefD21_7x_2</vt:lpstr>
      <vt:lpstr>'326'!OSRRefD21_7x_2</vt:lpstr>
      <vt:lpstr>'330'!OSRRefD21_7x_2</vt:lpstr>
      <vt:lpstr>'331'!OSRRefD21_7x_2</vt:lpstr>
      <vt:lpstr>'332'!OSRRefD21_7x_2</vt:lpstr>
      <vt:lpstr>'405'!OSRRefD21_7x_2</vt:lpstr>
      <vt:lpstr>'411'!OSRRefD21_7x_2</vt:lpstr>
      <vt:lpstr>'412'!OSRRefD21_7x_2</vt:lpstr>
      <vt:lpstr>'413'!OSRRefD21_7x_2</vt:lpstr>
      <vt:lpstr>'414'!OSRRefD21_7x_2</vt:lpstr>
      <vt:lpstr>'415'!OSRRefD21_7x_2</vt:lpstr>
      <vt:lpstr>'418'!OSRRefD21_7x_2</vt:lpstr>
      <vt:lpstr>'430'!OSRRefD21_7x_2</vt:lpstr>
      <vt:lpstr>'433'!OSRRefD21_7x_2</vt:lpstr>
      <vt:lpstr>'444'!OSRRefD21_7x_2</vt:lpstr>
      <vt:lpstr>'450'!OSRRefD21_7x_2</vt:lpstr>
      <vt:lpstr>'491'!OSRRefD21_7x_2</vt:lpstr>
      <vt:lpstr>'492'!OSRRefD21_7x_2</vt:lpstr>
      <vt:lpstr>'501'!OSRRefD21_7x_2</vt:lpstr>
      <vt:lpstr>'Div 2'!OSRRefD21_7x_2</vt:lpstr>
      <vt:lpstr>'Div 3'!OSRRefD21_7x_2</vt:lpstr>
      <vt:lpstr>'Div 4'!OSRRefD21_7x_2</vt:lpstr>
      <vt:lpstr>'Div 5'!OSRRefD21_7x_2</vt:lpstr>
      <vt:lpstr>'Div 6'!OSRRefD21_7x_2</vt:lpstr>
      <vt:lpstr>Summary!OSRRefD21_7x_2</vt:lpstr>
      <vt:lpstr>'201'!OSRRefD21_7x_3</vt:lpstr>
      <vt:lpstr>'202'!OSRRefD21_7x_3</vt:lpstr>
      <vt:lpstr>'203'!OSRRefD21_7x_3</vt:lpstr>
      <vt:lpstr>'204'!OSRRefD21_7x_3</vt:lpstr>
      <vt:lpstr>'205'!OSRRefD21_7x_3</vt:lpstr>
      <vt:lpstr>'300'!OSRRefD21_7x_3</vt:lpstr>
      <vt:lpstr>'300 &amp; 317'!OSRRefD21_7x_3</vt:lpstr>
      <vt:lpstr>'301'!OSRRefD21_7x_3</vt:lpstr>
      <vt:lpstr>'307'!OSRRefD21_7x_3</vt:lpstr>
      <vt:lpstr>'308'!OSRRefD21_7x_3</vt:lpstr>
      <vt:lpstr>'309'!OSRRefD21_7x_3</vt:lpstr>
      <vt:lpstr>'310'!OSRRefD21_7x_3</vt:lpstr>
      <vt:lpstr>'310 &amp; 491'!OSRRefD21_7x_3</vt:lpstr>
      <vt:lpstr>'311'!OSRRefD21_7x_3</vt:lpstr>
      <vt:lpstr>'313'!OSRRefD21_7x_3</vt:lpstr>
      <vt:lpstr>'315'!OSRRefD21_7x_3</vt:lpstr>
      <vt:lpstr>'316'!OSRRefD21_7x_3</vt:lpstr>
      <vt:lpstr>'317'!OSRRefD21_7x_3</vt:lpstr>
      <vt:lpstr>'321'!OSRRefD21_7x_3</vt:lpstr>
      <vt:lpstr>'322'!OSRRefD21_7x_3</vt:lpstr>
      <vt:lpstr>'325'!OSRRefD21_7x_3</vt:lpstr>
      <vt:lpstr>'326'!OSRRefD21_7x_3</vt:lpstr>
      <vt:lpstr>'330'!OSRRefD21_7x_3</vt:lpstr>
      <vt:lpstr>'331'!OSRRefD21_7x_3</vt:lpstr>
      <vt:lpstr>'332'!OSRRefD21_7x_3</vt:lpstr>
      <vt:lpstr>'405'!OSRRefD21_7x_3</vt:lpstr>
      <vt:lpstr>'411'!OSRRefD21_7x_3</vt:lpstr>
      <vt:lpstr>'412'!OSRRefD21_7x_3</vt:lpstr>
      <vt:lpstr>'413'!OSRRefD21_7x_3</vt:lpstr>
      <vt:lpstr>'414'!OSRRefD21_7x_3</vt:lpstr>
      <vt:lpstr>'415'!OSRRefD21_7x_3</vt:lpstr>
      <vt:lpstr>'418'!OSRRefD21_7x_3</vt:lpstr>
      <vt:lpstr>'430'!OSRRefD21_7x_3</vt:lpstr>
      <vt:lpstr>'433'!OSRRefD21_7x_3</vt:lpstr>
      <vt:lpstr>'444'!OSRRefD21_7x_3</vt:lpstr>
      <vt:lpstr>'450'!OSRRefD21_7x_3</vt:lpstr>
      <vt:lpstr>'491'!OSRRefD21_7x_3</vt:lpstr>
      <vt:lpstr>'492'!OSRRefD21_7x_3</vt:lpstr>
      <vt:lpstr>'501'!OSRRefD21_7x_3</vt:lpstr>
      <vt:lpstr>'Div 2'!OSRRefD21_7x_3</vt:lpstr>
      <vt:lpstr>'Div 3'!OSRRefD21_7x_3</vt:lpstr>
      <vt:lpstr>'Div 4'!OSRRefD21_7x_3</vt:lpstr>
      <vt:lpstr>'Div 5'!OSRRefD21_7x_3</vt:lpstr>
      <vt:lpstr>'Div 6'!OSRRefD21_7x_3</vt:lpstr>
      <vt:lpstr>Summary!OSRRefD21_7x_3</vt:lpstr>
      <vt:lpstr>'201'!OSRRefD21_8_0x</vt:lpstr>
      <vt:lpstr>'202'!OSRRefD21_8_0x</vt:lpstr>
      <vt:lpstr>'203'!OSRRefD21_8_0x</vt:lpstr>
      <vt:lpstr>'204'!OSRRefD21_8_0x</vt:lpstr>
      <vt:lpstr>'300'!OSRRefD21_8_0x</vt:lpstr>
      <vt:lpstr>'300 &amp; 317'!OSRRefD21_8_0x</vt:lpstr>
      <vt:lpstr>'301'!OSRRefD21_8_0x</vt:lpstr>
      <vt:lpstr>'307'!OSRRefD21_8_0x</vt:lpstr>
      <vt:lpstr>'308'!OSRRefD21_8_0x</vt:lpstr>
      <vt:lpstr>'309'!OSRRefD21_8_0x</vt:lpstr>
      <vt:lpstr>'310'!OSRRefD21_8_0x</vt:lpstr>
      <vt:lpstr>'310 &amp; 491'!OSRRefD21_8_0x</vt:lpstr>
      <vt:lpstr>'311'!OSRRefD21_8_0x</vt:lpstr>
      <vt:lpstr>'315'!OSRRefD21_8_0x</vt:lpstr>
      <vt:lpstr>'316'!OSRRefD21_8_0x</vt:lpstr>
      <vt:lpstr>'317'!OSRRefD21_8_0x</vt:lpstr>
      <vt:lpstr>'321'!OSRRefD21_8_0x</vt:lpstr>
      <vt:lpstr>'322'!OSRRefD21_8_0x</vt:lpstr>
      <vt:lpstr>'325'!OSRRefD21_8_0x</vt:lpstr>
      <vt:lpstr>'326'!OSRRefD21_8_0x</vt:lpstr>
      <vt:lpstr>'330'!OSRRefD21_8_0x</vt:lpstr>
      <vt:lpstr>'331'!OSRRefD21_8_0x</vt:lpstr>
      <vt:lpstr>'332'!OSRRefD21_8_0x</vt:lpstr>
      <vt:lpstr>'405'!OSRRefD21_8_0x</vt:lpstr>
      <vt:lpstr>'411'!OSRRefD21_8_0x</vt:lpstr>
      <vt:lpstr>'412'!OSRRefD21_8_0x</vt:lpstr>
      <vt:lpstr>'413'!OSRRefD21_8_0x</vt:lpstr>
      <vt:lpstr>'414'!OSRRefD21_8_0x</vt:lpstr>
      <vt:lpstr>'415'!OSRRefD21_8_0x</vt:lpstr>
      <vt:lpstr>'418'!OSRRefD21_8_0x</vt:lpstr>
      <vt:lpstr>'433'!OSRRefD21_8_0x</vt:lpstr>
      <vt:lpstr>'444'!OSRRefD21_8_0x</vt:lpstr>
      <vt:lpstr>'450'!OSRRefD21_8_0x</vt:lpstr>
      <vt:lpstr>'491'!OSRRefD21_8_0x</vt:lpstr>
      <vt:lpstr>'492'!OSRRefD21_8_0x</vt:lpstr>
      <vt:lpstr>'501'!OSRRefD21_8_0x</vt:lpstr>
      <vt:lpstr>'Div 2'!OSRRefD21_8_0x</vt:lpstr>
      <vt:lpstr>'Div 3'!OSRRefD21_8_0x</vt:lpstr>
      <vt:lpstr>'Div 4'!OSRRefD21_8_0x</vt:lpstr>
      <vt:lpstr>'Div 5'!OSRRefD21_8_0x</vt:lpstr>
      <vt:lpstr>'Div 6'!OSRRefD21_8_0x</vt:lpstr>
      <vt:lpstr>Summary!OSRRefD21_8_0x</vt:lpstr>
      <vt:lpstr>'203'!OSRRefD21_8_1x</vt:lpstr>
      <vt:lpstr>'307'!OSRRefD21_8_1x</vt:lpstr>
      <vt:lpstr>'310 &amp; 491'!OSRRefD21_8_1x</vt:lpstr>
      <vt:lpstr>'321'!OSRRefD21_8_1x</vt:lpstr>
      <vt:lpstr>'322'!OSRRefD21_8_1x</vt:lpstr>
      <vt:lpstr>'330'!OSRRefD21_8_1x</vt:lpstr>
      <vt:lpstr>'412'!OSRRefD21_8_1x</vt:lpstr>
      <vt:lpstr>'413'!OSRRefD21_8_1x</vt:lpstr>
      <vt:lpstr>'414'!OSRRefD21_8_1x</vt:lpstr>
      <vt:lpstr>'418'!OSRRefD21_8_1x</vt:lpstr>
      <vt:lpstr>'203'!OSRRefD21_8_2x</vt:lpstr>
      <vt:lpstr>'322'!OSRRefD21_8_2x</vt:lpstr>
      <vt:lpstr>'413'!OSRRefD21_8_2x</vt:lpstr>
      <vt:lpstr>'322'!OSRRefD21_8_3x</vt:lpstr>
      <vt:lpstr>'201'!OSRRefD21_8x_0</vt:lpstr>
      <vt:lpstr>'202'!OSRRefD21_8x_0</vt:lpstr>
      <vt:lpstr>'203'!OSRRefD21_8x_0</vt:lpstr>
      <vt:lpstr>'204'!OSRRefD21_8x_0</vt:lpstr>
      <vt:lpstr>'300'!OSRRefD21_8x_0</vt:lpstr>
      <vt:lpstr>'300 &amp; 317'!OSRRefD21_8x_0</vt:lpstr>
      <vt:lpstr>'301'!OSRRefD21_8x_0</vt:lpstr>
      <vt:lpstr>'307'!OSRRefD21_8x_0</vt:lpstr>
      <vt:lpstr>'308'!OSRRefD21_8x_0</vt:lpstr>
      <vt:lpstr>'309'!OSRRefD21_8x_0</vt:lpstr>
      <vt:lpstr>'310'!OSRRefD21_8x_0</vt:lpstr>
      <vt:lpstr>'310 &amp; 491'!OSRRefD21_8x_0</vt:lpstr>
      <vt:lpstr>'311'!OSRRefD21_8x_0</vt:lpstr>
      <vt:lpstr>'315'!OSRRefD21_8x_0</vt:lpstr>
      <vt:lpstr>'316'!OSRRefD21_8x_0</vt:lpstr>
      <vt:lpstr>'317'!OSRRefD21_8x_0</vt:lpstr>
      <vt:lpstr>'321'!OSRRefD21_8x_0</vt:lpstr>
      <vt:lpstr>'322'!OSRRefD21_8x_0</vt:lpstr>
      <vt:lpstr>'325'!OSRRefD21_8x_0</vt:lpstr>
      <vt:lpstr>'326'!OSRRefD21_8x_0</vt:lpstr>
      <vt:lpstr>'330'!OSRRefD21_8x_0</vt:lpstr>
      <vt:lpstr>'331'!OSRRefD21_8x_0</vt:lpstr>
      <vt:lpstr>'332'!OSRRefD21_8x_0</vt:lpstr>
      <vt:lpstr>'405'!OSRRefD21_8x_0</vt:lpstr>
      <vt:lpstr>'411'!OSRRefD21_8x_0</vt:lpstr>
      <vt:lpstr>'412'!OSRRefD21_8x_0</vt:lpstr>
      <vt:lpstr>'413'!OSRRefD21_8x_0</vt:lpstr>
      <vt:lpstr>'414'!OSRRefD21_8x_0</vt:lpstr>
      <vt:lpstr>'415'!OSRRefD21_8x_0</vt:lpstr>
      <vt:lpstr>'418'!OSRRefD21_8x_0</vt:lpstr>
      <vt:lpstr>'433'!OSRRefD21_8x_0</vt:lpstr>
      <vt:lpstr>'444'!OSRRefD21_8x_0</vt:lpstr>
      <vt:lpstr>'450'!OSRRefD21_8x_0</vt:lpstr>
      <vt:lpstr>'491'!OSRRefD21_8x_0</vt:lpstr>
      <vt:lpstr>'492'!OSRRefD21_8x_0</vt:lpstr>
      <vt:lpstr>'501'!OSRRefD21_8x_0</vt:lpstr>
      <vt:lpstr>'Div 2'!OSRRefD21_8x_0</vt:lpstr>
      <vt:lpstr>'Div 3'!OSRRefD21_8x_0</vt:lpstr>
      <vt:lpstr>'Div 4'!OSRRefD21_8x_0</vt:lpstr>
      <vt:lpstr>'Div 5'!OSRRefD21_8x_0</vt:lpstr>
      <vt:lpstr>'Div 6'!OSRRefD21_8x_0</vt:lpstr>
      <vt:lpstr>Summary!OSRRefD21_8x_0</vt:lpstr>
      <vt:lpstr>'201'!OSRRefD21_8x_1</vt:lpstr>
      <vt:lpstr>'202'!OSRRefD21_8x_1</vt:lpstr>
      <vt:lpstr>'203'!OSRRefD21_8x_1</vt:lpstr>
      <vt:lpstr>'204'!OSRRefD21_8x_1</vt:lpstr>
      <vt:lpstr>'300'!OSRRefD21_8x_1</vt:lpstr>
      <vt:lpstr>'300 &amp; 317'!OSRRefD21_8x_1</vt:lpstr>
      <vt:lpstr>'301'!OSRRefD21_8x_1</vt:lpstr>
      <vt:lpstr>'307'!OSRRefD21_8x_1</vt:lpstr>
      <vt:lpstr>'308'!OSRRefD21_8x_1</vt:lpstr>
      <vt:lpstr>'309'!OSRRefD21_8x_1</vt:lpstr>
      <vt:lpstr>'310'!OSRRefD21_8x_1</vt:lpstr>
      <vt:lpstr>'310 &amp; 491'!OSRRefD21_8x_1</vt:lpstr>
      <vt:lpstr>'311'!OSRRefD21_8x_1</vt:lpstr>
      <vt:lpstr>'315'!OSRRefD21_8x_1</vt:lpstr>
      <vt:lpstr>'316'!OSRRefD21_8x_1</vt:lpstr>
      <vt:lpstr>'317'!OSRRefD21_8x_1</vt:lpstr>
      <vt:lpstr>'321'!OSRRefD21_8x_1</vt:lpstr>
      <vt:lpstr>'322'!OSRRefD21_8x_1</vt:lpstr>
      <vt:lpstr>'325'!OSRRefD21_8x_1</vt:lpstr>
      <vt:lpstr>'326'!OSRRefD21_8x_1</vt:lpstr>
      <vt:lpstr>'330'!OSRRefD21_8x_1</vt:lpstr>
      <vt:lpstr>'331'!OSRRefD21_8x_1</vt:lpstr>
      <vt:lpstr>'332'!OSRRefD21_8x_1</vt:lpstr>
      <vt:lpstr>'405'!OSRRefD21_8x_1</vt:lpstr>
      <vt:lpstr>'411'!OSRRefD21_8x_1</vt:lpstr>
      <vt:lpstr>'412'!OSRRefD21_8x_1</vt:lpstr>
      <vt:lpstr>'413'!OSRRefD21_8x_1</vt:lpstr>
      <vt:lpstr>'414'!OSRRefD21_8x_1</vt:lpstr>
      <vt:lpstr>'415'!OSRRefD21_8x_1</vt:lpstr>
      <vt:lpstr>'418'!OSRRefD21_8x_1</vt:lpstr>
      <vt:lpstr>'433'!OSRRefD21_8x_1</vt:lpstr>
      <vt:lpstr>'444'!OSRRefD21_8x_1</vt:lpstr>
      <vt:lpstr>'450'!OSRRefD21_8x_1</vt:lpstr>
      <vt:lpstr>'491'!OSRRefD21_8x_1</vt:lpstr>
      <vt:lpstr>'492'!OSRRefD21_8x_1</vt:lpstr>
      <vt:lpstr>'501'!OSRRefD21_8x_1</vt:lpstr>
      <vt:lpstr>'Div 2'!OSRRefD21_8x_1</vt:lpstr>
      <vt:lpstr>'Div 3'!OSRRefD21_8x_1</vt:lpstr>
      <vt:lpstr>'Div 4'!OSRRefD21_8x_1</vt:lpstr>
      <vt:lpstr>'Div 5'!OSRRefD21_8x_1</vt:lpstr>
      <vt:lpstr>'Div 6'!OSRRefD21_8x_1</vt:lpstr>
      <vt:lpstr>Summary!OSRRefD21_8x_1</vt:lpstr>
      <vt:lpstr>'201'!OSRRefD21_8x_2</vt:lpstr>
      <vt:lpstr>'202'!OSRRefD21_8x_2</vt:lpstr>
      <vt:lpstr>'203'!OSRRefD21_8x_2</vt:lpstr>
      <vt:lpstr>'204'!OSRRefD21_8x_2</vt:lpstr>
      <vt:lpstr>'300'!OSRRefD21_8x_2</vt:lpstr>
      <vt:lpstr>'300 &amp; 317'!OSRRefD21_8x_2</vt:lpstr>
      <vt:lpstr>'301'!OSRRefD21_8x_2</vt:lpstr>
      <vt:lpstr>'307'!OSRRefD21_8x_2</vt:lpstr>
      <vt:lpstr>'308'!OSRRefD21_8x_2</vt:lpstr>
      <vt:lpstr>'309'!OSRRefD21_8x_2</vt:lpstr>
      <vt:lpstr>'310'!OSRRefD21_8x_2</vt:lpstr>
      <vt:lpstr>'310 &amp; 491'!OSRRefD21_8x_2</vt:lpstr>
      <vt:lpstr>'311'!OSRRefD21_8x_2</vt:lpstr>
      <vt:lpstr>'315'!OSRRefD21_8x_2</vt:lpstr>
      <vt:lpstr>'316'!OSRRefD21_8x_2</vt:lpstr>
      <vt:lpstr>'317'!OSRRefD21_8x_2</vt:lpstr>
      <vt:lpstr>'321'!OSRRefD21_8x_2</vt:lpstr>
      <vt:lpstr>'322'!OSRRefD21_8x_2</vt:lpstr>
      <vt:lpstr>'325'!OSRRefD21_8x_2</vt:lpstr>
      <vt:lpstr>'326'!OSRRefD21_8x_2</vt:lpstr>
      <vt:lpstr>'330'!OSRRefD21_8x_2</vt:lpstr>
      <vt:lpstr>'331'!OSRRefD21_8x_2</vt:lpstr>
      <vt:lpstr>'332'!OSRRefD21_8x_2</vt:lpstr>
      <vt:lpstr>'405'!OSRRefD21_8x_2</vt:lpstr>
      <vt:lpstr>'411'!OSRRefD21_8x_2</vt:lpstr>
      <vt:lpstr>'412'!OSRRefD21_8x_2</vt:lpstr>
      <vt:lpstr>'413'!OSRRefD21_8x_2</vt:lpstr>
      <vt:lpstr>'414'!OSRRefD21_8x_2</vt:lpstr>
      <vt:lpstr>'415'!OSRRefD21_8x_2</vt:lpstr>
      <vt:lpstr>'418'!OSRRefD21_8x_2</vt:lpstr>
      <vt:lpstr>'433'!OSRRefD21_8x_2</vt:lpstr>
      <vt:lpstr>'444'!OSRRefD21_8x_2</vt:lpstr>
      <vt:lpstr>'450'!OSRRefD21_8x_2</vt:lpstr>
      <vt:lpstr>'491'!OSRRefD21_8x_2</vt:lpstr>
      <vt:lpstr>'492'!OSRRefD21_8x_2</vt:lpstr>
      <vt:lpstr>'501'!OSRRefD21_8x_2</vt:lpstr>
      <vt:lpstr>'Div 2'!OSRRefD21_8x_2</vt:lpstr>
      <vt:lpstr>'Div 3'!OSRRefD21_8x_2</vt:lpstr>
      <vt:lpstr>'Div 4'!OSRRefD21_8x_2</vt:lpstr>
      <vt:lpstr>'Div 5'!OSRRefD21_8x_2</vt:lpstr>
      <vt:lpstr>'Div 6'!OSRRefD21_8x_2</vt:lpstr>
      <vt:lpstr>Summary!OSRRefD21_8x_2</vt:lpstr>
      <vt:lpstr>'201'!OSRRefD21_8x_3</vt:lpstr>
      <vt:lpstr>'202'!OSRRefD21_8x_3</vt:lpstr>
      <vt:lpstr>'203'!OSRRefD21_8x_3</vt:lpstr>
      <vt:lpstr>'204'!OSRRefD21_8x_3</vt:lpstr>
      <vt:lpstr>'300'!OSRRefD21_8x_3</vt:lpstr>
      <vt:lpstr>'300 &amp; 317'!OSRRefD21_8x_3</vt:lpstr>
      <vt:lpstr>'301'!OSRRefD21_8x_3</vt:lpstr>
      <vt:lpstr>'307'!OSRRefD21_8x_3</vt:lpstr>
      <vt:lpstr>'308'!OSRRefD21_8x_3</vt:lpstr>
      <vt:lpstr>'309'!OSRRefD21_8x_3</vt:lpstr>
      <vt:lpstr>'310'!OSRRefD21_8x_3</vt:lpstr>
      <vt:lpstr>'310 &amp; 491'!OSRRefD21_8x_3</vt:lpstr>
      <vt:lpstr>'311'!OSRRefD21_8x_3</vt:lpstr>
      <vt:lpstr>'315'!OSRRefD21_8x_3</vt:lpstr>
      <vt:lpstr>'316'!OSRRefD21_8x_3</vt:lpstr>
      <vt:lpstr>'317'!OSRRefD21_8x_3</vt:lpstr>
      <vt:lpstr>'321'!OSRRefD21_8x_3</vt:lpstr>
      <vt:lpstr>'322'!OSRRefD21_8x_3</vt:lpstr>
      <vt:lpstr>'325'!OSRRefD21_8x_3</vt:lpstr>
      <vt:lpstr>'326'!OSRRefD21_8x_3</vt:lpstr>
      <vt:lpstr>'330'!OSRRefD21_8x_3</vt:lpstr>
      <vt:lpstr>'331'!OSRRefD21_8x_3</vt:lpstr>
      <vt:lpstr>'332'!OSRRefD21_8x_3</vt:lpstr>
      <vt:lpstr>'405'!OSRRefD21_8x_3</vt:lpstr>
      <vt:lpstr>'411'!OSRRefD21_8x_3</vt:lpstr>
      <vt:lpstr>'412'!OSRRefD21_8x_3</vt:lpstr>
      <vt:lpstr>'413'!OSRRefD21_8x_3</vt:lpstr>
      <vt:lpstr>'414'!OSRRefD21_8x_3</vt:lpstr>
      <vt:lpstr>'415'!OSRRefD21_8x_3</vt:lpstr>
      <vt:lpstr>'418'!OSRRefD21_8x_3</vt:lpstr>
      <vt:lpstr>'433'!OSRRefD21_8x_3</vt:lpstr>
      <vt:lpstr>'444'!OSRRefD21_8x_3</vt:lpstr>
      <vt:lpstr>'450'!OSRRefD21_8x_3</vt:lpstr>
      <vt:lpstr>'491'!OSRRefD21_8x_3</vt:lpstr>
      <vt:lpstr>'492'!OSRRefD21_8x_3</vt:lpstr>
      <vt:lpstr>'501'!OSRRefD21_8x_3</vt:lpstr>
      <vt:lpstr>'Div 2'!OSRRefD21_8x_3</vt:lpstr>
      <vt:lpstr>'Div 3'!OSRRefD21_8x_3</vt:lpstr>
      <vt:lpstr>'Div 4'!OSRRefD21_8x_3</vt:lpstr>
      <vt:lpstr>'Div 5'!OSRRefD21_8x_3</vt:lpstr>
      <vt:lpstr>'Div 6'!OSRRefD21_8x_3</vt:lpstr>
      <vt:lpstr>Summary!OSRRefD21_8x_3</vt:lpstr>
      <vt:lpstr>'201'!OSRRefD21_9_0x</vt:lpstr>
      <vt:lpstr>'202'!OSRRefD21_9_0x</vt:lpstr>
      <vt:lpstr>'203'!OSRRefD21_9_0x</vt:lpstr>
      <vt:lpstr>'300'!OSRRefD21_9_0x</vt:lpstr>
      <vt:lpstr>'300 &amp; 317'!OSRRefD21_9_0x</vt:lpstr>
      <vt:lpstr>'301'!OSRRefD21_9_0x</vt:lpstr>
      <vt:lpstr>'307'!OSRRefD21_9_0x</vt:lpstr>
      <vt:lpstr>'308'!OSRRefD21_9_0x</vt:lpstr>
      <vt:lpstr>'310'!OSRRefD21_9_0x</vt:lpstr>
      <vt:lpstr>'310 &amp; 491'!OSRRefD21_9_0x</vt:lpstr>
      <vt:lpstr>'311'!OSRRefD21_9_0x</vt:lpstr>
      <vt:lpstr>'315'!OSRRefD21_9_0x</vt:lpstr>
      <vt:lpstr>'316'!OSRRefD21_9_0x</vt:lpstr>
      <vt:lpstr>'317'!OSRRefD21_9_0x</vt:lpstr>
      <vt:lpstr>'321'!OSRRefD21_9_0x</vt:lpstr>
      <vt:lpstr>'322'!OSRRefD21_9_0x</vt:lpstr>
      <vt:lpstr>'325'!OSRRefD21_9_0x</vt:lpstr>
      <vt:lpstr>'326'!OSRRefD21_9_0x</vt:lpstr>
      <vt:lpstr>'330'!OSRRefD21_9_0x</vt:lpstr>
      <vt:lpstr>'331'!OSRRefD21_9_0x</vt:lpstr>
      <vt:lpstr>'332'!OSRRefD21_9_0x</vt:lpstr>
      <vt:lpstr>'405'!OSRRefD21_9_0x</vt:lpstr>
      <vt:lpstr>'411'!OSRRefD21_9_0x</vt:lpstr>
      <vt:lpstr>'412'!OSRRefD21_9_0x</vt:lpstr>
      <vt:lpstr>'413'!OSRRefD21_9_0x</vt:lpstr>
      <vt:lpstr>'414'!OSRRefD21_9_0x</vt:lpstr>
      <vt:lpstr>'415'!OSRRefD21_9_0x</vt:lpstr>
      <vt:lpstr>'418'!OSRRefD21_9_0x</vt:lpstr>
      <vt:lpstr>'433'!OSRRefD21_9_0x</vt:lpstr>
      <vt:lpstr>'444'!OSRRefD21_9_0x</vt:lpstr>
      <vt:lpstr>'450'!OSRRefD21_9_0x</vt:lpstr>
      <vt:lpstr>'491'!OSRRefD21_9_0x</vt:lpstr>
      <vt:lpstr>'492'!OSRRefD21_9_0x</vt:lpstr>
      <vt:lpstr>'501'!OSRRefD21_9_0x</vt:lpstr>
      <vt:lpstr>'Div 2'!OSRRefD21_9_0x</vt:lpstr>
      <vt:lpstr>'Div 3'!OSRRefD21_9_0x</vt:lpstr>
      <vt:lpstr>'Div 4'!OSRRefD21_9_0x</vt:lpstr>
      <vt:lpstr>'Div 5'!OSRRefD21_9_0x</vt:lpstr>
      <vt:lpstr>'Div 6'!OSRRefD21_9_0x</vt:lpstr>
      <vt:lpstr>Summary!OSRRefD21_9_0x</vt:lpstr>
      <vt:lpstr>'202'!OSRRefD21_9_1x</vt:lpstr>
      <vt:lpstr>'307'!OSRRefD21_9_1x</vt:lpstr>
      <vt:lpstr>'308'!OSRRefD21_9_1x</vt:lpstr>
      <vt:lpstr>'311'!OSRRefD21_9_1x</vt:lpstr>
      <vt:lpstr>'316'!OSRRefD21_9_1x</vt:lpstr>
      <vt:lpstr>'321'!OSRRefD21_9_1x</vt:lpstr>
      <vt:lpstr>'330'!OSRRefD21_9_1x</vt:lpstr>
      <vt:lpstr>'332'!OSRRefD21_9_1x</vt:lpstr>
      <vt:lpstr>'405'!OSRRefD21_9_1x</vt:lpstr>
      <vt:lpstr>'411'!OSRRefD21_9_1x</vt:lpstr>
      <vt:lpstr>'413'!OSRRefD21_9_1x</vt:lpstr>
      <vt:lpstr>'418'!OSRRefD21_9_1x</vt:lpstr>
      <vt:lpstr>'501'!OSRRefD21_9_1x</vt:lpstr>
      <vt:lpstr>'Div 2'!OSRRefD21_9_1x</vt:lpstr>
      <vt:lpstr>'Div 5'!OSRRefD21_9_1x</vt:lpstr>
      <vt:lpstr>'308'!OSRRefD21_9_2x</vt:lpstr>
      <vt:lpstr>'311'!OSRRefD21_9_2x</vt:lpstr>
      <vt:lpstr>'316'!OSRRefD21_9_2x</vt:lpstr>
      <vt:lpstr>'332'!OSRRefD21_9_2x</vt:lpstr>
      <vt:lpstr>'501'!OSRRefD21_9_2x</vt:lpstr>
      <vt:lpstr>'Div 5'!OSRRefD21_9_2x</vt:lpstr>
      <vt:lpstr>'316'!OSRRefD21_9_3x</vt:lpstr>
      <vt:lpstr>'332'!OSRRefD21_9_3x</vt:lpstr>
      <vt:lpstr>'316'!OSRRefD21_9_4x</vt:lpstr>
      <vt:lpstr>'332'!OSRRefD21_9_4x</vt:lpstr>
      <vt:lpstr>'201'!OSRRefD21_9x_0</vt:lpstr>
      <vt:lpstr>'202'!OSRRefD21_9x_0</vt:lpstr>
      <vt:lpstr>'203'!OSRRefD21_9x_0</vt:lpstr>
      <vt:lpstr>'300'!OSRRefD21_9x_0</vt:lpstr>
      <vt:lpstr>'300 &amp; 317'!OSRRefD21_9x_0</vt:lpstr>
      <vt:lpstr>'301'!OSRRefD21_9x_0</vt:lpstr>
      <vt:lpstr>'307'!OSRRefD21_9x_0</vt:lpstr>
      <vt:lpstr>'308'!OSRRefD21_9x_0</vt:lpstr>
      <vt:lpstr>'310'!OSRRefD21_9x_0</vt:lpstr>
      <vt:lpstr>'310 &amp; 491'!OSRRefD21_9x_0</vt:lpstr>
      <vt:lpstr>'311'!OSRRefD21_9x_0</vt:lpstr>
      <vt:lpstr>'315'!OSRRefD21_9x_0</vt:lpstr>
      <vt:lpstr>'316'!OSRRefD21_9x_0</vt:lpstr>
      <vt:lpstr>'317'!OSRRefD21_9x_0</vt:lpstr>
      <vt:lpstr>'321'!OSRRefD21_9x_0</vt:lpstr>
      <vt:lpstr>'322'!OSRRefD21_9x_0</vt:lpstr>
      <vt:lpstr>'325'!OSRRefD21_9x_0</vt:lpstr>
      <vt:lpstr>'326'!OSRRefD21_9x_0</vt:lpstr>
      <vt:lpstr>'330'!OSRRefD21_9x_0</vt:lpstr>
      <vt:lpstr>'331'!OSRRefD21_9x_0</vt:lpstr>
      <vt:lpstr>'332'!OSRRefD21_9x_0</vt:lpstr>
      <vt:lpstr>'405'!OSRRefD21_9x_0</vt:lpstr>
      <vt:lpstr>'411'!OSRRefD21_9x_0</vt:lpstr>
      <vt:lpstr>'412'!OSRRefD21_9x_0</vt:lpstr>
      <vt:lpstr>'413'!OSRRefD21_9x_0</vt:lpstr>
      <vt:lpstr>'414'!OSRRefD21_9x_0</vt:lpstr>
      <vt:lpstr>'415'!OSRRefD21_9x_0</vt:lpstr>
      <vt:lpstr>'418'!OSRRefD21_9x_0</vt:lpstr>
      <vt:lpstr>'433'!OSRRefD21_9x_0</vt:lpstr>
      <vt:lpstr>'444'!OSRRefD21_9x_0</vt:lpstr>
      <vt:lpstr>'450'!OSRRefD21_9x_0</vt:lpstr>
      <vt:lpstr>'491'!OSRRefD21_9x_0</vt:lpstr>
      <vt:lpstr>'492'!OSRRefD21_9x_0</vt:lpstr>
      <vt:lpstr>'501'!OSRRefD21_9x_0</vt:lpstr>
      <vt:lpstr>'Div 2'!OSRRefD21_9x_0</vt:lpstr>
      <vt:lpstr>'Div 3'!OSRRefD21_9x_0</vt:lpstr>
      <vt:lpstr>'Div 4'!OSRRefD21_9x_0</vt:lpstr>
      <vt:lpstr>'Div 5'!OSRRefD21_9x_0</vt:lpstr>
      <vt:lpstr>'Div 6'!OSRRefD21_9x_0</vt:lpstr>
      <vt:lpstr>Summary!OSRRefD21_9x_0</vt:lpstr>
      <vt:lpstr>'201'!OSRRefD21_9x_1</vt:lpstr>
      <vt:lpstr>'202'!OSRRefD21_9x_1</vt:lpstr>
      <vt:lpstr>'203'!OSRRefD21_9x_1</vt:lpstr>
      <vt:lpstr>'300'!OSRRefD21_9x_1</vt:lpstr>
      <vt:lpstr>'300 &amp; 317'!OSRRefD21_9x_1</vt:lpstr>
      <vt:lpstr>'301'!OSRRefD21_9x_1</vt:lpstr>
      <vt:lpstr>'307'!OSRRefD21_9x_1</vt:lpstr>
      <vt:lpstr>'308'!OSRRefD21_9x_1</vt:lpstr>
      <vt:lpstr>'310'!OSRRefD21_9x_1</vt:lpstr>
      <vt:lpstr>'310 &amp; 491'!OSRRefD21_9x_1</vt:lpstr>
      <vt:lpstr>'311'!OSRRefD21_9x_1</vt:lpstr>
      <vt:lpstr>'315'!OSRRefD21_9x_1</vt:lpstr>
      <vt:lpstr>'316'!OSRRefD21_9x_1</vt:lpstr>
      <vt:lpstr>'317'!OSRRefD21_9x_1</vt:lpstr>
      <vt:lpstr>'321'!OSRRefD21_9x_1</vt:lpstr>
      <vt:lpstr>'322'!OSRRefD21_9x_1</vt:lpstr>
      <vt:lpstr>'325'!OSRRefD21_9x_1</vt:lpstr>
      <vt:lpstr>'326'!OSRRefD21_9x_1</vt:lpstr>
      <vt:lpstr>'330'!OSRRefD21_9x_1</vt:lpstr>
      <vt:lpstr>'331'!OSRRefD21_9x_1</vt:lpstr>
      <vt:lpstr>'332'!OSRRefD21_9x_1</vt:lpstr>
      <vt:lpstr>'405'!OSRRefD21_9x_1</vt:lpstr>
      <vt:lpstr>'411'!OSRRefD21_9x_1</vt:lpstr>
      <vt:lpstr>'412'!OSRRefD21_9x_1</vt:lpstr>
      <vt:lpstr>'413'!OSRRefD21_9x_1</vt:lpstr>
      <vt:lpstr>'414'!OSRRefD21_9x_1</vt:lpstr>
      <vt:lpstr>'415'!OSRRefD21_9x_1</vt:lpstr>
      <vt:lpstr>'418'!OSRRefD21_9x_1</vt:lpstr>
      <vt:lpstr>'433'!OSRRefD21_9x_1</vt:lpstr>
      <vt:lpstr>'444'!OSRRefD21_9x_1</vt:lpstr>
      <vt:lpstr>'450'!OSRRefD21_9x_1</vt:lpstr>
      <vt:lpstr>'491'!OSRRefD21_9x_1</vt:lpstr>
      <vt:lpstr>'492'!OSRRefD21_9x_1</vt:lpstr>
      <vt:lpstr>'501'!OSRRefD21_9x_1</vt:lpstr>
      <vt:lpstr>'Div 2'!OSRRefD21_9x_1</vt:lpstr>
      <vt:lpstr>'Div 3'!OSRRefD21_9x_1</vt:lpstr>
      <vt:lpstr>'Div 4'!OSRRefD21_9x_1</vt:lpstr>
      <vt:lpstr>'Div 5'!OSRRefD21_9x_1</vt:lpstr>
      <vt:lpstr>'Div 6'!OSRRefD21_9x_1</vt:lpstr>
      <vt:lpstr>Summary!OSRRefD21_9x_1</vt:lpstr>
      <vt:lpstr>'201'!OSRRefD21_9x_2</vt:lpstr>
      <vt:lpstr>'202'!OSRRefD21_9x_2</vt:lpstr>
      <vt:lpstr>'203'!OSRRefD21_9x_2</vt:lpstr>
      <vt:lpstr>'300'!OSRRefD21_9x_2</vt:lpstr>
      <vt:lpstr>'300 &amp; 317'!OSRRefD21_9x_2</vt:lpstr>
      <vt:lpstr>'301'!OSRRefD21_9x_2</vt:lpstr>
      <vt:lpstr>'307'!OSRRefD21_9x_2</vt:lpstr>
      <vt:lpstr>'308'!OSRRefD21_9x_2</vt:lpstr>
      <vt:lpstr>'310'!OSRRefD21_9x_2</vt:lpstr>
      <vt:lpstr>'310 &amp; 491'!OSRRefD21_9x_2</vt:lpstr>
      <vt:lpstr>'311'!OSRRefD21_9x_2</vt:lpstr>
      <vt:lpstr>'315'!OSRRefD21_9x_2</vt:lpstr>
      <vt:lpstr>'316'!OSRRefD21_9x_2</vt:lpstr>
      <vt:lpstr>'317'!OSRRefD21_9x_2</vt:lpstr>
      <vt:lpstr>'321'!OSRRefD21_9x_2</vt:lpstr>
      <vt:lpstr>'322'!OSRRefD21_9x_2</vt:lpstr>
      <vt:lpstr>'325'!OSRRefD21_9x_2</vt:lpstr>
      <vt:lpstr>'326'!OSRRefD21_9x_2</vt:lpstr>
      <vt:lpstr>'330'!OSRRefD21_9x_2</vt:lpstr>
      <vt:lpstr>'331'!OSRRefD21_9x_2</vt:lpstr>
      <vt:lpstr>'332'!OSRRefD21_9x_2</vt:lpstr>
      <vt:lpstr>'405'!OSRRefD21_9x_2</vt:lpstr>
      <vt:lpstr>'411'!OSRRefD21_9x_2</vt:lpstr>
      <vt:lpstr>'412'!OSRRefD21_9x_2</vt:lpstr>
      <vt:lpstr>'413'!OSRRefD21_9x_2</vt:lpstr>
      <vt:lpstr>'414'!OSRRefD21_9x_2</vt:lpstr>
      <vt:lpstr>'415'!OSRRefD21_9x_2</vt:lpstr>
      <vt:lpstr>'418'!OSRRefD21_9x_2</vt:lpstr>
      <vt:lpstr>'433'!OSRRefD21_9x_2</vt:lpstr>
      <vt:lpstr>'444'!OSRRefD21_9x_2</vt:lpstr>
      <vt:lpstr>'450'!OSRRefD21_9x_2</vt:lpstr>
      <vt:lpstr>'491'!OSRRefD21_9x_2</vt:lpstr>
      <vt:lpstr>'492'!OSRRefD21_9x_2</vt:lpstr>
      <vt:lpstr>'501'!OSRRefD21_9x_2</vt:lpstr>
      <vt:lpstr>'Div 2'!OSRRefD21_9x_2</vt:lpstr>
      <vt:lpstr>'Div 3'!OSRRefD21_9x_2</vt:lpstr>
      <vt:lpstr>'Div 4'!OSRRefD21_9x_2</vt:lpstr>
      <vt:lpstr>'Div 5'!OSRRefD21_9x_2</vt:lpstr>
      <vt:lpstr>'Div 6'!OSRRefD21_9x_2</vt:lpstr>
      <vt:lpstr>Summary!OSRRefD21_9x_2</vt:lpstr>
      <vt:lpstr>'201'!OSRRefD21_9x_3</vt:lpstr>
      <vt:lpstr>'202'!OSRRefD21_9x_3</vt:lpstr>
      <vt:lpstr>'203'!OSRRefD21_9x_3</vt:lpstr>
      <vt:lpstr>'300'!OSRRefD21_9x_3</vt:lpstr>
      <vt:lpstr>'300 &amp; 317'!OSRRefD21_9x_3</vt:lpstr>
      <vt:lpstr>'301'!OSRRefD21_9x_3</vt:lpstr>
      <vt:lpstr>'307'!OSRRefD21_9x_3</vt:lpstr>
      <vt:lpstr>'308'!OSRRefD21_9x_3</vt:lpstr>
      <vt:lpstr>'310'!OSRRefD21_9x_3</vt:lpstr>
      <vt:lpstr>'310 &amp; 491'!OSRRefD21_9x_3</vt:lpstr>
      <vt:lpstr>'311'!OSRRefD21_9x_3</vt:lpstr>
      <vt:lpstr>'315'!OSRRefD21_9x_3</vt:lpstr>
      <vt:lpstr>'316'!OSRRefD21_9x_3</vt:lpstr>
      <vt:lpstr>'317'!OSRRefD21_9x_3</vt:lpstr>
      <vt:lpstr>'321'!OSRRefD21_9x_3</vt:lpstr>
      <vt:lpstr>'322'!OSRRefD21_9x_3</vt:lpstr>
      <vt:lpstr>'325'!OSRRefD21_9x_3</vt:lpstr>
      <vt:lpstr>'326'!OSRRefD21_9x_3</vt:lpstr>
      <vt:lpstr>'330'!OSRRefD21_9x_3</vt:lpstr>
      <vt:lpstr>'331'!OSRRefD21_9x_3</vt:lpstr>
      <vt:lpstr>'332'!OSRRefD21_9x_3</vt:lpstr>
      <vt:lpstr>'405'!OSRRefD21_9x_3</vt:lpstr>
      <vt:lpstr>'411'!OSRRefD21_9x_3</vt:lpstr>
      <vt:lpstr>'412'!OSRRefD21_9x_3</vt:lpstr>
      <vt:lpstr>'413'!OSRRefD21_9x_3</vt:lpstr>
      <vt:lpstr>'414'!OSRRefD21_9x_3</vt:lpstr>
      <vt:lpstr>'415'!OSRRefD21_9x_3</vt:lpstr>
      <vt:lpstr>'418'!OSRRefD21_9x_3</vt:lpstr>
      <vt:lpstr>'433'!OSRRefD21_9x_3</vt:lpstr>
      <vt:lpstr>'444'!OSRRefD21_9x_3</vt:lpstr>
      <vt:lpstr>'450'!OSRRefD21_9x_3</vt:lpstr>
      <vt:lpstr>'491'!OSRRefD21_9x_3</vt:lpstr>
      <vt:lpstr>'492'!OSRRefD21_9x_3</vt:lpstr>
      <vt:lpstr>'501'!OSRRefD21_9x_3</vt:lpstr>
      <vt:lpstr>'Div 2'!OSRRefD21_9x_3</vt:lpstr>
      <vt:lpstr>'Div 3'!OSRRefD21_9x_3</vt:lpstr>
      <vt:lpstr>'Div 4'!OSRRefD21_9x_3</vt:lpstr>
      <vt:lpstr>'Div 5'!OSRRefD21_9x_3</vt:lpstr>
      <vt:lpstr>'Div 6'!OSRRefD21_9x_3</vt:lpstr>
      <vt:lpstr>Summary!OSRRefD21_9x_3</vt:lpstr>
      <vt:lpstr>'100'!OSRRefD23_0x</vt:lpstr>
      <vt:lpstr>'200'!OSRRefD23_0x</vt:lpstr>
      <vt:lpstr>'201'!OSRRefD23_0x</vt:lpstr>
      <vt:lpstr>'202'!OSRRefD23_0x</vt:lpstr>
      <vt:lpstr>'203'!OSRRefD23_0x</vt:lpstr>
      <vt:lpstr>'204'!OSRRefD23_0x</vt:lpstr>
      <vt:lpstr>'205'!OSRRefD23_0x</vt:lpstr>
      <vt:lpstr>'206'!OSRRefD23_0x</vt:lpstr>
      <vt:lpstr>'300'!OSRRefD23_0x</vt:lpstr>
      <vt:lpstr>'300 &amp; 317'!OSRRefD23_0x</vt:lpstr>
      <vt:lpstr>'301'!OSRRefD23_0x</vt:lpstr>
      <vt:lpstr>'307'!OSRRefD23_0x</vt:lpstr>
      <vt:lpstr>'308'!OSRRefD23_0x</vt:lpstr>
      <vt:lpstr>'309'!OSRRefD23_0x</vt:lpstr>
      <vt:lpstr>'310'!OSRRefD23_0x</vt:lpstr>
      <vt:lpstr>'310 &amp; 491'!OSRRefD23_0x</vt:lpstr>
      <vt:lpstr>'311'!OSRRefD23_0x</vt:lpstr>
      <vt:lpstr>'313'!OSRRefD23_0x</vt:lpstr>
      <vt:lpstr>'315'!OSRRefD23_0x</vt:lpstr>
      <vt:lpstr>'316'!OSRRefD23_0x</vt:lpstr>
      <vt:lpstr>'317'!OSRRefD23_0x</vt:lpstr>
      <vt:lpstr>'321'!OSRRefD23_0x</vt:lpstr>
      <vt:lpstr>'322'!OSRRefD23_0x</vt:lpstr>
      <vt:lpstr>'324'!OSRRefD23_0x</vt:lpstr>
      <vt:lpstr>'325'!OSRRefD23_0x</vt:lpstr>
      <vt:lpstr>'326'!OSRRefD23_0x</vt:lpstr>
      <vt:lpstr>'327'!OSRRefD23_0x</vt:lpstr>
      <vt:lpstr>'330'!OSRRefD23_0x</vt:lpstr>
      <vt:lpstr>'331'!OSRRefD23_0x</vt:lpstr>
      <vt:lpstr>'332'!OSRRefD23_0x</vt:lpstr>
      <vt:lpstr>'405'!OSRRefD23_0x</vt:lpstr>
      <vt:lpstr>'406'!OSRRefD23_0x</vt:lpstr>
      <vt:lpstr>'411'!OSRRefD23_0x</vt:lpstr>
      <vt:lpstr>'412'!OSRRefD23_0x</vt:lpstr>
      <vt:lpstr>'413'!OSRRefD23_0x</vt:lpstr>
      <vt:lpstr>'414'!OSRRefD23_0x</vt:lpstr>
      <vt:lpstr>'415'!OSRRefD23_0x</vt:lpstr>
      <vt:lpstr>'418'!OSRRefD23_0x</vt:lpstr>
      <vt:lpstr>'420'!OSRRefD23_0x</vt:lpstr>
      <vt:lpstr>'423'!OSRRefD23_0x</vt:lpstr>
      <vt:lpstr>'424'!OSRRefD23_0x</vt:lpstr>
      <vt:lpstr>'425'!OSRRefD23_0x</vt:lpstr>
      <vt:lpstr>'430'!OSRRefD23_0x</vt:lpstr>
      <vt:lpstr>'433'!OSRRefD23_0x</vt:lpstr>
      <vt:lpstr>'435'!OSRRefD23_0x</vt:lpstr>
      <vt:lpstr>'444'!OSRRefD23_0x</vt:lpstr>
      <vt:lpstr>'450'!OSRRefD23_0x</vt:lpstr>
      <vt:lpstr>'455'!OSRRefD23_0x</vt:lpstr>
      <vt:lpstr>'491'!OSRRefD23_0x</vt:lpstr>
      <vt:lpstr>'492'!OSRRefD23_0x</vt:lpstr>
      <vt:lpstr>'501'!OSRRefD23_0x</vt:lpstr>
      <vt:lpstr>'Div 1'!OSRRefD23_0x</vt:lpstr>
      <vt:lpstr>'Div 2'!OSRRefD23_0x</vt:lpstr>
      <vt:lpstr>'Div 3'!OSRRefD23_0x</vt:lpstr>
      <vt:lpstr>'Div 4'!OSRRefD23_0x</vt:lpstr>
      <vt:lpstr>'Div 5'!OSRRefD23_0x</vt:lpstr>
      <vt:lpstr>'Div 6'!OSRRefD23_0x</vt:lpstr>
      <vt:lpstr>Summary!OSRRefD23_0x</vt:lpstr>
      <vt:lpstr>'100'!OSRRefD28_0x</vt:lpstr>
      <vt:lpstr>'200'!OSRRefD28_0x</vt:lpstr>
      <vt:lpstr>'201'!OSRRefD28_0x</vt:lpstr>
      <vt:lpstr>'202'!OSRRefD28_0x</vt:lpstr>
      <vt:lpstr>'203'!OSRRefD28_0x</vt:lpstr>
      <vt:lpstr>'204'!OSRRefD28_0x</vt:lpstr>
      <vt:lpstr>'205'!OSRRefD28_0x</vt:lpstr>
      <vt:lpstr>'206'!OSRRefD28_0x</vt:lpstr>
      <vt:lpstr>'300'!OSRRefD28_0x</vt:lpstr>
      <vt:lpstr>'300 &amp; 317'!OSRRefD28_0x</vt:lpstr>
      <vt:lpstr>'301'!OSRRefD28_0x</vt:lpstr>
      <vt:lpstr>'307'!OSRRefD28_0x</vt:lpstr>
      <vt:lpstr>'308'!OSRRefD28_0x</vt:lpstr>
      <vt:lpstr>'309'!OSRRefD28_0x</vt:lpstr>
      <vt:lpstr>'310'!OSRRefD28_0x</vt:lpstr>
      <vt:lpstr>'310 &amp; 491'!OSRRefD28_0x</vt:lpstr>
      <vt:lpstr>'311'!OSRRefD28_0x</vt:lpstr>
      <vt:lpstr>'313'!OSRRefD28_0x</vt:lpstr>
      <vt:lpstr>'315'!OSRRefD28_0x</vt:lpstr>
      <vt:lpstr>'316'!OSRRefD28_0x</vt:lpstr>
      <vt:lpstr>'317'!OSRRefD28_0x</vt:lpstr>
      <vt:lpstr>'321'!OSRRefD28_0x</vt:lpstr>
      <vt:lpstr>'322'!OSRRefD28_0x</vt:lpstr>
      <vt:lpstr>'324'!OSRRefD28_0x</vt:lpstr>
      <vt:lpstr>'325'!OSRRefD28_0x</vt:lpstr>
      <vt:lpstr>'326'!OSRRefD28_0x</vt:lpstr>
      <vt:lpstr>'327'!OSRRefD28_0x</vt:lpstr>
      <vt:lpstr>'330'!OSRRefD28_0x</vt:lpstr>
      <vt:lpstr>'331'!OSRRefD28_0x</vt:lpstr>
      <vt:lpstr>'332'!OSRRefD28_0x</vt:lpstr>
      <vt:lpstr>'405'!OSRRefD28_0x</vt:lpstr>
      <vt:lpstr>'406'!OSRRefD28_0x</vt:lpstr>
      <vt:lpstr>'411'!OSRRefD28_0x</vt:lpstr>
      <vt:lpstr>'412'!OSRRefD28_0x</vt:lpstr>
      <vt:lpstr>'413'!OSRRefD28_0x</vt:lpstr>
      <vt:lpstr>'414'!OSRRefD28_0x</vt:lpstr>
      <vt:lpstr>'415'!OSRRefD28_0x</vt:lpstr>
      <vt:lpstr>'418'!OSRRefD28_0x</vt:lpstr>
      <vt:lpstr>'420'!OSRRefD28_0x</vt:lpstr>
      <vt:lpstr>'423'!OSRRefD28_0x</vt:lpstr>
      <vt:lpstr>'424'!OSRRefD28_0x</vt:lpstr>
      <vt:lpstr>'425'!OSRRefD28_0x</vt:lpstr>
      <vt:lpstr>'430'!OSRRefD28_0x</vt:lpstr>
      <vt:lpstr>'433'!OSRRefD28_0x</vt:lpstr>
      <vt:lpstr>'435'!OSRRefD28_0x</vt:lpstr>
      <vt:lpstr>'444'!OSRRefD28_0x</vt:lpstr>
      <vt:lpstr>'450'!OSRRefD28_0x</vt:lpstr>
      <vt:lpstr>'455'!OSRRefD28_0x</vt:lpstr>
      <vt:lpstr>'491'!OSRRefD28_0x</vt:lpstr>
      <vt:lpstr>'492'!OSRRefD28_0x</vt:lpstr>
      <vt:lpstr>'501'!OSRRefD28_0x</vt:lpstr>
      <vt:lpstr>'Div 1'!OSRRefD28_0x</vt:lpstr>
      <vt:lpstr>'Div 2'!OSRRefD28_0x</vt:lpstr>
      <vt:lpstr>'Div 3'!OSRRefD28_0x</vt:lpstr>
      <vt:lpstr>'Div 4'!OSRRefD28_0x</vt:lpstr>
      <vt:lpstr>'Div 5'!OSRRefD28_0x</vt:lpstr>
      <vt:lpstr>'Div 6'!OSRRefD28_0x</vt:lpstr>
      <vt:lpstr>Summary!OSRRefD28_0x</vt:lpstr>
      <vt:lpstr>'100'!OSRRefD33_0x</vt:lpstr>
      <vt:lpstr>'Div 1'!OSRRefD33_0x</vt:lpstr>
      <vt:lpstr>Summary!OSRRefD33_0x</vt:lpstr>
      <vt:lpstr>'100'!OSRRefD34_0x</vt:lpstr>
      <vt:lpstr>'Div 1'!OSRRefD34_0x</vt:lpstr>
      <vt:lpstr>Summary!OSRRefD34_0x</vt:lpstr>
      <vt:lpstr>'300'!OSRRefE11_0x</vt:lpstr>
      <vt:lpstr>'300 &amp; 317'!OSRRefE11_0x</vt:lpstr>
      <vt:lpstr>'307'!OSRRefE11_0x</vt:lpstr>
      <vt:lpstr>'308'!OSRRefE11_0x</vt:lpstr>
      <vt:lpstr>'309'!OSRRefE11_0x</vt:lpstr>
      <vt:lpstr>'310'!OSRRefE11_0x</vt:lpstr>
      <vt:lpstr>'310 &amp; 491'!OSRRefE11_0x</vt:lpstr>
      <vt:lpstr>'311'!OSRRefE11_0x</vt:lpstr>
      <vt:lpstr>'315'!OSRRefE11_0x</vt:lpstr>
      <vt:lpstr>'316'!OSRRefE11_0x</vt:lpstr>
      <vt:lpstr>'317'!OSRRefE11_0x</vt:lpstr>
      <vt:lpstr>'321'!OSRRefE11_0x</vt:lpstr>
      <vt:lpstr>'322'!OSRRefE11_0x</vt:lpstr>
      <vt:lpstr>'324'!OSRRefE11_0x</vt:lpstr>
      <vt:lpstr>'326'!OSRRefE11_0x</vt:lpstr>
      <vt:lpstr>'327'!OSRRefE11_0x</vt:lpstr>
      <vt:lpstr>'330'!OSRRefE11_0x</vt:lpstr>
      <vt:lpstr>'331'!OSRRefE11_0x</vt:lpstr>
      <vt:lpstr>'332'!OSRRefE11_0x</vt:lpstr>
      <vt:lpstr>'405'!OSRRefE11_0x</vt:lpstr>
      <vt:lpstr>'412'!OSRRefE11_0x</vt:lpstr>
      <vt:lpstr>'413'!OSRRefE11_0x</vt:lpstr>
      <vt:lpstr>'414'!OSRRefE11_0x</vt:lpstr>
      <vt:lpstr>'415'!OSRRefE11_0x</vt:lpstr>
      <vt:lpstr>'418'!OSRRefE11_0x</vt:lpstr>
      <vt:lpstr>'420'!OSRRefE11_0x</vt:lpstr>
      <vt:lpstr>'433'!OSRRefE11_0x</vt:lpstr>
      <vt:lpstr>'444'!OSRRefE11_0x</vt:lpstr>
      <vt:lpstr>'450'!OSRRefE11_0x</vt:lpstr>
      <vt:lpstr>'491'!OSRRefE11_0x</vt:lpstr>
      <vt:lpstr>'492'!OSRRefE11_0x</vt:lpstr>
      <vt:lpstr>'501'!OSRRefE11_0x</vt:lpstr>
      <vt:lpstr>'Div 3'!OSRRefE11_0x</vt:lpstr>
      <vt:lpstr>'Div 4'!OSRRefE11_0x</vt:lpstr>
      <vt:lpstr>'Div 5'!OSRRefE11_0x</vt:lpstr>
      <vt:lpstr>'Div 6'!OSRRefE11_0x</vt:lpstr>
      <vt:lpstr>Summary!OSRRefE11_0x</vt:lpstr>
      <vt:lpstr>'300'!OSRRefE11_10x</vt:lpstr>
      <vt:lpstr>'300 &amp; 317'!OSRRefE11_10x</vt:lpstr>
      <vt:lpstr>'307'!OSRRefE11_10x</vt:lpstr>
      <vt:lpstr>'308'!OSRRefE11_10x</vt:lpstr>
      <vt:lpstr>'311'!OSRRefE11_10x</vt:lpstr>
      <vt:lpstr>'315'!OSRRefE11_10x</vt:lpstr>
      <vt:lpstr>'317'!OSRRefE11_10x</vt:lpstr>
      <vt:lpstr>'326'!OSRRefE11_10x</vt:lpstr>
      <vt:lpstr>'330'!OSRRefE11_10x</vt:lpstr>
      <vt:lpstr>'331'!OSRRefE11_10x</vt:lpstr>
      <vt:lpstr>'Div 3'!OSRRefE11_10x</vt:lpstr>
      <vt:lpstr>'Div 6'!OSRRefE11_10x</vt:lpstr>
      <vt:lpstr>Summary!OSRRefE11_10x</vt:lpstr>
      <vt:lpstr>'300'!OSRRefE11_11x</vt:lpstr>
      <vt:lpstr>'300 &amp; 317'!OSRRefE11_11x</vt:lpstr>
      <vt:lpstr>'308'!OSRRefE11_11x</vt:lpstr>
      <vt:lpstr>'311'!OSRRefE11_11x</vt:lpstr>
      <vt:lpstr>'315'!OSRRefE11_11x</vt:lpstr>
      <vt:lpstr>'317'!OSRRefE11_11x</vt:lpstr>
      <vt:lpstr>'326'!OSRRefE11_11x</vt:lpstr>
      <vt:lpstr>'331'!OSRRefE11_11x</vt:lpstr>
      <vt:lpstr>'Div 3'!OSRRefE11_11x</vt:lpstr>
      <vt:lpstr>'Div 6'!OSRRefE11_11x</vt:lpstr>
      <vt:lpstr>Summary!OSRRefE11_11x</vt:lpstr>
      <vt:lpstr>'300'!OSRRefE11_12x</vt:lpstr>
      <vt:lpstr>'300 &amp; 317'!OSRRefE11_12x</vt:lpstr>
      <vt:lpstr>'308'!OSRRefE11_12x</vt:lpstr>
      <vt:lpstr>'311'!OSRRefE11_12x</vt:lpstr>
      <vt:lpstr>'315'!OSRRefE11_12x</vt:lpstr>
      <vt:lpstr>'317'!OSRRefE11_12x</vt:lpstr>
      <vt:lpstr>'326'!OSRRefE11_12x</vt:lpstr>
      <vt:lpstr>'331'!OSRRefE11_12x</vt:lpstr>
      <vt:lpstr>'Div 3'!OSRRefE11_12x</vt:lpstr>
      <vt:lpstr>'Div 6'!OSRRefE11_12x</vt:lpstr>
      <vt:lpstr>Summary!OSRRefE11_12x</vt:lpstr>
      <vt:lpstr>'300'!OSRRefE11_13x</vt:lpstr>
      <vt:lpstr>'300 &amp; 317'!OSRRefE11_13x</vt:lpstr>
      <vt:lpstr>'308'!OSRRefE11_13x</vt:lpstr>
      <vt:lpstr>'311'!OSRRefE11_13x</vt:lpstr>
      <vt:lpstr>'315'!OSRRefE11_13x</vt:lpstr>
      <vt:lpstr>'317'!OSRRefE11_13x</vt:lpstr>
      <vt:lpstr>'326'!OSRRefE11_13x</vt:lpstr>
      <vt:lpstr>'331'!OSRRefE11_13x</vt:lpstr>
      <vt:lpstr>'Div 3'!OSRRefE11_13x</vt:lpstr>
      <vt:lpstr>'Div 6'!OSRRefE11_13x</vt:lpstr>
      <vt:lpstr>Summary!OSRRefE11_13x</vt:lpstr>
      <vt:lpstr>'300'!OSRRefE11_14x</vt:lpstr>
      <vt:lpstr>'300 &amp; 317'!OSRRefE11_14x</vt:lpstr>
      <vt:lpstr>'308'!OSRRefE11_14x</vt:lpstr>
      <vt:lpstr>'311'!OSRRefE11_14x</vt:lpstr>
      <vt:lpstr>'315'!OSRRefE11_14x</vt:lpstr>
      <vt:lpstr>'317'!OSRRefE11_14x</vt:lpstr>
      <vt:lpstr>'326'!OSRRefE11_14x</vt:lpstr>
      <vt:lpstr>'331'!OSRRefE11_14x</vt:lpstr>
      <vt:lpstr>'Div 3'!OSRRefE11_14x</vt:lpstr>
      <vt:lpstr>'Div 6'!OSRRefE11_14x</vt:lpstr>
      <vt:lpstr>Summary!OSRRefE11_14x</vt:lpstr>
      <vt:lpstr>'300'!OSRRefE11_15x</vt:lpstr>
      <vt:lpstr>'300 &amp; 317'!OSRRefE11_15x</vt:lpstr>
      <vt:lpstr>'308'!OSRRefE11_15x</vt:lpstr>
      <vt:lpstr>'311'!OSRRefE11_15x</vt:lpstr>
      <vt:lpstr>'315'!OSRRefE11_15x</vt:lpstr>
      <vt:lpstr>'317'!OSRRefE11_15x</vt:lpstr>
      <vt:lpstr>'326'!OSRRefE11_15x</vt:lpstr>
      <vt:lpstr>'331'!OSRRefE11_15x</vt:lpstr>
      <vt:lpstr>'Div 3'!OSRRefE11_15x</vt:lpstr>
      <vt:lpstr>'Div 6'!OSRRefE11_15x</vt:lpstr>
      <vt:lpstr>Summary!OSRRefE11_15x</vt:lpstr>
      <vt:lpstr>'300'!OSRRefE11_16x</vt:lpstr>
      <vt:lpstr>'300 &amp; 317'!OSRRefE11_16x</vt:lpstr>
      <vt:lpstr>'308'!OSRRefE11_16x</vt:lpstr>
      <vt:lpstr>'311'!OSRRefE11_16x</vt:lpstr>
      <vt:lpstr>'315'!OSRRefE11_16x</vt:lpstr>
      <vt:lpstr>'317'!OSRRefE11_16x</vt:lpstr>
      <vt:lpstr>'326'!OSRRefE11_16x</vt:lpstr>
      <vt:lpstr>'331'!OSRRefE11_16x</vt:lpstr>
      <vt:lpstr>'Div 3'!OSRRefE11_16x</vt:lpstr>
      <vt:lpstr>'Div 6'!OSRRefE11_16x</vt:lpstr>
      <vt:lpstr>Summary!OSRRefE11_16x</vt:lpstr>
      <vt:lpstr>'300'!OSRRefE11_17x</vt:lpstr>
      <vt:lpstr>'300 &amp; 317'!OSRRefE11_17x</vt:lpstr>
      <vt:lpstr>'308'!OSRRefE11_17x</vt:lpstr>
      <vt:lpstr>'311'!OSRRefE11_17x</vt:lpstr>
      <vt:lpstr>'315'!OSRRefE11_17x</vt:lpstr>
      <vt:lpstr>'317'!OSRRefE11_17x</vt:lpstr>
      <vt:lpstr>'326'!OSRRefE11_17x</vt:lpstr>
      <vt:lpstr>'331'!OSRRefE11_17x</vt:lpstr>
      <vt:lpstr>'Div 3'!OSRRefE11_17x</vt:lpstr>
      <vt:lpstr>'Div 6'!OSRRefE11_17x</vt:lpstr>
      <vt:lpstr>Summary!OSRRefE11_17x</vt:lpstr>
      <vt:lpstr>'300'!OSRRefE11_18x</vt:lpstr>
      <vt:lpstr>'300 &amp; 317'!OSRRefE11_18x</vt:lpstr>
      <vt:lpstr>'308'!OSRRefE11_18x</vt:lpstr>
      <vt:lpstr>'311'!OSRRefE11_18x</vt:lpstr>
      <vt:lpstr>'315'!OSRRefE11_18x</vt:lpstr>
      <vt:lpstr>'326'!OSRRefE11_18x</vt:lpstr>
      <vt:lpstr>'331'!OSRRefE11_18x</vt:lpstr>
      <vt:lpstr>'Div 3'!OSRRefE11_18x</vt:lpstr>
      <vt:lpstr>Summary!OSRRefE11_18x</vt:lpstr>
      <vt:lpstr>'300'!OSRRefE11_19x</vt:lpstr>
      <vt:lpstr>'300 &amp; 317'!OSRRefE11_19x</vt:lpstr>
      <vt:lpstr>'308'!OSRRefE11_19x</vt:lpstr>
      <vt:lpstr>'311'!OSRRefE11_19x</vt:lpstr>
      <vt:lpstr>'315'!OSRRefE11_19x</vt:lpstr>
      <vt:lpstr>'331'!OSRRefE11_19x</vt:lpstr>
      <vt:lpstr>'Div 3'!OSRRefE11_19x</vt:lpstr>
      <vt:lpstr>Summary!OSRRefE11_19x</vt:lpstr>
      <vt:lpstr>'300'!OSRRefE11_1x</vt:lpstr>
      <vt:lpstr>'300 &amp; 317'!OSRRefE11_1x</vt:lpstr>
      <vt:lpstr>'307'!OSRRefE11_1x</vt:lpstr>
      <vt:lpstr>'308'!OSRRefE11_1x</vt:lpstr>
      <vt:lpstr>'310'!OSRRefE11_1x</vt:lpstr>
      <vt:lpstr>'310 &amp; 491'!OSRRefE11_1x</vt:lpstr>
      <vt:lpstr>'311'!OSRRefE11_1x</vt:lpstr>
      <vt:lpstr>'315'!OSRRefE11_1x</vt:lpstr>
      <vt:lpstr>'316'!OSRRefE11_1x</vt:lpstr>
      <vt:lpstr>'317'!OSRRefE11_1x</vt:lpstr>
      <vt:lpstr>'321'!OSRRefE11_1x</vt:lpstr>
      <vt:lpstr>'324'!OSRRefE11_1x</vt:lpstr>
      <vt:lpstr>'326'!OSRRefE11_1x</vt:lpstr>
      <vt:lpstr>'327'!OSRRefE11_1x</vt:lpstr>
      <vt:lpstr>'330'!OSRRefE11_1x</vt:lpstr>
      <vt:lpstr>'331'!OSRRefE11_1x</vt:lpstr>
      <vt:lpstr>'332'!OSRRefE11_1x</vt:lpstr>
      <vt:lpstr>'405'!OSRRefE11_1x</vt:lpstr>
      <vt:lpstr>'413'!OSRRefE11_1x</vt:lpstr>
      <vt:lpstr>'414'!OSRRefE11_1x</vt:lpstr>
      <vt:lpstr>'415'!OSRRefE11_1x</vt:lpstr>
      <vt:lpstr>'418'!OSRRefE11_1x</vt:lpstr>
      <vt:lpstr>'433'!OSRRefE11_1x</vt:lpstr>
      <vt:lpstr>'444'!OSRRefE11_1x</vt:lpstr>
      <vt:lpstr>'450'!OSRRefE11_1x</vt:lpstr>
      <vt:lpstr>'491'!OSRRefE11_1x</vt:lpstr>
      <vt:lpstr>'492'!OSRRefE11_1x</vt:lpstr>
      <vt:lpstr>'501'!OSRRefE11_1x</vt:lpstr>
      <vt:lpstr>'Div 3'!OSRRefE11_1x</vt:lpstr>
      <vt:lpstr>'Div 4'!OSRRefE11_1x</vt:lpstr>
      <vt:lpstr>'Div 5'!OSRRefE11_1x</vt:lpstr>
      <vt:lpstr>'Div 6'!OSRRefE11_1x</vt:lpstr>
      <vt:lpstr>Summary!OSRRefE11_1x</vt:lpstr>
      <vt:lpstr>'300'!OSRRefE11_20x</vt:lpstr>
      <vt:lpstr>'300 &amp; 317'!OSRRefE11_20x</vt:lpstr>
      <vt:lpstr>'308'!OSRRefE11_20x</vt:lpstr>
      <vt:lpstr>'315'!OSRRefE11_20x</vt:lpstr>
      <vt:lpstr>'331'!OSRRefE11_20x</vt:lpstr>
      <vt:lpstr>'Div 3'!OSRRefE11_20x</vt:lpstr>
      <vt:lpstr>Summary!OSRRefE11_20x</vt:lpstr>
      <vt:lpstr>'300'!OSRRefE11_21x</vt:lpstr>
      <vt:lpstr>'300 &amp; 317'!OSRRefE11_21x</vt:lpstr>
      <vt:lpstr>'315'!OSRRefE11_21x</vt:lpstr>
      <vt:lpstr>'331'!OSRRefE11_21x</vt:lpstr>
      <vt:lpstr>'Div 3'!OSRRefE11_21x</vt:lpstr>
      <vt:lpstr>Summary!OSRRefE11_21x</vt:lpstr>
      <vt:lpstr>'300'!OSRRefE11_22x</vt:lpstr>
      <vt:lpstr>'300 &amp; 317'!OSRRefE11_22x</vt:lpstr>
      <vt:lpstr>'315'!OSRRefE11_22x</vt:lpstr>
      <vt:lpstr>'331'!OSRRefE11_22x</vt:lpstr>
      <vt:lpstr>'Div 3'!OSRRefE11_22x</vt:lpstr>
      <vt:lpstr>Summary!OSRRefE11_22x</vt:lpstr>
      <vt:lpstr>'300'!OSRRefE11_23x</vt:lpstr>
      <vt:lpstr>'300 &amp; 317'!OSRRefE11_23x</vt:lpstr>
      <vt:lpstr>'315'!OSRRefE11_23x</vt:lpstr>
      <vt:lpstr>'331'!OSRRefE11_23x</vt:lpstr>
      <vt:lpstr>'Div 3'!OSRRefE11_23x</vt:lpstr>
      <vt:lpstr>Summary!OSRRefE11_23x</vt:lpstr>
      <vt:lpstr>'300'!OSRRefE11_24x</vt:lpstr>
      <vt:lpstr>'300 &amp; 317'!OSRRefE11_24x</vt:lpstr>
      <vt:lpstr>'315'!OSRRefE11_24x</vt:lpstr>
      <vt:lpstr>'331'!OSRRefE11_24x</vt:lpstr>
      <vt:lpstr>'Div 3'!OSRRefE11_24x</vt:lpstr>
      <vt:lpstr>Summary!OSRRefE11_24x</vt:lpstr>
      <vt:lpstr>'300'!OSRRefE11_25x</vt:lpstr>
      <vt:lpstr>'300 &amp; 317'!OSRRefE11_25x</vt:lpstr>
      <vt:lpstr>'315'!OSRRefE11_25x</vt:lpstr>
      <vt:lpstr>'331'!OSRRefE11_25x</vt:lpstr>
      <vt:lpstr>'Div 3'!OSRRefE11_25x</vt:lpstr>
      <vt:lpstr>Summary!OSRRefE11_25x</vt:lpstr>
      <vt:lpstr>'300'!OSRRefE11_26x</vt:lpstr>
      <vt:lpstr>'300 &amp; 317'!OSRRefE11_26x</vt:lpstr>
      <vt:lpstr>'315'!OSRRefE11_26x</vt:lpstr>
      <vt:lpstr>'331'!OSRRefE11_26x</vt:lpstr>
      <vt:lpstr>'Div 3'!OSRRefE11_26x</vt:lpstr>
      <vt:lpstr>Summary!OSRRefE11_26x</vt:lpstr>
      <vt:lpstr>'300'!OSRRefE11_27x</vt:lpstr>
      <vt:lpstr>'300 &amp; 317'!OSRRefE11_27x</vt:lpstr>
      <vt:lpstr>'315'!OSRRefE11_27x</vt:lpstr>
      <vt:lpstr>'331'!OSRRefE11_27x</vt:lpstr>
      <vt:lpstr>'Div 3'!OSRRefE11_27x</vt:lpstr>
      <vt:lpstr>Summary!OSRRefE11_27x</vt:lpstr>
      <vt:lpstr>'300'!OSRRefE11_28x</vt:lpstr>
      <vt:lpstr>'300 &amp; 317'!OSRRefE11_28x</vt:lpstr>
      <vt:lpstr>'315'!OSRRefE11_28x</vt:lpstr>
      <vt:lpstr>'331'!OSRRefE11_28x</vt:lpstr>
      <vt:lpstr>'Div 3'!OSRRefE11_28x</vt:lpstr>
      <vt:lpstr>Summary!OSRRefE11_28x</vt:lpstr>
      <vt:lpstr>'300'!OSRRefE11_29x</vt:lpstr>
      <vt:lpstr>'300 &amp; 317'!OSRRefE11_29x</vt:lpstr>
      <vt:lpstr>'315'!OSRRefE11_29x</vt:lpstr>
      <vt:lpstr>'331'!OSRRefE11_29x</vt:lpstr>
      <vt:lpstr>'Div 3'!OSRRefE11_29x</vt:lpstr>
      <vt:lpstr>Summary!OSRRefE11_29x</vt:lpstr>
      <vt:lpstr>'300'!OSRRefE11_2x</vt:lpstr>
      <vt:lpstr>'300 &amp; 317'!OSRRefE11_2x</vt:lpstr>
      <vt:lpstr>'307'!OSRRefE11_2x</vt:lpstr>
      <vt:lpstr>'308'!OSRRefE11_2x</vt:lpstr>
      <vt:lpstr>'310'!OSRRefE11_2x</vt:lpstr>
      <vt:lpstr>'310 &amp; 491'!OSRRefE11_2x</vt:lpstr>
      <vt:lpstr>'311'!OSRRefE11_2x</vt:lpstr>
      <vt:lpstr>'315'!OSRRefE11_2x</vt:lpstr>
      <vt:lpstr>'316'!OSRRefE11_2x</vt:lpstr>
      <vt:lpstr>'317'!OSRRefE11_2x</vt:lpstr>
      <vt:lpstr>'324'!OSRRefE11_2x</vt:lpstr>
      <vt:lpstr>'326'!OSRRefE11_2x</vt:lpstr>
      <vt:lpstr>'330'!OSRRefE11_2x</vt:lpstr>
      <vt:lpstr>'331'!OSRRefE11_2x</vt:lpstr>
      <vt:lpstr>'332'!OSRRefE11_2x</vt:lpstr>
      <vt:lpstr>'414'!OSRRefE11_2x</vt:lpstr>
      <vt:lpstr>'415'!OSRRefE11_2x</vt:lpstr>
      <vt:lpstr>'433'!OSRRefE11_2x</vt:lpstr>
      <vt:lpstr>'444'!OSRRefE11_2x</vt:lpstr>
      <vt:lpstr>'491'!OSRRefE11_2x</vt:lpstr>
      <vt:lpstr>'492'!OSRRefE11_2x</vt:lpstr>
      <vt:lpstr>'Div 3'!OSRRefE11_2x</vt:lpstr>
      <vt:lpstr>'Div 4'!OSRRefE11_2x</vt:lpstr>
      <vt:lpstr>'Div 6'!OSRRefE11_2x</vt:lpstr>
      <vt:lpstr>Summary!OSRRefE11_2x</vt:lpstr>
      <vt:lpstr>'300'!OSRRefE11_30x</vt:lpstr>
      <vt:lpstr>'300 &amp; 317'!OSRRefE11_30x</vt:lpstr>
      <vt:lpstr>'315'!OSRRefE11_30x</vt:lpstr>
      <vt:lpstr>'331'!OSRRefE11_30x</vt:lpstr>
      <vt:lpstr>'Div 3'!OSRRefE11_30x</vt:lpstr>
      <vt:lpstr>Summary!OSRRefE11_30x</vt:lpstr>
      <vt:lpstr>'300'!OSRRefE11_31x</vt:lpstr>
      <vt:lpstr>'300 &amp; 317'!OSRRefE11_31x</vt:lpstr>
      <vt:lpstr>'315'!OSRRefE11_31x</vt:lpstr>
      <vt:lpstr>'331'!OSRRefE11_31x</vt:lpstr>
      <vt:lpstr>'Div 3'!OSRRefE11_31x</vt:lpstr>
      <vt:lpstr>Summary!OSRRefE11_31x</vt:lpstr>
      <vt:lpstr>'300'!OSRRefE11_32x</vt:lpstr>
      <vt:lpstr>'300 &amp; 317'!OSRRefE11_32x</vt:lpstr>
      <vt:lpstr>'315'!OSRRefE11_32x</vt:lpstr>
      <vt:lpstr>'331'!OSRRefE11_32x</vt:lpstr>
      <vt:lpstr>'Div 3'!OSRRefE11_32x</vt:lpstr>
      <vt:lpstr>Summary!OSRRefE11_32x</vt:lpstr>
      <vt:lpstr>'300'!OSRRefE11_33x</vt:lpstr>
      <vt:lpstr>'300 &amp; 317'!OSRRefE11_33x</vt:lpstr>
      <vt:lpstr>'315'!OSRRefE11_33x</vt:lpstr>
      <vt:lpstr>'331'!OSRRefE11_33x</vt:lpstr>
      <vt:lpstr>'Div 3'!OSRRefE11_33x</vt:lpstr>
      <vt:lpstr>Summary!OSRRefE11_33x</vt:lpstr>
      <vt:lpstr>'300'!OSRRefE11_34x</vt:lpstr>
      <vt:lpstr>'300 &amp; 317'!OSRRefE11_34x</vt:lpstr>
      <vt:lpstr>'315'!OSRRefE11_34x</vt:lpstr>
      <vt:lpstr>'331'!OSRRefE11_34x</vt:lpstr>
      <vt:lpstr>'Div 3'!OSRRefE11_34x</vt:lpstr>
      <vt:lpstr>Summary!OSRRefE11_34x</vt:lpstr>
      <vt:lpstr>'300'!OSRRefE11_35x</vt:lpstr>
      <vt:lpstr>'300 &amp; 317'!OSRRefE11_35x</vt:lpstr>
      <vt:lpstr>'315'!OSRRefE11_35x</vt:lpstr>
      <vt:lpstr>'331'!OSRRefE11_35x</vt:lpstr>
      <vt:lpstr>'Div 3'!OSRRefE11_35x</vt:lpstr>
      <vt:lpstr>Summary!OSRRefE11_35x</vt:lpstr>
      <vt:lpstr>'300'!OSRRefE11_36x</vt:lpstr>
      <vt:lpstr>'300 &amp; 317'!OSRRefE11_36x</vt:lpstr>
      <vt:lpstr>'Div 3'!OSRRefE11_36x</vt:lpstr>
      <vt:lpstr>Summary!OSRRefE11_36x</vt:lpstr>
      <vt:lpstr>'300'!OSRRefE11_37x</vt:lpstr>
      <vt:lpstr>'300 &amp; 317'!OSRRefE11_37x</vt:lpstr>
      <vt:lpstr>'Div 3'!OSRRefE11_37x</vt:lpstr>
      <vt:lpstr>Summary!OSRRefE11_37x</vt:lpstr>
      <vt:lpstr>'300'!OSRRefE11_38x</vt:lpstr>
      <vt:lpstr>'300 &amp; 317'!OSRRefE11_38x</vt:lpstr>
      <vt:lpstr>'Div 3'!OSRRefE11_38x</vt:lpstr>
      <vt:lpstr>Summary!OSRRefE11_38x</vt:lpstr>
      <vt:lpstr>'300'!OSRRefE11_39x</vt:lpstr>
      <vt:lpstr>'300 &amp; 317'!OSRRefE11_39x</vt:lpstr>
      <vt:lpstr>'Div 3'!OSRRefE11_39x</vt:lpstr>
      <vt:lpstr>Summary!OSRRefE11_39x</vt:lpstr>
      <vt:lpstr>'300'!OSRRefE11_3x</vt:lpstr>
      <vt:lpstr>'300 &amp; 317'!OSRRefE11_3x</vt:lpstr>
      <vt:lpstr>'307'!OSRRefE11_3x</vt:lpstr>
      <vt:lpstr>'308'!OSRRefE11_3x</vt:lpstr>
      <vt:lpstr>'310'!OSRRefE11_3x</vt:lpstr>
      <vt:lpstr>'310 &amp; 491'!OSRRefE11_3x</vt:lpstr>
      <vt:lpstr>'311'!OSRRefE11_3x</vt:lpstr>
      <vt:lpstr>'315'!OSRRefE11_3x</vt:lpstr>
      <vt:lpstr>'316'!OSRRefE11_3x</vt:lpstr>
      <vt:lpstr>'317'!OSRRefE11_3x</vt:lpstr>
      <vt:lpstr>'324'!OSRRefE11_3x</vt:lpstr>
      <vt:lpstr>'326'!OSRRefE11_3x</vt:lpstr>
      <vt:lpstr>'330'!OSRRefE11_3x</vt:lpstr>
      <vt:lpstr>'331'!OSRRefE11_3x</vt:lpstr>
      <vt:lpstr>'332'!OSRRefE11_3x</vt:lpstr>
      <vt:lpstr>'415'!OSRRefE11_3x</vt:lpstr>
      <vt:lpstr>'433'!OSRRefE11_3x</vt:lpstr>
      <vt:lpstr>'444'!OSRRefE11_3x</vt:lpstr>
      <vt:lpstr>'491'!OSRRefE11_3x</vt:lpstr>
      <vt:lpstr>'492'!OSRRefE11_3x</vt:lpstr>
      <vt:lpstr>'Div 3'!OSRRefE11_3x</vt:lpstr>
      <vt:lpstr>'Div 4'!OSRRefE11_3x</vt:lpstr>
      <vt:lpstr>'Div 6'!OSRRefE11_3x</vt:lpstr>
      <vt:lpstr>Summary!OSRRefE11_3x</vt:lpstr>
      <vt:lpstr>'300'!OSRRefE11_40x</vt:lpstr>
      <vt:lpstr>'300 &amp; 317'!OSRRefE11_40x</vt:lpstr>
      <vt:lpstr>'Div 3'!OSRRefE11_40x</vt:lpstr>
      <vt:lpstr>Summary!OSRRefE11_40x</vt:lpstr>
      <vt:lpstr>'300'!OSRRefE11_41x</vt:lpstr>
      <vt:lpstr>'300 &amp; 317'!OSRRefE11_41x</vt:lpstr>
      <vt:lpstr>'Div 3'!OSRRefE11_41x</vt:lpstr>
      <vt:lpstr>Summary!OSRRefE11_41x</vt:lpstr>
      <vt:lpstr>'300'!OSRRefE11_42x</vt:lpstr>
      <vt:lpstr>'300 &amp; 317'!OSRRefE11_42x</vt:lpstr>
      <vt:lpstr>'Div 3'!OSRRefE11_42x</vt:lpstr>
      <vt:lpstr>Summary!OSRRefE11_42x</vt:lpstr>
      <vt:lpstr>'300'!OSRRefE11_43x</vt:lpstr>
      <vt:lpstr>'300 &amp; 317'!OSRRefE11_43x</vt:lpstr>
      <vt:lpstr>'Div 3'!OSRRefE11_43x</vt:lpstr>
      <vt:lpstr>Summary!OSRRefE11_43x</vt:lpstr>
      <vt:lpstr>'300'!OSRRefE11_44x</vt:lpstr>
      <vt:lpstr>'300 &amp; 317'!OSRRefE11_44x</vt:lpstr>
      <vt:lpstr>'Div 3'!OSRRefE11_44x</vt:lpstr>
      <vt:lpstr>Summary!OSRRefE11_44x</vt:lpstr>
      <vt:lpstr>'300'!OSRRefE11_45x</vt:lpstr>
      <vt:lpstr>'300 &amp; 317'!OSRRefE11_45x</vt:lpstr>
      <vt:lpstr>'Div 3'!OSRRefE11_45x</vt:lpstr>
      <vt:lpstr>Summary!OSRRefE11_45x</vt:lpstr>
      <vt:lpstr>'300'!OSRRefE11_46x</vt:lpstr>
      <vt:lpstr>'300 &amp; 317'!OSRRefE11_46x</vt:lpstr>
      <vt:lpstr>'Div 3'!OSRRefE11_46x</vt:lpstr>
      <vt:lpstr>Summary!OSRRefE11_46x</vt:lpstr>
      <vt:lpstr>'300'!OSRRefE11_47x</vt:lpstr>
      <vt:lpstr>'300 &amp; 317'!OSRRefE11_47x</vt:lpstr>
      <vt:lpstr>'Div 3'!OSRRefE11_47x</vt:lpstr>
      <vt:lpstr>Summary!OSRRefE11_47x</vt:lpstr>
      <vt:lpstr>'300'!OSRRefE11_48x</vt:lpstr>
      <vt:lpstr>'300 &amp; 317'!OSRRefE11_48x</vt:lpstr>
      <vt:lpstr>'Div 3'!OSRRefE11_48x</vt:lpstr>
      <vt:lpstr>Summary!OSRRefE11_48x</vt:lpstr>
      <vt:lpstr>'300'!OSRRefE11_49x</vt:lpstr>
      <vt:lpstr>'300 &amp; 317'!OSRRefE11_49x</vt:lpstr>
      <vt:lpstr>'Div 3'!OSRRefE11_49x</vt:lpstr>
      <vt:lpstr>Summary!OSRRefE11_49x</vt:lpstr>
      <vt:lpstr>'300'!OSRRefE11_4x</vt:lpstr>
      <vt:lpstr>'300 &amp; 317'!OSRRefE11_4x</vt:lpstr>
      <vt:lpstr>'307'!OSRRefE11_4x</vt:lpstr>
      <vt:lpstr>'308'!OSRRefE11_4x</vt:lpstr>
      <vt:lpstr>'310 &amp; 491'!OSRRefE11_4x</vt:lpstr>
      <vt:lpstr>'311'!OSRRefE11_4x</vt:lpstr>
      <vt:lpstr>'315'!OSRRefE11_4x</vt:lpstr>
      <vt:lpstr>'316'!OSRRefE11_4x</vt:lpstr>
      <vt:lpstr>'317'!OSRRefE11_4x</vt:lpstr>
      <vt:lpstr>'326'!OSRRefE11_4x</vt:lpstr>
      <vt:lpstr>'330'!OSRRefE11_4x</vt:lpstr>
      <vt:lpstr>'331'!OSRRefE11_4x</vt:lpstr>
      <vt:lpstr>'332'!OSRRefE11_4x</vt:lpstr>
      <vt:lpstr>'491'!OSRRefE11_4x</vt:lpstr>
      <vt:lpstr>'Div 3'!OSRRefE11_4x</vt:lpstr>
      <vt:lpstr>'Div 4'!OSRRefE11_4x</vt:lpstr>
      <vt:lpstr>'Div 6'!OSRRefE11_4x</vt:lpstr>
      <vt:lpstr>Summary!OSRRefE11_4x</vt:lpstr>
      <vt:lpstr>'300'!OSRRefE11_50x</vt:lpstr>
      <vt:lpstr>'300 &amp; 317'!OSRRefE11_50x</vt:lpstr>
      <vt:lpstr>'Div 3'!OSRRefE11_50x</vt:lpstr>
      <vt:lpstr>Summary!OSRRefE11_50x</vt:lpstr>
      <vt:lpstr>'300'!OSRRefE11_51x</vt:lpstr>
      <vt:lpstr>'300 &amp; 317'!OSRRefE11_51x</vt:lpstr>
      <vt:lpstr>'Div 3'!OSRRefE11_51x</vt:lpstr>
      <vt:lpstr>Summary!OSRRefE11_51x</vt:lpstr>
      <vt:lpstr>'300'!OSRRefE11_52x</vt:lpstr>
      <vt:lpstr>'300 &amp; 317'!OSRRefE11_52x</vt:lpstr>
      <vt:lpstr>'Div 3'!OSRRefE11_52x</vt:lpstr>
      <vt:lpstr>Summary!OSRRefE11_52x</vt:lpstr>
      <vt:lpstr>'300'!OSRRefE11_53x</vt:lpstr>
      <vt:lpstr>'300 &amp; 317'!OSRRefE11_53x</vt:lpstr>
      <vt:lpstr>'Div 3'!OSRRefE11_53x</vt:lpstr>
      <vt:lpstr>Summary!OSRRefE11_53x</vt:lpstr>
      <vt:lpstr>'300'!OSRRefE11_54x</vt:lpstr>
      <vt:lpstr>'300 &amp; 317'!OSRRefE11_54x</vt:lpstr>
      <vt:lpstr>'Div 3'!OSRRefE11_54x</vt:lpstr>
      <vt:lpstr>Summary!OSRRefE11_54x</vt:lpstr>
      <vt:lpstr>'300'!OSRRefE11_55x</vt:lpstr>
      <vt:lpstr>'300 &amp; 317'!OSRRefE11_55x</vt:lpstr>
      <vt:lpstr>'Div 3'!OSRRefE11_55x</vt:lpstr>
      <vt:lpstr>Summary!OSRRefE11_55x</vt:lpstr>
      <vt:lpstr>'300'!OSRRefE11_56x</vt:lpstr>
      <vt:lpstr>'300 &amp; 317'!OSRRefE11_56x</vt:lpstr>
      <vt:lpstr>'Div 3'!OSRRefE11_56x</vt:lpstr>
      <vt:lpstr>Summary!OSRRefE11_56x</vt:lpstr>
      <vt:lpstr>'300'!OSRRefE11_57x</vt:lpstr>
      <vt:lpstr>'300 &amp; 317'!OSRRefE11_57x</vt:lpstr>
      <vt:lpstr>'Div 3'!OSRRefE11_57x</vt:lpstr>
      <vt:lpstr>Summary!OSRRefE11_57x</vt:lpstr>
      <vt:lpstr>'300'!OSRRefE11_58x</vt:lpstr>
      <vt:lpstr>'300 &amp; 317'!OSRRefE11_58x</vt:lpstr>
      <vt:lpstr>'Div 3'!OSRRefE11_58x</vt:lpstr>
      <vt:lpstr>Summary!OSRRefE11_58x</vt:lpstr>
      <vt:lpstr>'300'!OSRRefE11_59x</vt:lpstr>
      <vt:lpstr>'300 &amp; 317'!OSRRefE11_59x</vt:lpstr>
      <vt:lpstr>'Div 3'!OSRRefE11_59x</vt:lpstr>
      <vt:lpstr>Summary!OSRRefE11_59x</vt:lpstr>
      <vt:lpstr>'300'!OSRRefE11_5x</vt:lpstr>
      <vt:lpstr>'300 &amp; 317'!OSRRefE11_5x</vt:lpstr>
      <vt:lpstr>'307'!OSRRefE11_5x</vt:lpstr>
      <vt:lpstr>'308'!OSRRefE11_5x</vt:lpstr>
      <vt:lpstr>'310 &amp; 491'!OSRRefE11_5x</vt:lpstr>
      <vt:lpstr>'311'!OSRRefE11_5x</vt:lpstr>
      <vt:lpstr>'315'!OSRRefE11_5x</vt:lpstr>
      <vt:lpstr>'316'!OSRRefE11_5x</vt:lpstr>
      <vt:lpstr>'317'!OSRRefE11_5x</vt:lpstr>
      <vt:lpstr>'326'!OSRRefE11_5x</vt:lpstr>
      <vt:lpstr>'330'!OSRRefE11_5x</vt:lpstr>
      <vt:lpstr>'331'!OSRRefE11_5x</vt:lpstr>
      <vt:lpstr>'332'!OSRRefE11_5x</vt:lpstr>
      <vt:lpstr>'491'!OSRRefE11_5x</vt:lpstr>
      <vt:lpstr>'Div 3'!OSRRefE11_5x</vt:lpstr>
      <vt:lpstr>'Div 4'!OSRRefE11_5x</vt:lpstr>
      <vt:lpstr>'Div 6'!OSRRefE11_5x</vt:lpstr>
      <vt:lpstr>Summary!OSRRefE11_5x</vt:lpstr>
      <vt:lpstr>'300'!OSRRefE11_60x</vt:lpstr>
      <vt:lpstr>'300 &amp; 317'!OSRRefE11_60x</vt:lpstr>
      <vt:lpstr>'Div 3'!OSRRefE11_60x</vt:lpstr>
      <vt:lpstr>Summary!OSRRefE11_60x</vt:lpstr>
      <vt:lpstr>'300 &amp; 317'!OSRRefE11_61x</vt:lpstr>
      <vt:lpstr>'Div 3'!OSRRefE11_61x</vt:lpstr>
      <vt:lpstr>Summary!OSRRefE11_61x</vt:lpstr>
      <vt:lpstr>'300 &amp; 317'!OSRRefE11_62x</vt:lpstr>
      <vt:lpstr>'Div 3'!OSRRefE11_62x</vt:lpstr>
      <vt:lpstr>Summary!OSRRefE11_62x</vt:lpstr>
      <vt:lpstr>'300 &amp; 317'!OSRRefE11_63x</vt:lpstr>
      <vt:lpstr>Summary!OSRRefE11_63x</vt:lpstr>
      <vt:lpstr>'300 &amp; 317'!OSRRefE11_64x</vt:lpstr>
      <vt:lpstr>Summary!OSRRefE11_64x</vt:lpstr>
      <vt:lpstr>'300 &amp; 317'!OSRRefE11_65x</vt:lpstr>
      <vt:lpstr>Summary!OSRRefE11_65x</vt:lpstr>
      <vt:lpstr>'300 &amp; 317'!OSRRefE11_66x</vt:lpstr>
      <vt:lpstr>Summary!OSRRefE11_66x</vt:lpstr>
      <vt:lpstr>'300 &amp; 317'!OSRRefE11_67x</vt:lpstr>
      <vt:lpstr>Summary!OSRRefE11_67x</vt:lpstr>
      <vt:lpstr>'300 &amp; 317'!OSRRefE11_68x</vt:lpstr>
      <vt:lpstr>Summary!OSRRefE11_68x</vt:lpstr>
      <vt:lpstr>'300 &amp; 317'!OSRRefE11_69x</vt:lpstr>
      <vt:lpstr>Summary!OSRRefE11_69x</vt:lpstr>
      <vt:lpstr>'300'!OSRRefE11_6x</vt:lpstr>
      <vt:lpstr>'300 &amp; 317'!OSRRefE11_6x</vt:lpstr>
      <vt:lpstr>'307'!OSRRefE11_6x</vt:lpstr>
      <vt:lpstr>'308'!OSRRefE11_6x</vt:lpstr>
      <vt:lpstr>'310 &amp; 491'!OSRRefE11_6x</vt:lpstr>
      <vt:lpstr>'311'!OSRRefE11_6x</vt:lpstr>
      <vt:lpstr>'315'!OSRRefE11_6x</vt:lpstr>
      <vt:lpstr>'316'!OSRRefE11_6x</vt:lpstr>
      <vt:lpstr>'317'!OSRRefE11_6x</vt:lpstr>
      <vt:lpstr>'326'!OSRRefE11_6x</vt:lpstr>
      <vt:lpstr>'330'!OSRRefE11_6x</vt:lpstr>
      <vt:lpstr>'331'!OSRRefE11_6x</vt:lpstr>
      <vt:lpstr>'332'!OSRRefE11_6x</vt:lpstr>
      <vt:lpstr>'Div 3'!OSRRefE11_6x</vt:lpstr>
      <vt:lpstr>'Div 4'!OSRRefE11_6x</vt:lpstr>
      <vt:lpstr>'Div 6'!OSRRefE11_6x</vt:lpstr>
      <vt:lpstr>Summary!OSRRefE11_6x</vt:lpstr>
      <vt:lpstr>'300 &amp; 317'!OSRRefE11_70x</vt:lpstr>
      <vt:lpstr>Summary!OSRRefE11_70x</vt:lpstr>
      <vt:lpstr>'300 &amp; 317'!OSRRefE11_71x</vt:lpstr>
      <vt:lpstr>Summary!OSRRefE11_71x</vt:lpstr>
      <vt:lpstr>'300 &amp; 317'!OSRRefE11_72x</vt:lpstr>
      <vt:lpstr>Summary!OSRRefE11_72x</vt:lpstr>
      <vt:lpstr>'300 &amp; 317'!OSRRefE11_73x</vt:lpstr>
      <vt:lpstr>Summary!OSRRefE11_73x</vt:lpstr>
      <vt:lpstr>'300 &amp; 317'!OSRRefE11_74x</vt:lpstr>
      <vt:lpstr>Summary!OSRRefE11_74x</vt:lpstr>
      <vt:lpstr>Summary!OSRRefE11_75x</vt:lpstr>
      <vt:lpstr>Summary!OSRRefE11_76x</vt:lpstr>
      <vt:lpstr>Summary!OSRRefE11_77x</vt:lpstr>
      <vt:lpstr>Summary!OSRRefE11_78x</vt:lpstr>
      <vt:lpstr>Summary!OSRRefE11_79x</vt:lpstr>
      <vt:lpstr>'300'!OSRRefE11_7x</vt:lpstr>
      <vt:lpstr>'300 &amp; 317'!OSRRefE11_7x</vt:lpstr>
      <vt:lpstr>'307'!OSRRefE11_7x</vt:lpstr>
      <vt:lpstr>'308'!OSRRefE11_7x</vt:lpstr>
      <vt:lpstr>'310 &amp; 491'!OSRRefE11_7x</vt:lpstr>
      <vt:lpstr>'311'!OSRRefE11_7x</vt:lpstr>
      <vt:lpstr>'315'!OSRRefE11_7x</vt:lpstr>
      <vt:lpstr>'316'!OSRRefE11_7x</vt:lpstr>
      <vt:lpstr>'317'!OSRRefE11_7x</vt:lpstr>
      <vt:lpstr>'326'!OSRRefE11_7x</vt:lpstr>
      <vt:lpstr>'330'!OSRRefE11_7x</vt:lpstr>
      <vt:lpstr>'331'!OSRRefE11_7x</vt:lpstr>
      <vt:lpstr>'332'!OSRRefE11_7x</vt:lpstr>
      <vt:lpstr>'Div 3'!OSRRefE11_7x</vt:lpstr>
      <vt:lpstr>'Div 4'!OSRRefE11_7x</vt:lpstr>
      <vt:lpstr>'Div 6'!OSRRefE11_7x</vt:lpstr>
      <vt:lpstr>Summary!OSRRefE11_7x</vt:lpstr>
      <vt:lpstr>Summary!OSRRefE11_80x</vt:lpstr>
      <vt:lpstr>Summary!OSRRefE11_81x</vt:lpstr>
      <vt:lpstr>'300'!OSRRefE11_8x</vt:lpstr>
      <vt:lpstr>'300 &amp; 317'!OSRRefE11_8x</vt:lpstr>
      <vt:lpstr>'307'!OSRRefE11_8x</vt:lpstr>
      <vt:lpstr>'308'!OSRRefE11_8x</vt:lpstr>
      <vt:lpstr>'310 &amp; 491'!OSRRefE11_8x</vt:lpstr>
      <vt:lpstr>'311'!OSRRefE11_8x</vt:lpstr>
      <vt:lpstr>'315'!OSRRefE11_8x</vt:lpstr>
      <vt:lpstr>'316'!OSRRefE11_8x</vt:lpstr>
      <vt:lpstr>'317'!OSRRefE11_8x</vt:lpstr>
      <vt:lpstr>'326'!OSRRefE11_8x</vt:lpstr>
      <vt:lpstr>'330'!OSRRefE11_8x</vt:lpstr>
      <vt:lpstr>'331'!OSRRefE11_8x</vt:lpstr>
      <vt:lpstr>'332'!OSRRefE11_8x</vt:lpstr>
      <vt:lpstr>'Div 3'!OSRRefE11_8x</vt:lpstr>
      <vt:lpstr>'Div 6'!OSRRefE11_8x</vt:lpstr>
      <vt:lpstr>Summary!OSRRefE11_8x</vt:lpstr>
      <vt:lpstr>'300'!OSRRefE11_9x</vt:lpstr>
      <vt:lpstr>'300 &amp; 317'!OSRRefE11_9x</vt:lpstr>
      <vt:lpstr>'307'!OSRRefE11_9x</vt:lpstr>
      <vt:lpstr>'308'!OSRRefE11_9x</vt:lpstr>
      <vt:lpstr>'311'!OSRRefE11_9x</vt:lpstr>
      <vt:lpstr>'315'!OSRRefE11_9x</vt:lpstr>
      <vt:lpstr>'316'!OSRRefE11_9x</vt:lpstr>
      <vt:lpstr>'317'!OSRRefE11_9x</vt:lpstr>
      <vt:lpstr>'326'!OSRRefE11_9x</vt:lpstr>
      <vt:lpstr>'330'!OSRRefE11_9x</vt:lpstr>
      <vt:lpstr>'331'!OSRRefE11_9x</vt:lpstr>
      <vt:lpstr>'332'!OSRRefE11_9x</vt:lpstr>
      <vt:lpstr>'Div 3'!OSRRefE11_9x</vt:lpstr>
      <vt:lpstr>'Div 6'!OSRRefE11_9x</vt:lpstr>
      <vt:lpstr>Summary!OSRRefE11_9x</vt:lpstr>
      <vt:lpstr>'300'!OSRRefE11x_0</vt:lpstr>
      <vt:lpstr>'300 &amp; 317'!OSRRefE11x_0</vt:lpstr>
      <vt:lpstr>'307'!OSRRefE11x_0</vt:lpstr>
      <vt:lpstr>'308'!OSRRefE11x_0</vt:lpstr>
      <vt:lpstr>'309'!OSRRefE11x_0</vt:lpstr>
      <vt:lpstr>'310'!OSRRefE11x_0</vt:lpstr>
      <vt:lpstr>'310 &amp; 491'!OSRRefE11x_0</vt:lpstr>
      <vt:lpstr>'311'!OSRRefE11x_0</vt:lpstr>
      <vt:lpstr>'315'!OSRRefE11x_0</vt:lpstr>
      <vt:lpstr>'316'!OSRRefE11x_0</vt:lpstr>
      <vt:lpstr>'317'!OSRRefE11x_0</vt:lpstr>
      <vt:lpstr>'321'!OSRRefE11x_0</vt:lpstr>
      <vt:lpstr>'322'!OSRRefE11x_0</vt:lpstr>
      <vt:lpstr>'324'!OSRRefE11x_0</vt:lpstr>
      <vt:lpstr>'326'!OSRRefE11x_0</vt:lpstr>
      <vt:lpstr>'327'!OSRRefE11x_0</vt:lpstr>
      <vt:lpstr>'330'!OSRRefE11x_0</vt:lpstr>
      <vt:lpstr>'331'!OSRRefE11x_0</vt:lpstr>
      <vt:lpstr>'332'!OSRRefE11x_0</vt:lpstr>
      <vt:lpstr>'405'!OSRRefE11x_0</vt:lpstr>
      <vt:lpstr>'412'!OSRRefE11x_0</vt:lpstr>
      <vt:lpstr>'413'!OSRRefE11x_0</vt:lpstr>
      <vt:lpstr>'414'!OSRRefE11x_0</vt:lpstr>
      <vt:lpstr>'415'!OSRRefE11x_0</vt:lpstr>
      <vt:lpstr>'418'!OSRRefE11x_0</vt:lpstr>
      <vt:lpstr>'420'!OSRRefE11x_0</vt:lpstr>
      <vt:lpstr>'433'!OSRRefE11x_0</vt:lpstr>
      <vt:lpstr>'444'!OSRRefE11x_0</vt:lpstr>
      <vt:lpstr>'450'!OSRRefE11x_0</vt:lpstr>
      <vt:lpstr>'491'!OSRRefE11x_0</vt:lpstr>
      <vt:lpstr>'492'!OSRRefE11x_0</vt:lpstr>
      <vt:lpstr>'501'!OSRRefE11x_0</vt:lpstr>
      <vt:lpstr>'Div 3'!OSRRefE11x_0</vt:lpstr>
      <vt:lpstr>'Div 4'!OSRRefE11x_0</vt:lpstr>
      <vt:lpstr>'Div 5'!OSRRefE11x_0</vt:lpstr>
      <vt:lpstr>'Div 6'!OSRRefE11x_0</vt:lpstr>
      <vt:lpstr>Summary!OSRRefE11x_0</vt:lpstr>
      <vt:lpstr>'300'!OSRRefE11x_1</vt:lpstr>
      <vt:lpstr>'300 &amp; 317'!OSRRefE11x_1</vt:lpstr>
      <vt:lpstr>'307'!OSRRefE11x_1</vt:lpstr>
      <vt:lpstr>'308'!OSRRefE11x_1</vt:lpstr>
      <vt:lpstr>'309'!OSRRefE11x_1</vt:lpstr>
      <vt:lpstr>'310'!OSRRefE11x_1</vt:lpstr>
      <vt:lpstr>'310 &amp; 491'!OSRRefE11x_1</vt:lpstr>
      <vt:lpstr>'311'!OSRRefE11x_1</vt:lpstr>
      <vt:lpstr>'315'!OSRRefE11x_1</vt:lpstr>
      <vt:lpstr>'316'!OSRRefE11x_1</vt:lpstr>
      <vt:lpstr>'317'!OSRRefE11x_1</vt:lpstr>
      <vt:lpstr>'321'!OSRRefE11x_1</vt:lpstr>
      <vt:lpstr>'322'!OSRRefE11x_1</vt:lpstr>
      <vt:lpstr>'324'!OSRRefE11x_1</vt:lpstr>
      <vt:lpstr>'326'!OSRRefE11x_1</vt:lpstr>
      <vt:lpstr>'327'!OSRRefE11x_1</vt:lpstr>
      <vt:lpstr>'330'!OSRRefE11x_1</vt:lpstr>
      <vt:lpstr>'331'!OSRRefE11x_1</vt:lpstr>
      <vt:lpstr>'332'!OSRRefE11x_1</vt:lpstr>
      <vt:lpstr>'405'!OSRRefE11x_1</vt:lpstr>
      <vt:lpstr>'412'!OSRRefE11x_1</vt:lpstr>
      <vt:lpstr>'413'!OSRRefE11x_1</vt:lpstr>
      <vt:lpstr>'414'!OSRRefE11x_1</vt:lpstr>
      <vt:lpstr>'415'!OSRRefE11x_1</vt:lpstr>
      <vt:lpstr>'418'!OSRRefE11x_1</vt:lpstr>
      <vt:lpstr>'420'!OSRRefE11x_1</vt:lpstr>
      <vt:lpstr>'433'!OSRRefE11x_1</vt:lpstr>
      <vt:lpstr>'444'!OSRRefE11x_1</vt:lpstr>
      <vt:lpstr>'450'!OSRRefE11x_1</vt:lpstr>
      <vt:lpstr>'491'!OSRRefE11x_1</vt:lpstr>
      <vt:lpstr>'492'!OSRRefE11x_1</vt:lpstr>
      <vt:lpstr>'501'!OSRRefE11x_1</vt:lpstr>
      <vt:lpstr>'Div 3'!OSRRefE11x_1</vt:lpstr>
      <vt:lpstr>'Div 4'!OSRRefE11x_1</vt:lpstr>
      <vt:lpstr>'Div 5'!OSRRefE11x_1</vt:lpstr>
      <vt:lpstr>'Div 6'!OSRRefE11x_1</vt:lpstr>
      <vt:lpstr>Summary!OSRRefE11x_1</vt:lpstr>
      <vt:lpstr>'300'!OSRRefE11x_2</vt:lpstr>
      <vt:lpstr>'300 &amp; 317'!OSRRefE11x_2</vt:lpstr>
      <vt:lpstr>'307'!OSRRefE11x_2</vt:lpstr>
      <vt:lpstr>'308'!OSRRefE11x_2</vt:lpstr>
      <vt:lpstr>'309'!OSRRefE11x_2</vt:lpstr>
      <vt:lpstr>'310'!OSRRefE11x_2</vt:lpstr>
      <vt:lpstr>'310 &amp; 491'!OSRRefE11x_2</vt:lpstr>
      <vt:lpstr>'311'!OSRRefE11x_2</vt:lpstr>
      <vt:lpstr>'315'!OSRRefE11x_2</vt:lpstr>
      <vt:lpstr>'316'!OSRRefE11x_2</vt:lpstr>
      <vt:lpstr>'317'!OSRRefE11x_2</vt:lpstr>
      <vt:lpstr>'321'!OSRRefE11x_2</vt:lpstr>
      <vt:lpstr>'322'!OSRRefE11x_2</vt:lpstr>
      <vt:lpstr>'324'!OSRRefE11x_2</vt:lpstr>
      <vt:lpstr>'326'!OSRRefE11x_2</vt:lpstr>
      <vt:lpstr>'327'!OSRRefE11x_2</vt:lpstr>
      <vt:lpstr>'330'!OSRRefE11x_2</vt:lpstr>
      <vt:lpstr>'331'!OSRRefE11x_2</vt:lpstr>
      <vt:lpstr>'332'!OSRRefE11x_2</vt:lpstr>
      <vt:lpstr>'405'!OSRRefE11x_2</vt:lpstr>
      <vt:lpstr>'412'!OSRRefE11x_2</vt:lpstr>
      <vt:lpstr>'413'!OSRRefE11x_2</vt:lpstr>
      <vt:lpstr>'414'!OSRRefE11x_2</vt:lpstr>
      <vt:lpstr>'415'!OSRRefE11x_2</vt:lpstr>
      <vt:lpstr>'418'!OSRRefE11x_2</vt:lpstr>
      <vt:lpstr>'420'!OSRRefE11x_2</vt:lpstr>
      <vt:lpstr>'433'!OSRRefE11x_2</vt:lpstr>
      <vt:lpstr>'444'!OSRRefE11x_2</vt:lpstr>
      <vt:lpstr>'450'!OSRRefE11x_2</vt:lpstr>
      <vt:lpstr>'491'!OSRRefE11x_2</vt:lpstr>
      <vt:lpstr>'492'!OSRRefE11x_2</vt:lpstr>
      <vt:lpstr>'501'!OSRRefE11x_2</vt:lpstr>
      <vt:lpstr>'Div 3'!OSRRefE11x_2</vt:lpstr>
      <vt:lpstr>'Div 4'!OSRRefE11x_2</vt:lpstr>
      <vt:lpstr>'Div 5'!OSRRefE11x_2</vt:lpstr>
      <vt:lpstr>'Div 6'!OSRRefE11x_2</vt:lpstr>
      <vt:lpstr>Summary!OSRRefE11x_2</vt:lpstr>
      <vt:lpstr>'300'!OSRRefE11x_3</vt:lpstr>
      <vt:lpstr>'300 &amp; 317'!OSRRefE11x_3</vt:lpstr>
      <vt:lpstr>'307'!OSRRefE11x_3</vt:lpstr>
      <vt:lpstr>'308'!OSRRefE11x_3</vt:lpstr>
      <vt:lpstr>'309'!OSRRefE11x_3</vt:lpstr>
      <vt:lpstr>'310'!OSRRefE11x_3</vt:lpstr>
      <vt:lpstr>'310 &amp; 491'!OSRRefE11x_3</vt:lpstr>
      <vt:lpstr>'311'!OSRRefE11x_3</vt:lpstr>
      <vt:lpstr>'315'!OSRRefE11x_3</vt:lpstr>
      <vt:lpstr>'316'!OSRRefE11x_3</vt:lpstr>
      <vt:lpstr>'317'!OSRRefE11x_3</vt:lpstr>
      <vt:lpstr>'321'!OSRRefE11x_3</vt:lpstr>
      <vt:lpstr>'322'!OSRRefE11x_3</vt:lpstr>
      <vt:lpstr>'324'!OSRRefE11x_3</vt:lpstr>
      <vt:lpstr>'326'!OSRRefE11x_3</vt:lpstr>
      <vt:lpstr>'327'!OSRRefE11x_3</vt:lpstr>
      <vt:lpstr>'330'!OSRRefE11x_3</vt:lpstr>
      <vt:lpstr>'331'!OSRRefE11x_3</vt:lpstr>
      <vt:lpstr>'332'!OSRRefE11x_3</vt:lpstr>
      <vt:lpstr>'405'!OSRRefE11x_3</vt:lpstr>
      <vt:lpstr>'412'!OSRRefE11x_3</vt:lpstr>
      <vt:lpstr>'413'!OSRRefE11x_3</vt:lpstr>
      <vt:lpstr>'414'!OSRRefE11x_3</vt:lpstr>
      <vt:lpstr>'415'!OSRRefE11x_3</vt:lpstr>
      <vt:lpstr>'418'!OSRRefE11x_3</vt:lpstr>
      <vt:lpstr>'420'!OSRRefE11x_3</vt:lpstr>
      <vt:lpstr>'433'!OSRRefE11x_3</vt:lpstr>
      <vt:lpstr>'444'!OSRRefE11x_3</vt:lpstr>
      <vt:lpstr>'450'!OSRRefE11x_3</vt:lpstr>
      <vt:lpstr>'491'!OSRRefE11x_3</vt:lpstr>
      <vt:lpstr>'492'!OSRRefE11x_3</vt:lpstr>
      <vt:lpstr>'501'!OSRRefE11x_3</vt:lpstr>
      <vt:lpstr>'Div 3'!OSRRefE11x_3</vt:lpstr>
      <vt:lpstr>'Div 4'!OSRRefE11x_3</vt:lpstr>
      <vt:lpstr>'Div 5'!OSRRefE11x_3</vt:lpstr>
      <vt:lpstr>'Div 6'!OSRRefE11x_3</vt:lpstr>
      <vt:lpstr>Summary!OSRRefE11x_3</vt:lpstr>
      <vt:lpstr>'300'!OSRRefE11x_4</vt:lpstr>
      <vt:lpstr>'300 &amp; 317'!OSRRefE11x_4</vt:lpstr>
      <vt:lpstr>'307'!OSRRefE11x_4</vt:lpstr>
      <vt:lpstr>'308'!OSRRefE11x_4</vt:lpstr>
      <vt:lpstr>'309'!OSRRefE11x_4</vt:lpstr>
      <vt:lpstr>'310'!OSRRefE11x_4</vt:lpstr>
      <vt:lpstr>'310 &amp; 491'!OSRRefE11x_4</vt:lpstr>
      <vt:lpstr>'311'!OSRRefE11x_4</vt:lpstr>
      <vt:lpstr>'315'!OSRRefE11x_4</vt:lpstr>
      <vt:lpstr>'316'!OSRRefE11x_4</vt:lpstr>
      <vt:lpstr>'317'!OSRRefE11x_4</vt:lpstr>
      <vt:lpstr>'321'!OSRRefE11x_4</vt:lpstr>
      <vt:lpstr>'322'!OSRRefE11x_4</vt:lpstr>
      <vt:lpstr>'324'!OSRRefE11x_4</vt:lpstr>
      <vt:lpstr>'326'!OSRRefE11x_4</vt:lpstr>
      <vt:lpstr>'327'!OSRRefE11x_4</vt:lpstr>
      <vt:lpstr>'330'!OSRRefE11x_4</vt:lpstr>
      <vt:lpstr>'331'!OSRRefE11x_4</vt:lpstr>
      <vt:lpstr>'332'!OSRRefE11x_4</vt:lpstr>
      <vt:lpstr>'405'!OSRRefE11x_4</vt:lpstr>
      <vt:lpstr>'412'!OSRRefE11x_4</vt:lpstr>
      <vt:lpstr>'413'!OSRRefE11x_4</vt:lpstr>
      <vt:lpstr>'414'!OSRRefE11x_4</vt:lpstr>
      <vt:lpstr>'415'!OSRRefE11x_4</vt:lpstr>
      <vt:lpstr>'418'!OSRRefE11x_4</vt:lpstr>
      <vt:lpstr>'420'!OSRRefE11x_4</vt:lpstr>
      <vt:lpstr>'433'!OSRRefE11x_4</vt:lpstr>
      <vt:lpstr>'444'!OSRRefE11x_4</vt:lpstr>
      <vt:lpstr>'450'!OSRRefE11x_4</vt:lpstr>
      <vt:lpstr>'491'!OSRRefE11x_4</vt:lpstr>
      <vt:lpstr>'492'!OSRRefE11x_4</vt:lpstr>
      <vt:lpstr>'501'!OSRRefE11x_4</vt:lpstr>
      <vt:lpstr>'Div 3'!OSRRefE11x_4</vt:lpstr>
      <vt:lpstr>'Div 4'!OSRRefE11x_4</vt:lpstr>
      <vt:lpstr>'Div 5'!OSRRefE11x_4</vt:lpstr>
      <vt:lpstr>'Div 6'!OSRRefE11x_4</vt:lpstr>
      <vt:lpstr>Summary!OSRRefE11x_4</vt:lpstr>
      <vt:lpstr>'300'!OSRRefE11x_5</vt:lpstr>
      <vt:lpstr>'300 &amp; 317'!OSRRefE11x_5</vt:lpstr>
      <vt:lpstr>'307'!OSRRefE11x_5</vt:lpstr>
      <vt:lpstr>'308'!OSRRefE11x_5</vt:lpstr>
      <vt:lpstr>'309'!OSRRefE11x_5</vt:lpstr>
      <vt:lpstr>'310'!OSRRefE11x_5</vt:lpstr>
      <vt:lpstr>'310 &amp; 491'!OSRRefE11x_5</vt:lpstr>
      <vt:lpstr>'311'!OSRRefE11x_5</vt:lpstr>
      <vt:lpstr>'315'!OSRRefE11x_5</vt:lpstr>
      <vt:lpstr>'316'!OSRRefE11x_5</vt:lpstr>
      <vt:lpstr>'317'!OSRRefE11x_5</vt:lpstr>
      <vt:lpstr>'321'!OSRRefE11x_5</vt:lpstr>
      <vt:lpstr>'322'!OSRRefE11x_5</vt:lpstr>
      <vt:lpstr>'324'!OSRRefE11x_5</vt:lpstr>
      <vt:lpstr>'326'!OSRRefE11x_5</vt:lpstr>
      <vt:lpstr>'327'!OSRRefE11x_5</vt:lpstr>
      <vt:lpstr>'330'!OSRRefE11x_5</vt:lpstr>
      <vt:lpstr>'331'!OSRRefE11x_5</vt:lpstr>
      <vt:lpstr>'332'!OSRRefE11x_5</vt:lpstr>
      <vt:lpstr>'405'!OSRRefE11x_5</vt:lpstr>
      <vt:lpstr>'412'!OSRRefE11x_5</vt:lpstr>
      <vt:lpstr>'413'!OSRRefE11x_5</vt:lpstr>
      <vt:lpstr>'414'!OSRRefE11x_5</vt:lpstr>
      <vt:lpstr>'415'!OSRRefE11x_5</vt:lpstr>
      <vt:lpstr>'418'!OSRRefE11x_5</vt:lpstr>
      <vt:lpstr>'420'!OSRRefE11x_5</vt:lpstr>
      <vt:lpstr>'433'!OSRRefE11x_5</vt:lpstr>
      <vt:lpstr>'444'!OSRRefE11x_5</vt:lpstr>
      <vt:lpstr>'450'!OSRRefE11x_5</vt:lpstr>
      <vt:lpstr>'491'!OSRRefE11x_5</vt:lpstr>
      <vt:lpstr>'492'!OSRRefE11x_5</vt:lpstr>
      <vt:lpstr>'501'!OSRRefE11x_5</vt:lpstr>
      <vt:lpstr>'Div 3'!OSRRefE11x_5</vt:lpstr>
      <vt:lpstr>'Div 4'!OSRRefE11x_5</vt:lpstr>
      <vt:lpstr>'Div 5'!OSRRefE11x_5</vt:lpstr>
      <vt:lpstr>'Div 6'!OSRRefE11x_5</vt:lpstr>
      <vt:lpstr>Summary!OSRRefE11x_5</vt:lpstr>
      <vt:lpstr>'300'!OSRRefE11x_6</vt:lpstr>
      <vt:lpstr>'300 &amp; 317'!OSRRefE11x_6</vt:lpstr>
      <vt:lpstr>'307'!OSRRefE11x_6</vt:lpstr>
      <vt:lpstr>'308'!OSRRefE11x_6</vt:lpstr>
      <vt:lpstr>'309'!OSRRefE11x_6</vt:lpstr>
      <vt:lpstr>'310'!OSRRefE11x_6</vt:lpstr>
      <vt:lpstr>'310 &amp; 491'!OSRRefE11x_6</vt:lpstr>
      <vt:lpstr>'311'!OSRRefE11x_6</vt:lpstr>
      <vt:lpstr>'315'!OSRRefE11x_6</vt:lpstr>
      <vt:lpstr>'316'!OSRRefE11x_6</vt:lpstr>
      <vt:lpstr>'317'!OSRRefE11x_6</vt:lpstr>
      <vt:lpstr>'321'!OSRRefE11x_6</vt:lpstr>
      <vt:lpstr>'322'!OSRRefE11x_6</vt:lpstr>
      <vt:lpstr>'324'!OSRRefE11x_6</vt:lpstr>
      <vt:lpstr>'326'!OSRRefE11x_6</vt:lpstr>
      <vt:lpstr>'327'!OSRRefE11x_6</vt:lpstr>
      <vt:lpstr>'330'!OSRRefE11x_6</vt:lpstr>
      <vt:lpstr>'331'!OSRRefE11x_6</vt:lpstr>
      <vt:lpstr>'332'!OSRRefE11x_6</vt:lpstr>
      <vt:lpstr>'405'!OSRRefE11x_6</vt:lpstr>
      <vt:lpstr>'412'!OSRRefE11x_6</vt:lpstr>
      <vt:lpstr>'413'!OSRRefE11x_6</vt:lpstr>
      <vt:lpstr>'414'!OSRRefE11x_6</vt:lpstr>
      <vt:lpstr>'415'!OSRRefE11x_6</vt:lpstr>
      <vt:lpstr>'418'!OSRRefE11x_6</vt:lpstr>
      <vt:lpstr>'420'!OSRRefE11x_6</vt:lpstr>
      <vt:lpstr>'433'!OSRRefE11x_6</vt:lpstr>
      <vt:lpstr>'444'!OSRRefE11x_6</vt:lpstr>
      <vt:lpstr>'450'!OSRRefE11x_6</vt:lpstr>
      <vt:lpstr>'491'!OSRRefE11x_6</vt:lpstr>
      <vt:lpstr>'492'!OSRRefE11x_6</vt:lpstr>
      <vt:lpstr>'501'!OSRRefE11x_6</vt:lpstr>
      <vt:lpstr>'Div 3'!OSRRefE11x_6</vt:lpstr>
      <vt:lpstr>'Div 4'!OSRRefE11x_6</vt:lpstr>
      <vt:lpstr>'Div 5'!OSRRefE11x_6</vt:lpstr>
      <vt:lpstr>'Div 6'!OSRRefE11x_6</vt:lpstr>
      <vt:lpstr>Summary!OSRRefE11x_6</vt:lpstr>
      <vt:lpstr>'300'!OSRRefE11x_7</vt:lpstr>
      <vt:lpstr>'300 &amp; 317'!OSRRefE11x_7</vt:lpstr>
      <vt:lpstr>'307'!OSRRefE11x_7</vt:lpstr>
      <vt:lpstr>'308'!OSRRefE11x_7</vt:lpstr>
      <vt:lpstr>'309'!OSRRefE11x_7</vt:lpstr>
      <vt:lpstr>'310'!OSRRefE11x_7</vt:lpstr>
      <vt:lpstr>'310 &amp; 491'!OSRRefE11x_7</vt:lpstr>
      <vt:lpstr>'311'!OSRRefE11x_7</vt:lpstr>
      <vt:lpstr>'315'!OSRRefE11x_7</vt:lpstr>
      <vt:lpstr>'316'!OSRRefE11x_7</vt:lpstr>
      <vt:lpstr>'317'!OSRRefE11x_7</vt:lpstr>
      <vt:lpstr>'321'!OSRRefE11x_7</vt:lpstr>
      <vt:lpstr>'322'!OSRRefE11x_7</vt:lpstr>
      <vt:lpstr>'324'!OSRRefE11x_7</vt:lpstr>
      <vt:lpstr>'326'!OSRRefE11x_7</vt:lpstr>
      <vt:lpstr>'327'!OSRRefE11x_7</vt:lpstr>
      <vt:lpstr>'330'!OSRRefE11x_7</vt:lpstr>
      <vt:lpstr>'331'!OSRRefE11x_7</vt:lpstr>
      <vt:lpstr>'332'!OSRRefE11x_7</vt:lpstr>
      <vt:lpstr>'405'!OSRRefE11x_7</vt:lpstr>
      <vt:lpstr>'412'!OSRRefE11x_7</vt:lpstr>
      <vt:lpstr>'413'!OSRRefE11x_7</vt:lpstr>
      <vt:lpstr>'414'!OSRRefE11x_7</vt:lpstr>
      <vt:lpstr>'415'!OSRRefE11x_7</vt:lpstr>
      <vt:lpstr>'418'!OSRRefE11x_7</vt:lpstr>
      <vt:lpstr>'420'!OSRRefE11x_7</vt:lpstr>
      <vt:lpstr>'433'!OSRRefE11x_7</vt:lpstr>
      <vt:lpstr>'444'!OSRRefE11x_7</vt:lpstr>
      <vt:lpstr>'450'!OSRRefE11x_7</vt:lpstr>
      <vt:lpstr>'491'!OSRRefE11x_7</vt:lpstr>
      <vt:lpstr>'492'!OSRRefE11x_7</vt:lpstr>
      <vt:lpstr>'501'!OSRRefE11x_7</vt:lpstr>
      <vt:lpstr>'Div 3'!OSRRefE11x_7</vt:lpstr>
      <vt:lpstr>'Div 4'!OSRRefE11x_7</vt:lpstr>
      <vt:lpstr>'Div 5'!OSRRefE11x_7</vt:lpstr>
      <vt:lpstr>'Div 6'!OSRRefE11x_7</vt:lpstr>
      <vt:lpstr>Summary!OSRRefE11x_7</vt:lpstr>
      <vt:lpstr>'300'!OSRRefE14_0x</vt:lpstr>
      <vt:lpstr>'300 &amp; 317'!OSRRefE14_0x</vt:lpstr>
      <vt:lpstr>'307'!OSRRefE14_0x</vt:lpstr>
      <vt:lpstr>'308'!OSRRefE14_0x</vt:lpstr>
      <vt:lpstr>'309'!OSRRefE14_0x</vt:lpstr>
      <vt:lpstr>'310'!OSRRefE14_0x</vt:lpstr>
      <vt:lpstr>'310 &amp; 491'!OSRRefE14_0x</vt:lpstr>
      <vt:lpstr>'311'!OSRRefE14_0x</vt:lpstr>
      <vt:lpstr>'313'!OSRRefE14_0x</vt:lpstr>
      <vt:lpstr>'315'!OSRRefE14_0x</vt:lpstr>
      <vt:lpstr>'317'!OSRRefE14_0x</vt:lpstr>
      <vt:lpstr>'321'!OSRRefE14_0x</vt:lpstr>
      <vt:lpstr>'322'!OSRRefE14_0x</vt:lpstr>
      <vt:lpstr>'324'!OSRRefE14_0x</vt:lpstr>
      <vt:lpstr>'325'!OSRRefE14_0x</vt:lpstr>
      <vt:lpstr>'326'!OSRRefE14_0x</vt:lpstr>
      <vt:lpstr>'327'!OSRRefE14_0x</vt:lpstr>
      <vt:lpstr>'330'!OSRRefE14_0x</vt:lpstr>
      <vt:lpstr>'331'!OSRRefE14_0x</vt:lpstr>
      <vt:lpstr>'405'!OSRRefE14_0x</vt:lpstr>
      <vt:lpstr>'412'!OSRRefE14_0x</vt:lpstr>
      <vt:lpstr>'413'!OSRRefE14_0x</vt:lpstr>
      <vt:lpstr>'414'!OSRRefE14_0x</vt:lpstr>
      <vt:lpstr>'415'!OSRRefE14_0x</vt:lpstr>
      <vt:lpstr>'418'!OSRRefE14_0x</vt:lpstr>
      <vt:lpstr>'433'!OSRRefE14_0x</vt:lpstr>
      <vt:lpstr>'444'!OSRRefE14_0x</vt:lpstr>
      <vt:lpstr>'450'!OSRRefE14_0x</vt:lpstr>
      <vt:lpstr>'491'!OSRRefE14_0x</vt:lpstr>
      <vt:lpstr>'492'!OSRRefE14_0x</vt:lpstr>
      <vt:lpstr>'Div 3'!OSRRefE14_0x</vt:lpstr>
      <vt:lpstr>'Div 4'!OSRRefE14_0x</vt:lpstr>
      <vt:lpstr>'Div 6'!OSRRefE14_0x</vt:lpstr>
      <vt:lpstr>Summary!OSRRefE14_0x</vt:lpstr>
      <vt:lpstr>'300'!OSRRefE14_10x</vt:lpstr>
      <vt:lpstr>'300 &amp; 317'!OSRRefE14_10x</vt:lpstr>
      <vt:lpstr>'308'!OSRRefE14_10x</vt:lpstr>
      <vt:lpstr>'311'!OSRRefE14_10x</vt:lpstr>
      <vt:lpstr>'315'!OSRRefE14_10x</vt:lpstr>
      <vt:lpstr>'317'!OSRRefE14_10x</vt:lpstr>
      <vt:lpstr>'331'!OSRRefE14_10x</vt:lpstr>
      <vt:lpstr>'Div 3'!OSRRefE14_10x</vt:lpstr>
      <vt:lpstr>'Div 6'!OSRRefE14_10x</vt:lpstr>
      <vt:lpstr>Summary!OSRRefE14_10x</vt:lpstr>
      <vt:lpstr>'300'!OSRRefE14_11x</vt:lpstr>
      <vt:lpstr>'300 &amp; 317'!OSRRefE14_11x</vt:lpstr>
      <vt:lpstr>'308'!OSRRefE14_11x</vt:lpstr>
      <vt:lpstr>'311'!OSRRefE14_11x</vt:lpstr>
      <vt:lpstr>'315'!OSRRefE14_11x</vt:lpstr>
      <vt:lpstr>'331'!OSRRefE14_11x</vt:lpstr>
      <vt:lpstr>'Div 3'!OSRRefE14_11x</vt:lpstr>
      <vt:lpstr>Summary!OSRRefE14_11x</vt:lpstr>
      <vt:lpstr>'300'!OSRRefE14_12x</vt:lpstr>
      <vt:lpstr>'300 &amp; 317'!OSRRefE14_12x</vt:lpstr>
      <vt:lpstr>'308'!OSRRefE14_12x</vt:lpstr>
      <vt:lpstr>'311'!OSRRefE14_12x</vt:lpstr>
      <vt:lpstr>'315'!OSRRefE14_12x</vt:lpstr>
      <vt:lpstr>'331'!OSRRefE14_12x</vt:lpstr>
      <vt:lpstr>'Div 3'!OSRRefE14_12x</vt:lpstr>
      <vt:lpstr>Summary!OSRRefE14_12x</vt:lpstr>
      <vt:lpstr>'300'!OSRRefE14_13x</vt:lpstr>
      <vt:lpstr>'300 &amp; 317'!OSRRefE14_13x</vt:lpstr>
      <vt:lpstr>'315'!OSRRefE14_13x</vt:lpstr>
      <vt:lpstr>'331'!OSRRefE14_13x</vt:lpstr>
      <vt:lpstr>'Div 3'!OSRRefE14_13x</vt:lpstr>
      <vt:lpstr>Summary!OSRRefE14_13x</vt:lpstr>
      <vt:lpstr>'300'!OSRRefE14_14x</vt:lpstr>
      <vt:lpstr>'300 &amp; 317'!OSRRefE14_14x</vt:lpstr>
      <vt:lpstr>'315'!OSRRefE14_14x</vt:lpstr>
      <vt:lpstr>'331'!OSRRefE14_14x</vt:lpstr>
      <vt:lpstr>'Div 3'!OSRRefE14_14x</vt:lpstr>
      <vt:lpstr>Summary!OSRRefE14_14x</vt:lpstr>
      <vt:lpstr>'300'!OSRRefE14_15x</vt:lpstr>
      <vt:lpstr>'300 &amp; 317'!OSRRefE14_15x</vt:lpstr>
      <vt:lpstr>'315'!OSRRefE14_15x</vt:lpstr>
      <vt:lpstr>'331'!OSRRefE14_15x</vt:lpstr>
      <vt:lpstr>'Div 3'!OSRRefE14_15x</vt:lpstr>
      <vt:lpstr>Summary!OSRRefE14_15x</vt:lpstr>
      <vt:lpstr>'300'!OSRRefE14_16x</vt:lpstr>
      <vt:lpstr>'300 &amp; 317'!OSRRefE14_16x</vt:lpstr>
      <vt:lpstr>'315'!OSRRefE14_16x</vt:lpstr>
      <vt:lpstr>'331'!OSRRefE14_16x</vt:lpstr>
      <vt:lpstr>'Div 3'!OSRRefE14_16x</vt:lpstr>
      <vt:lpstr>Summary!OSRRefE14_16x</vt:lpstr>
      <vt:lpstr>'300'!OSRRefE14_17x</vt:lpstr>
      <vt:lpstr>'300 &amp; 317'!OSRRefE14_17x</vt:lpstr>
      <vt:lpstr>'315'!OSRRefE14_17x</vt:lpstr>
      <vt:lpstr>'331'!OSRRefE14_17x</vt:lpstr>
      <vt:lpstr>'Div 3'!OSRRefE14_17x</vt:lpstr>
      <vt:lpstr>Summary!OSRRefE14_17x</vt:lpstr>
      <vt:lpstr>'300'!OSRRefE14_18x</vt:lpstr>
      <vt:lpstr>'300 &amp; 317'!OSRRefE14_18x</vt:lpstr>
      <vt:lpstr>'315'!OSRRefE14_18x</vt:lpstr>
      <vt:lpstr>'331'!OSRRefE14_18x</vt:lpstr>
      <vt:lpstr>'Div 3'!OSRRefE14_18x</vt:lpstr>
      <vt:lpstr>Summary!OSRRefE14_18x</vt:lpstr>
      <vt:lpstr>'300'!OSRRefE14_19x</vt:lpstr>
      <vt:lpstr>'300 &amp; 317'!OSRRefE14_19x</vt:lpstr>
      <vt:lpstr>'315'!OSRRefE14_19x</vt:lpstr>
      <vt:lpstr>'331'!OSRRefE14_19x</vt:lpstr>
      <vt:lpstr>'Div 3'!OSRRefE14_19x</vt:lpstr>
      <vt:lpstr>Summary!OSRRefE14_19x</vt:lpstr>
      <vt:lpstr>'300'!OSRRefE14_1x</vt:lpstr>
      <vt:lpstr>'300 &amp; 317'!OSRRefE14_1x</vt:lpstr>
      <vt:lpstr>'307'!OSRRefE14_1x</vt:lpstr>
      <vt:lpstr>'308'!OSRRefE14_1x</vt:lpstr>
      <vt:lpstr>'310'!OSRRefE14_1x</vt:lpstr>
      <vt:lpstr>'310 &amp; 491'!OSRRefE14_1x</vt:lpstr>
      <vt:lpstr>'311'!OSRRefE14_1x</vt:lpstr>
      <vt:lpstr>'315'!OSRRefE14_1x</vt:lpstr>
      <vt:lpstr>'317'!OSRRefE14_1x</vt:lpstr>
      <vt:lpstr>'322'!OSRRefE14_1x</vt:lpstr>
      <vt:lpstr>'324'!OSRRefE14_1x</vt:lpstr>
      <vt:lpstr>'325'!OSRRefE14_1x</vt:lpstr>
      <vt:lpstr>'326'!OSRRefE14_1x</vt:lpstr>
      <vt:lpstr>'327'!OSRRefE14_1x</vt:lpstr>
      <vt:lpstr>'330'!OSRRefE14_1x</vt:lpstr>
      <vt:lpstr>'331'!OSRRefE14_1x</vt:lpstr>
      <vt:lpstr>'415'!OSRRefE14_1x</vt:lpstr>
      <vt:lpstr>'433'!OSRRefE14_1x</vt:lpstr>
      <vt:lpstr>'444'!OSRRefE14_1x</vt:lpstr>
      <vt:lpstr>'491'!OSRRefE14_1x</vt:lpstr>
      <vt:lpstr>'492'!OSRRefE14_1x</vt:lpstr>
      <vt:lpstr>'Div 3'!OSRRefE14_1x</vt:lpstr>
      <vt:lpstr>'Div 4'!OSRRefE14_1x</vt:lpstr>
      <vt:lpstr>'Div 6'!OSRRefE14_1x</vt:lpstr>
      <vt:lpstr>Summary!OSRRefE14_1x</vt:lpstr>
      <vt:lpstr>'300'!OSRRefE14_20x</vt:lpstr>
      <vt:lpstr>'300 &amp; 317'!OSRRefE14_20x</vt:lpstr>
      <vt:lpstr>'315'!OSRRefE14_20x</vt:lpstr>
      <vt:lpstr>'331'!OSRRefE14_20x</vt:lpstr>
      <vt:lpstr>'Div 3'!OSRRefE14_20x</vt:lpstr>
      <vt:lpstr>Summary!OSRRefE14_20x</vt:lpstr>
      <vt:lpstr>'300'!OSRRefE14_21x</vt:lpstr>
      <vt:lpstr>'300 &amp; 317'!OSRRefE14_21x</vt:lpstr>
      <vt:lpstr>'Div 3'!OSRRefE14_21x</vt:lpstr>
      <vt:lpstr>Summary!OSRRefE14_21x</vt:lpstr>
      <vt:lpstr>'300'!OSRRefE14_22x</vt:lpstr>
      <vt:lpstr>'300 &amp; 317'!OSRRefE14_22x</vt:lpstr>
      <vt:lpstr>'Div 3'!OSRRefE14_22x</vt:lpstr>
      <vt:lpstr>Summary!OSRRefE14_22x</vt:lpstr>
      <vt:lpstr>'300'!OSRRefE14_23x</vt:lpstr>
      <vt:lpstr>'300 &amp; 317'!OSRRefE14_23x</vt:lpstr>
      <vt:lpstr>'Div 3'!OSRRefE14_23x</vt:lpstr>
      <vt:lpstr>Summary!OSRRefE14_23x</vt:lpstr>
      <vt:lpstr>'300'!OSRRefE14_24x</vt:lpstr>
      <vt:lpstr>'300 &amp; 317'!OSRRefE14_24x</vt:lpstr>
      <vt:lpstr>'Div 3'!OSRRefE14_24x</vt:lpstr>
      <vt:lpstr>Summary!OSRRefE14_24x</vt:lpstr>
      <vt:lpstr>'300'!OSRRefE14_25x</vt:lpstr>
      <vt:lpstr>'300 &amp; 317'!OSRRefE14_25x</vt:lpstr>
      <vt:lpstr>'Div 3'!OSRRefE14_25x</vt:lpstr>
      <vt:lpstr>Summary!OSRRefE14_25x</vt:lpstr>
      <vt:lpstr>'300'!OSRRefE14_26x</vt:lpstr>
      <vt:lpstr>'300 &amp; 317'!OSRRefE14_26x</vt:lpstr>
      <vt:lpstr>'Div 3'!OSRRefE14_26x</vt:lpstr>
      <vt:lpstr>Summary!OSRRefE14_26x</vt:lpstr>
      <vt:lpstr>'300'!OSRRefE14_27x</vt:lpstr>
      <vt:lpstr>'300 &amp; 317'!OSRRefE14_27x</vt:lpstr>
      <vt:lpstr>'Div 3'!OSRRefE14_27x</vt:lpstr>
      <vt:lpstr>Summary!OSRRefE14_27x</vt:lpstr>
      <vt:lpstr>'300'!OSRRefE14_28x</vt:lpstr>
      <vt:lpstr>'300 &amp; 317'!OSRRefE14_28x</vt:lpstr>
      <vt:lpstr>'Div 3'!OSRRefE14_28x</vt:lpstr>
      <vt:lpstr>Summary!OSRRefE14_28x</vt:lpstr>
      <vt:lpstr>'300'!OSRRefE14_29x</vt:lpstr>
      <vt:lpstr>'300 &amp; 317'!OSRRefE14_29x</vt:lpstr>
      <vt:lpstr>'Div 3'!OSRRefE14_29x</vt:lpstr>
      <vt:lpstr>Summary!OSRRefE14_29x</vt:lpstr>
      <vt:lpstr>'300'!OSRRefE14_2x</vt:lpstr>
      <vt:lpstr>'300 &amp; 317'!OSRRefE14_2x</vt:lpstr>
      <vt:lpstr>'307'!OSRRefE14_2x</vt:lpstr>
      <vt:lpstr>'308'!OSRRefE14_2x</vt:lpstr>
      <vt:lpstr>'310'!OSRRefE14_2x</vt:lpstr>
      <vt:lpstr>'310 &amp; 491'!OSRRefE14_2x</vt:lpstr>
      <vt:lpstr>'311'!OSRRefE14_2x</vt:lpstr>
      <vt:lpstr>'315'!OSRRefE14_2x</vt:lpstr>
      <vt:lpstr>'317'!OSRRefE14_2x</vt:lpstr>
      <vt:lpstr>'324'!OSRRefE14_2x</vt:lpstr>
      <vt:lpstr>'326'!OSRRefE14_2x</vt:lpstr>
      <vt:lpstr>'330'!OSRRefE14_2x</vt:lpstr>
      <vt:lpstr>'331'!OSRRefE14_2x</vt:lpstr>
      <vt:lpstr>'415'!OSRRefE14_2x</vt:lpstr>
      <vt:lpstr>'433'!OSRRefE14_2x</vt:lpstr>
      <vt:lpstr>'444'!OSRRefE14_2x</vt:lpstr>
      <vt:lpstr>'491'!OSRRefE14_2x</vt:lpstr>
      <vt:lpstr>'492'!OSRRefE14_2x</vt:lpstr>
      <vt:lpstr>'Div 3'!OSRRefE14_2x</vt:lpstr>
      <vt:lpstr>'Div 4'!OSRRefE14_2x</vt:lpstr>
      <vt:lpstr>'Div 6'!OSRRefE14_2x</vt:lpstr>
      <vt:lpstr>Summary!OSRRefE14_2x</vt:lpstr>
      <vt:lpstr>'300'!OSRRefE14_30x</vt:lpstr>
      <vt:lpstr>'300 &amp; 317'!OSRRefE14_30x</vt:lpstr>
      <vt:lpstr>'Div 3'!OSRRefE14_30x</vt:lpstr>
      <vt:lpstr>Summary!OSRRefE14_30x</vt:lpstr>
      <vt:lpstr>'300 &amp; 317'!OSRRefE14_31x</vt:lpstr>
      <vt:lpstr>'Div 3'!OSRRefE14_31x</vt:lpstr>
      <vt:lpstr>Summary!OSRRefE14_31x</vt:lpstr>
      <vt:lpstr>'300 &amp; 317'!OSRRefE14_32x</vt:lpstr>
      <vt:lpstr>'Div 3'!OSRRefE14_32x</vt:lpstr>
      <vt:lpstr>Summary!OSRRefE14_32x</vt:lpstr>
      <vt:lpstr>'300 &amp; 317'!OSRRefE14_33x</vt:lpstr>
      <vt:lpstr>Summary!OSRRefE14_33x</vt:lpstr>
      <vt:lpstr>'300 &amp; 317'!OSRRefE14_34x</vt:lpstr>
      <vt:lpstr>Summary!OSRRefE14_34x</vt:lpstr>
      <vt:lpstr>'300 &amp; 317'!OSRRefE14_35x</vt:lpstr>
      <vt:lpstr>Summary!OSRRefE14_35x</vt:lpstr>
      <vt:lpstr>'300 &amp; 317'!OSRRefE14_36x</vt:lpstr>
      <vt:lpstr>Summary!OSRRefE14_36x</vt:lpstr>
      <vt:lpstr>'300 &amp; 317'!OSRRefE14_37x</vt:lpstr>
      <vt:lpstr>Summary!OSRRefE14_37x</vt:lpstr>
      <vt:lpstr>'300 &amp; 317'!OSRRefE14_38x</vt:lpstr>
      <vt:lpstr>Summary!OSRRefE14_38x</vt:lpstr>
      <vt:lpstr>Summary!OSRRefE14_39x</vt:lpstr>
      <vt:lpstr>'300'!OSRRefE14_3x</vt:lpstr>
      <vt:lpstr>'300 &amp; 317'!OSRRefE14_3x</vt:lpstr>
      <vt:lpstr>'307'!OSRRefE14_3x</vt:lpstr>
      <vt:lpstr>'308'!OSRRefE14_3x</vt:lpstr>
      <vt:lpstr>'311'!OSRRefE14_3x</vt:lpstr>
      <vt:lpstr>'315'!OSRRefE14_3x</vt:lpstr>
      <vt:lpstr>'317'!OSRRefE14_3x</vt:lpstr>
      <vt:lpstr>'326'!OSRRefE14_3x</vt:lpstr>
      <vt:lpstr>'330'!OSRRefE14_3x</vt:lpstr>
      <vt:lpstr>'331'!OSRRefE14_3x</vt:lpstr>
      <vt:lpstr>'Div 3'!OSRRefE14_3x</vt:lpstr>
      <vt:lpstr>'Div 6'!OSRRefE14_3x</vt:lpstr>
      <vt:lpstr>Summary!OSRRefE14_3x</vt:lpstr>
      <vt:lpstr>Summary!OSRRefE14_40x</vt:lpstr>
      <vt:lpstr>'300'!OSRRefE14_4x</vt:lpstr>
      <vt:lpstr>'300 &amp; 317'!OSRRefE14_4x</vt:lpstr>
      <vt:lpstr>'307'!OSRRefE14_4x</vt:lpstr>
      <vt:lpstr>'308'!OSRRefE14_4x</vt:lpstr>
      <vt:lpstr>'311'!OSRRefE14_4x</vt:lpstr>
      <vt:lpstr>'315'!OSRRefE14_4x</vt:lpstr>
      <vt:lpstr>'317'!OSRRefE14_4x</vt:lpstr>
      <vt:lpstr>'326'!OSRRefE14_4x</vt:lpstr>
      <vt:lpstr>'330'!OSRRefE14_4x</vt:lpstr>
      <vt:lpstr>'331'!OSRRefE14_4x</vt:lpstr>
      <vt:lpstr>'Div 3'!OSRRefE14_4x</vt:lpstr>
      <vt:lpstr>'Div 6'!OSRRefE14_4x</vt:lpstr>
      <vt:lpstr>Summary!OSRRefE14_4x</vt:lpstr>
      <vt:lpstr>'300'!OSRRefE14_5x</vt:lpstr>
      <vt:lpstr>'300 &amp; 317'!OSRRefE14_5x</vt:lpstr>
      <vt:lpstr>'307'!OSRRefE14_5x</vt:lpstr>
      <vt:lpstr>'308'!OSRRefE14_5x</vt:lpstr>
      <vt:lpstr>'311'!OSRRefE14_5x</vt:lpstr>
      <vt:lpstr>'315'!OSRRefE14_5x</vt:lpstr>
      <vt:lpstr>'317'!OSRRefE14_5x</vt:lpstr>
      <vt:lpstr>'330'!OSRRefE14_5x</vt:lpstr>
      <vt:lpstr>'331'!OSRRefE14_5x</vt:lpstr>
      <vt:lpstr>'Div 3'!OSRRefE14_5x</vt:lpstr>
      <vt:lpstr>'Div 6'!OSRRefE14_5x</vt:lpstr>
      <vt:lpstr>Summary!OSRRefE14_5x</vt:lpstr>
      <vt:lpstr>'300'!OSRRefE14_6x</vt:lpstr>
      <vt:lpstr>'300 &amp; 317'!OSRRefE14_6x</vt:lpstr>
      <vt:lpstr>'307'!OSRRefE14_6x</vt:lpstr>
      <vt:lpstr>'308'!OSRRefE14_6x</vt:lpstr>
      <vt:lpstr>'311'!OSRRefE14_6x</vt:lpstr>
      <vt:lpstr>'315'!OSRRefE14_6x</vt:lpstr>
      <vt:lpstr>'317'!OSRRefE14_6x</vt:lpstr>
      <vt:lpstr>'330'!OSRRefE14_6x</vt:lpstr>
      <vt:lpstr>'331'!OSRRefE14_6x</vt:lpstr>
      <vt:lpstr>'Div 3'!OSRRefE14_6x</vt:lpstr>
      <vt:lpstr>'Div 6'!OSRRefE14_6x</vt:lpstr>
      <vt:lpstr>Summary!OSRRefE14_6x</vt:lpstr>
      <vt:lpstr>'300'!OSRRefE14_7x</vt:lpstr>
      <vt:lpstr>'300 &amp; 317'!OSRRefE14_7x</vt:lpstr>
      <vt:lpstr>'307'!OSRRefE14_7x</vt:lpstr>
      <vt:lpstr>'308'!OSRRefE14_7x</vt:lpstr>
      <vt:lpstr>'311'!OSRRefE14_7x</vt:lpstr>
      <vt:lpstr>'315'!OSRRefE14_7x</vt:lpstr>
      <vt:lpstr>'317'!OSRRefE14_7x</vt:lpstr>
      <vt:lpstr>'330'!OSRRefE14_7x</vt:lpstr>
      <vt:lpstr>'331'!OSRRefE14_7x</vt:lpstr>
      <vt:lpstr>'Div 3'!OSRRefE14_7x</vt:lpstr>
      <vt:lpstr>'Div 6'!OSRRefE14_7x</vt:lpstr>
      <vt:lpstr>Summary!OSRRefE14_7x</vt:lpstr>
      <vt:lpstr>'300'!OSRRefE14_8x</vt:lpstr>
      <vt:lpstr>'300 &amp; 317'!OSRRefE14_8x</vt:lpstr>
      <vt:lpstr>'308'!OSRRefE14_8x</vt:lpstr>
      <vt:lpstr>'311'!OSRRefE14_8x</vt:lpstr>
      <vt:lpstr>'315'!OSRRefE14_8x</vt:lpstr>
      <vt:lpstr>'317'!OSRRefE14_8x</vt:lpstr>
      <vt:lpstr>'331'!OSRRefE14_8x</vt:lpstr>
      <vt:lpstr>'Div 3'!OSRRefE14_8x</vt:lpstr>
      <vt:lpstr>'Div 6'!OSRRefE14_8x</vt:lpstr>
      <vt:lpstr>Summary!OSRRefE14_8x</vt:lpstr>
      <vt:lpstr>'300'!OSRRefE14_9x</vt:lpstr>
      <vt:lpstr>'300 &amp; 317'!OSRRefE14_9x</vt:lpstr>
      <vt:lpstr>'308'!OSRRefE14_9x</vt:lpstr>
      <vt:lpstr>'311'!OSRRefE14_9x</vt:lpstr>
      <vt:lpstr>'315'!OSRRefE14_9x</vt:lpstr>
      <vt:lpstr>'317'!OSRRefE14_9x</vt:lpstr>
      <vt:lpstr>'331'!OSRRefE14_9x</vt:lpstr>
      <vt:lpstr>'Div 3'!OSRRefE14_9x</vt:lpstr>
      <vt:lpstr>'Div 6'!OSRRefE14_9x</vt:lpstr>
      <vt:lpstr>Summary!OSRRefE14_9x</vt:lpstr>
      <vt:lpstr>'300'!OSRRefE14x_0</vt:lpstr>
      <vt:lpstr>'300 &amp; 317'!OSRRefE14x_0</vt:lpstr>
      <vt:lpstr>'307'!OSRRefE14x_0</vt:lpstr>
      <vt:lpstr>'308'!OSRRefE14x_0</vt:lpstr>
      <vt:lpstr>'309'!OSRRefE14x_0</vt:lpstr>
      <vt:lpstr>'310'!OSRRefE14x_0</vt:lpstr>
      <vt:lpstr>'310 &amp; 491'!OSRRefE14x_0</vt:lpstr>
      <vt:lpstr>'311'!OSRRefE14x_0</vt:lpstr>
      <vt:lpstr>'313'!OSRRefE14x_0</vt:lpstr>
      <vt:lpstr>'315'!OSRRefE14x_0</vt:lpstr>
      <vt:lpstr>'317'!OSRRefE14x_0</vt:lpstr>
      <vt:lpstr>'321'!OSRRefE14x_0</vt:lpstr>
      <vt:lpstr>'322'!OSRRefE14x_0</vt:lpstr>
      <vt:lpstr>'324'!OSRRefE14x_0</vt:lpstr>
      <vt:lpstr>'325'!OSRRefE14x_0</vt:lpstr>
      <vt:lpstr>'326'!OSRRefE14x_0</vt:lpstr>
      <vt:lpstr>'327'!OSRRefE14x_0</vt:lpstr>
      <vt:lpstr>'330'!OSRRefE14x_0</vt:lpstr>
      <vt:lpstr>'331'!OSRRefE14x_0</vt:lpstr>
      <vt:lpstr>'405'!OSRRefE14x_0</vt:lpstr>
      <vt:lpstr>'412'!OSRRefE14x_0</vt:lpstr>
      <vt:lpstr>'413'!OSRRefE14x_0</vt:lpstr>
      <vt:lpstr>'414'!OSRRefE14x_0</vt:lpstr>
      <vt:lpstr>'415'!OSRRefE14x_0</vt:lpstr>
      <vt:lpstr>'418'!OSRRefE14x_0</vt:lpstr>
      <vt:lpstr>'433'!OSRRefE14x_0</vt:lpstr>
      <vt:lpstr>'444'!OSRRefE14x_0</vt:lpstr>
      <vt:lpstr>'450'!OSRRefE14x_0</vt:lpstr>
      <vt:lpstr>'491'!OSRRefE14x_0</vt:lpstr>
      <vt:lpstr>'492'!OSRRefE14x_0</vt:lpstr>
      <vt:lpstr>'Div 3'!OSRRefE14x_0</vt:lpstr>
      <vt:lpstr>'Div 4'!OSRRefE14x_0</vt:lpstr>
      <vt:lpstr>'Div 6'!OSRRefE14x_0</vt:lpstr>
      <vt:lpstr>Summary!OSRRefE14x_0</vt:lpstr>
      <vt:lpstr>'300'!OSRRefE14x_1</vt:lpstr>
      <vt:lpstr>'300 &amp; 317'!OSRRefE14x_1</vt:lpstr>
      <vt:lpstr>'307'!OSRRefE14x_1</vt:lpstr>
      <vt:lpstr>'308'!OSRRefE14x_1</vt:lpstr>
      <vt:lpstr>'309'!OSRRefE14x_1</vt:lpstr>
      <vt:lpstr>'310'!OSRRefE14x_1</vt:lpstr>
      <vt:lpstr>'310 &amp; 491'!OSRRefE14x_1</vt:lpstr>
      <vt:lpstr>'311'!OSRRefE14x_1</vt:lpstr>
      <vt:lpstr>'313'!OSRRefE14x_1</vt:lpstr>
      <vt:lpstr>'315'!OSRRefE14x_1</vt:lpstr>
      <vt:lpstr>'317'!OSRRefE14x_1</vt:lpstr>
      <vt:lpstr>'321'!OSRRefE14x_1</vt:lpstr>
      <vt:lpstr>'322'!OSRRefE14x_1</vt:lpstr>
      <vt:lpstr>'324'!OSRRefE14x_1</vt:lpstr>
      <vt:lpstr>'325'!OSRRefE14x_1</vt:lpstr>
      <vt:lpstr>'326'!OSRRefE14x_1</vt:lpstr>
      <vt:lpstr>'327'!OSRRefE14x_1</vt:lpstr>
      <vt:lpstr>'330'!OSRRefE14x_1</vt:lpstr>
      <vt:lpstr>'331'!OSRRefE14x_1</vt:lpstr>
      <vt:lpstr>'405'!OSRRefE14x_1</vt:lpstr>
      <vt:lpstr>'412'!OSRRefE14x_1</vt:lpstr>
      <vt:lpstr>'413'!OSRRefE14x_1</vt:lpstr>
      <vt:lpstr>'414'!OSRRefE14x_1</vt:lpstr>
      <vt:lpstr>'415'!OSRRefE14x_1</vt:lpstr>
      <vt:lpstr>'418'!OSRRefE14x_1</vt:lpstr>
      <vt:lpstr>'433'!OSRRefE14x_1</vt:lpstr>
      <vt:lpstr>'444'!OSRRefE14x_1</vt:lpstr>
      <vt:lpstr>'450'!OSRRefE14x_1</vt:lpstr>
      <vt:lpstr>'491'!OSRRefE14x_1</vt:lpstr>
      <vt:lpstr>'492'!OSRRefE14x_1</vt:lpstr>
      <vt:lpstr>'Div 3'!OSRRefE14x_1</vt:lpstr>
      <vt:lpstr>'Div 4'!OSRRefE14x_1</vt:lpstr>
      <vt:lpstr>'Div 6'!OSRRefE14x_1</vt:lpstr>
      <vt:lpstr>Summary!OSRRefE14x_1</vt:lpstr>
      <vt:lpstr>'300'!OSRRefE14x_2</vt:lpstr>
      <vt:lpstr>'300 &amp; 317'!OSRRefE14x_2</vt:lpstr>
      <vt:lpstr>'307'!OSRRefE14x_2</vt:lpstr>
      <vt:lpstr>'308'!OSRRefE14x_2</vt:lpstr>
      <vt:lpstr>'309'!OSRRefE14x_2</vt:lpstr>
      <vt:lpstr>'310'!OSRRefE14x_2</vt:lpstr>
      <vt:lpstr>'310 &amp; 491'!OSRRefE14x_2</vt:lpstr>
      <vt:lpstr>'311'!OSRRefE14x_2</vt:lpstr>
      <vt:lpstr>'313'!OSRRefE14x_2</vt:lpstr>
      <vt:lpstr>'315'!OSRRefE14x_2</vt:lpstr>
      <vt:lpstr>'317'!OSRRefE14x_2</vt:lpstr>
      <vt:lpstr>'321'!OSRRefE14x_2</vt:lpstr>
      <vt:lpstr>'322'!OSRRefE14x_2</vt:lpstr>
      <vt:lpstr>'324'!OSRRefE14x_2</vt:lpstr>
      <vt:lpstr>'325'!OSRRefE14x_2</vt:lpstr>
      <vt:lpstr>'326'!OSRRefE14x_2</vt:lpstr>
      <vt:lpstr>'327'!OSRRefE14x_2</vt:lpstr>
      <vt:lpstr>'330'!OSRRefE14x_2</vt:lpstr>
      <vt:lpstr>'331'!OSRRefE14x_2</vt:lpstr>
      <vt:lpstr>'405'!OSRRefE14x_2</vt:lpstr>
      <vt:lpstr>'412'!OSRRefE14x_2</vt:lpstr>
      <vt:lpstr>'413'!OSRRefE14x_2</vt:lpstr>
      <vt:lpstr>'414'!OSRRefE14x_2</vt:lpstr>
      <vt:lpstr>'415'!OSRRefE14x_2</vt:lpstr>
      <vt:lpstr>'418'!OSRRefE14x_2</vt:lpstr>
      <vt:lpstr>'433'!OSRRefE14x_2</vt:lpstr>
      <vt:lpstr>'444'!OSRRefE14x_2</vt:lpstr>
      <vt:lpstr>'450'!OSRRefE14x_2</vt:lpstr>
      <vt:lpstr>'491'!OSRRefE14x_2</vt:lpstr>
      <vt:lpstr>'492'!OSRRefE14x_2</vt:lpstr>
      <vt:lpstr>'Div 3'!OSRRefE14x_2</vt:lpstr>
      <vt:lpstr>'Div 4'!OSRRefE14x_2</vt:lpstr>
      <vt:lpstr>'Div 6'!OSRRefE14x_2</vt:lpstr>
      <vt:lpstr>Summary!OSRRefE14x_2</vt:lpstr>
      <vt:lpstr>'300'!OSRRefE14x_3</vt:lpstr>
      <vt:lpstr>'300 &amp; 317'!OSRRefE14x_3</vt:lpstr>
      <vt:lpstr>'307'!OSRRefE14x_3</vt:lpstr>
      <vt:lpstr>'308'!OSRRefE14x_3</vt:lpstr>
      <vt:lpstr>'309'!OSRRefE14x_3</vt:lpstr>
      <vt:lpstr>'310'!OSRRefE14x_3</vt:lpstr>
      <vt:lpstr>'310 &amp; 491'!OSRRefE14x_3</vt:lpstr>
      <vt:lpstr>'311'!OSRRefE14x_3</vt:lpstr>
      <vt:lpstr>'313'!OSRRefE14x_3</vt:lpstr>
      <vt:lpstr>'315'!OSRRefE14x_3</vt:lpstr>
      <vt:lpstr>'317'!OSRRefE14x_3</vt:lpstr>
      <vt:lpstr>'321'!OSRRefE14x_3</vt:lpstr>
      <vt:lpstr>'322'!OSRRefE14x_3</vt:lpstr>
      <vt:lpstr>'324'!OSRRefE14x_3</vt:lpstr>
      <vt:lpstr>'325'!OSRRefE14x_3</vt:lpstr>
      <vt:lpstr>'326'!OSRRefE14x_3</vt:lpstr>
      <vt:lpstr>'327'!OSRRefE14x_3</vt:lpstr>
      <vt:lpstr>'330'!OSRRefE14x_3</vt:lpstr>
      <vt:lpstr>'331'!OSRRefE14x_3</vt:lpstr>
      <vt:lpstr>'405'!OSRRefE14x_3</vt:lpstr>
      <vt:lpstr>'412'!OSRRefE14x_3</vt:lpstr>
      <vt:lpstr>'413'!OSRRefE14x_3</vt:lpstr>
      <vt:lpstr>'414'!OSRRefE14x_3</vt:lpstr>
      <vt:lpstr>'415'!OSRRefE14x_3</vt:lpstr>
      <vt:lpstr>'418'!OSRRefE14x_3</vt:lpstr>
      <vt:lpstr>'433'!OSRRefE14x_3</vt:lpstr>
      <vt:lpstr>'444'!OSRRefE14x_3</vt:lpstr>
      <vt:lpstr>'450'!OSRRefE14x_3</vt:lpstr>
      <vt:lpstr>'491'!OSRRefE14x_3</vt:lpstr>
      <vt:lpstr>'492'!OSRRefE14x_3</vt:lpstr>
      <vt:lpstr>'Div 3'!OSRRefE14x_3</vt:lpstr>
      <vt:lpstr>'Div 4'!OSRRefE14x_3</vt:lpstr>
      <vt:lpstr>'Div 6'!OSRRefE14x_3</vt:lpstr>
      <vt:lpstr>Summary!OSRRefE14x_3</vt:lpstr>
      <vt:lpstr>'300'!OSRRefE14x_4</vt:lpstr>
      <vt:lpstr>'300 &amp; 317'!OSRRefE14x_4</vt:lpstr>
      <vt:lpstr>'307'!OSRRefE14x_4</vt:lpstr>
      <vt:lpstr>'308'!OSRRefE14x_4</vt:lpstr>
      <vt:lpstr>'309'!OSRRefE14x_4</vt:lpstr>
      <vt:lpstr>'310'!OSRRefE14x_4</vt:lpstr>
      <vt:lpstr>'310 &amp; 491'!OSRRefE14x_4</vt:lpstr>
      <vt:lpstr>'311'!OSRRefE14x_4</vt:lpstr>
      <vt:lpstr>'313'!OSRRefE14x_4</vt:lpstr>
      <vt:lpstr>'315'!OSRRefE14x_4</vt:lpstr>
      <vt:lpstr>'317'!OSRRefE14x_4</vt:lpstr>
      <vt:lpstr>'321'!OSRRefE14x_4</vt:lpstr>
      <vt:lpstr>'322'!OSRRefE14x_4</vt:lpstr>
      <vt:lpstr>'324'!OSRRefE14x_4</vt:lpstr>
      <vt:lpstr>'325'!OSRRefE14x_4</vt:lpstr>
      <vt:lpstr>'326'!OSRRefE14x_4</vt:lpstr>
      <vt:lpstr>'327'!OSRRefE14x_4</vt:lpstr>
      <vt:lpstr>'330'!OSRRefE14x_4</vt:lpstr>
      <vt:lpstr>'331'!OSRRefE14x_4</vt:lpstr>
      <vt:lpstr>'405'!OSRRefE14x_4</vt:lpstr>
      <vt:lpstr>'412'!OSRRefE14x_4</vt:lpstr>
      <vt:lpstr>'413'!OSRRefE14x_4</vt:lpstr>
      <vt:lpstr>'414'!OSRRefE14x_4</vt:lpstr>
      <vt:lpstr>'415'!OSRRefE14x_4</vt:lpstr>
      <vt:lpstr>'418'!OSRRefE14x_4</vt:lpstr>
      <vt:lpstr>'433'!OSRRefE14x_4</vt:lpstr>
      <vt:lpstr>'444'!OSRRefE14x_4</vt:lpstr>
      <vt:lpstr>'450'!OSRRefE14x_4</vt:lpstr>
      <vt:lpstr>'491'!OSRRefE14x_4</vt:lpstr>
      <vt:lpstr>'492'!OSRRefE14x_4</vt:lpstr>
      <vt:lpstr>'Div 3'!OSRRefE14x_4</vt:lpstr>
      <vt:lpstr>'Div 4'!OSRRefE14x_4</vt:lpstr>
      <vt:lpstr>'Div 6'!OSRRefE14x_4</vt:lpstr>
      <vt:lpstr>Summary!OSRRefE14x_4</vt:lpstr>
      <vt:lpstr>'300'!OSRRefE14x_5</vt:lpstr>
      <vt:lpstr>'300 &amp; 317'!OSRRefE14x_5</vt:lpstr>
      <vt:lpstr>'307'!OSRRefE14x_5</vt:lpstr>
      <vt:lpstr>'308'!OSRRefE14x_5</vt:lpstr>
      <vt:lpstr>'309'!OSRRefE14x_5</vt:lpstr>
      <vt:lpstr>'310'!OSRRefE14x_5</vt:lpstr>
      <vt:lpstr>'310 &amp; 491'!OSRRefE14x_5</vt:lpstr>
      <vt:lpstr>'311'!OSRRefE14x_5</vt:lpstr>
      <vt:lpstr>'313'!OSRRefE14x_5</vt:lpstr>
      <vt:lpstr>'315'!OSRRefE14x_5</vt:lpstr>
      <vt:lpstr>'317'!OSRRefE14x_5</vt:lpstr>
      <vt:lpstr>'321'!OSRRefE14x_5</vt:lpstr>
      <vt:lpstr>'322'!OSRRefE14x_5</vt:lpstr>
      <vt:lpstr>'324'!OSRRefE14x_5</vt:lpstr>
      <vt:lpstr>'325'!OSRRefE14x_5</vt:lpstr>
      <vt:lpstr>'326'!OSRRefE14x_5</vt:lpstr>
      <vt:lpstr>'327'!OSRRefE14x_5</vt:lpstr>
      <vt:lpstr>'330'!OSRRefE14x_5</vt:lpstr>
      <vt:lpstr>'331'!OSRRefE14x_5</vt:lpstr>
      <vt:lpstr>'405'!OSRRefE14x_5</vt:lpstr>
      <vt:lpstr>'412'!OSRRefE14x_5</vt:lpstr>
      <vt:lpstr>'413'!OSRRefE14x_5</vt:lpstr>
      <vt:lpstr>'414'!OSRRefE14x_5</vt:lpstr>
      <vt:lpstr>'415'!OSRRefE14x_5</vt:lpstr>
      <vt:lpstr>'418'!OSRRefE14x_5</vt:lpstr>
      <vt:lpstr>'433'!OSRRefE14x_5</vt:lpstr>
      <vt:lpstr>'444'!OSRRefE14x_5</vt:lpstr>
      <vt:lpstr>'450'!OSRRefE14x_5</vt:lpstr>
      <vt:lpstr>'491'!OSRRefE14x_5</vt:lpstr>
      <vt:lpstr>'492'!OSRRefE14x_5</vt:lpstr>
      <vt:lpstr>'Div 3'!OSRRefE14x_5</vt:lpstr>
      <vt:lpstr>'Div 4'!OSRRefE14x_5</vt:lpstr>
      <vt:lpstr>'Div 6'!OSRRefE14x_5</vt:lpstr>
      <vt:lpstr>Summary!OSRRefE14x_5</vt:lpstr>
      <vt:lpstr>'300'!OSRRefE14x_6</vt:lpstr>
      <vt:lpstr>'300 &amp; 317'!OSRRefE14x_6</vt:lpstr>
      <vt:lpstr>'307'!OSRRefE14x_6</vt:lpstr>
      <vt:lpstr>'308'!OSRRefE14x_6</vt:lpstr>
      <vt:lpstr>'309'!OSRRefE14x_6</vt:lpstr>
      <vt:lpstr>'310'!OSRRefE14x_6</vt:lpstr>
      <vt:lpstr>'310 &amp; 491'!OSRRefE14x_6</vt:lpstr>
      <vt:lpstr>'311'!OSRRefE14x_6</vt:lpstr>
      <vt:lpstr>'313'!OSRRefE14x_6</vt:lpstr>
      <vt:lpstr>'315'!OSRRefE14x_6</vt:lpstr>
      <vt:lpstr>'317'!OSRRefE14x_6</vt:lpstr>
      <vt:lpstr>'321'!OSRRefE14x_6</vt:lpstr>
      <vt:lpstr>'322'!OSRRefE14x_6</vt:lpstr>
      <vt:lpstr>'324'!OSRRefE14x_6</vt:lpstr>
      <vt:lpstr>'325'!OSRRefE14x_6</vt:lpstr>
      <vt:lpstr>'326'!OSRRefE14x_6</vt:lpstr>
      <vt:lpstr>'327'!OSRRefE14x_6</vt:lpstr>
      <vt:lpstr>'330'!OSRRefE14x_6</vt:lpstr>
      <vt:lpstr>'331'!OSRRefE14x_6</vt:lpstr>
      <vt:lpstr>'405'!OSRRefE14x_6</vt:lpstr>
      <vt:lpstr>'412'!OSRRefE14x_6</vt:lpstr>
      <vt:lpstr>'413'!OSRRefE14x_6</vt:lpstr>
      <vt:lpstr>'414'!OSRRefE14x_6</vt:lpstr>
      <vt:lpstr>'415'!OSRRefE14x_6</vt:lpstr>
      <vt:lpstr>'418'!OSRRefE14x_6</vt:lpstr>
      <vt:lpstr>'433'!OSRRefE14x_6</vt:lpstr>
      <vt:lpstr>'444'!OSRRefE14x_6</vt:lpstr>
      <vt:lpstr>'450'!OSRRefE14x_6</vt:lpstr>
      <vt:lpstr>'491'!OSRRefE14x_6</vt:lpstr>
      <vt:lpstr>'492'!OSRRefE14x_6</vt:lpstr>
      <vt:lpstr>'Div 3'!OSRRefE14x_6</vt:lpstr>
      <vt:lpstr>'Div 4'!OSRRefE14x_6</vt:lpstr>
      <vt:lpstr>'Div 6'!OSRRefE14x_6</vt:lpstr>
      <vt:lpstr>Summary!OSRRefE14x_6</vt:lpstr>
      <vt:lpstr>'300'!OSRRefE14x_7</vt:lpstr>
      <vt:lpstr>'300 &amp; 317'!OSRRefE14x_7</vt:lpstr>
      <vt:lpstr>'307'!OSRRefE14x_7</vt:lpstr>
      <vt:lpstr>'308'!OSRRefE14x_7</vt:lpstr>
      <vt:lpstr>'309'!OSRRefE14x_7</vt:lpstr>
      <vt:lpstr>'310'!OSRRefE14x_7</vt:lpstr>
      <vt:lpstr>'310 &amp; 491'!OSRRefE14x_7</vt:lpstr>
      <vt:lpstr>'311'!OSRRefE14x_7</vt:lpstr>
      <vt:lpstr>'313'!OSRRefE14x_7</vt:lpstr>
      <vt:lpstr>'315'!OSRRefE14x_7</vt:lpstr>
      <vt:lpstr>'317'!OSRRefE14x_7</vt:lpstr>
      <vt:lpstr>'321'!OSRRefE14x_7</vt:lpstr>
      <vt:lpstr>'322'!OSRRefE14x_7</vt:lpstr>
      <vt:lpstr>'324'!OSRRefE14x_7</vt:lpstr>
      <vt:lpstr>'325'!OSRRefE14x_7</vt:lpstr>
      <vt:lpstr>'326'!OSRRefE14x_7</vt:lpstr>
      <vt:lpstr>'327'!OSRRefE14x_7</vt:lpstr>
      <vt:lpstr>'330'!OSRRefE14x_7</vt:lpstr>
      <vt:lpstr>'331'!OSRRefE14x_7</vt:lpstr>
      <vt:lpstr>'405'!OSRRefE14x_7</vt:lpstr>
      <vt:lpstr>'412'!OSRRefE14x_7</vt:lpstr>
      <vt:lpstr>'413'!OSRRefE14x_7</vt:lpstr>
      <vt:lpstr>'414'!OSRRefE14x_7</vt:lpstr>
      <vt:lpstr>'415'!OSRRefE14x_7</vt:lpstr>
      <vt:lpstr>'418'!OSRRefE14x_7</vt:lpstr>
      <vt:lpstr>'433'!OSRRefE14x_7</vt:lpstr>
      <vt:lpstr>'444'!OSRRefE14x_7</vt:lpstr>
      <vt:lpstr>'450'!OSRRefE14x_7</vt:lpstr>
      <vt:lpstr>'491'!OSRRefE14x_7</vt:lpstr>
      <vt:lpstr>'492'!OSRRefE14x_7</vt:lpstr>
      <vt:lpstr>'Div 3'!OSRRefE14x_7</vt:lpstr>
      <vt:lpstr>'Div 4'!OSRRefE14x_7</vt:lpstr>
      <vt:lpstr>'Div 6'!OSRRefE14x_7</vt:lpstr>
      <vt:lpstr>Summary!OSRRefE14x_7</vt:lpstr>
      <vt:lpstr>'200'!OSRRefE20_0x</vt:lpstr>
      <vt:lpstr>'201'!OSRRefE20_0x</vt:lpstr>
      <vt:lpstr>'202'!OSRRefE20_0x</vt:lpstr>
      <vt:lpstr>'203'!OSRRefE20_0x</vt:lpstr>
      <vt:lpstr>'204'!OSRRefE20_0x</vt:lpstr>
      <vt:lpstr>'205'!OSRRefE20_0x</vt:lpstr>
      <vt:lpstr>'206'!OSRRefE20_0x</vt:lpstr>
      <vt:lpstr>'300'!OSRRefE20_0x</vt:lpstr>
      <vt:lpstr>'300 &amp; 317'!OSRRefE20_0x</vt:lpstr>
      <vt:lpstr>'301'!OSRRefE20_0x</vt:lpstr>
      <vt:lpstr>'307'!OSRRefE20_0x</vt:lpstr>
      <vt:lpstr>'308'!OSRRefE20_0x</vt:lpstr>
      <vt:lpstr>'309'!OSRRefE20_0x</vt:lpstr>
      <vt:lpstr>'310'!OSRRefE20_0x</vt:lpstr>
      <vt:lpstr>'310 &amp; 491'!OSRRefE20_0x</vt:lpstr>
      <vt:lpstr>'311'!OSRRefE20_0x</vt:lpstr>
      <vt:lpstr>'313'!OSRRefE20_0x</vt:lpstr>
      <vt:lpstr>'315'!OSRRefE20_0x</vt:lpstr>
      <vt:lpstr>'316'!OSRRefE20_0x</vt:lpstr>
      <vt:lpstr>'317'!OSRRefE20_0x</vt:lpstr>
      <vt:lpstr>'321'!OSRRefE20_0x</vt:lpstr>
      <vt:lpstr>'322'!OSRRefE20_0x</vt:lpstr>
      <vt:lpstr>'324'!OSRRefE20_0x</vt:lpstr>
      <vt:lpstr>'325'!OSRRefE20_0x</vt:lpstr>
      <vt:lpstr>'326'!OSRRefE20_0x</vt:lpstr>
      <vt:lpstr>'327'!OSRRefE20_0x</vt:lpstr>
      <vt:lpstr>'330'!OSRRefE20_0x</vt:lpstr>
      <vt:lpstr>'331'!OSRRefE20_0x</vt:lpstr>
      <vt:lpstr>'332'!OSRRefE20_0x</vt:lpstr>
      <vt:lpstr>'405'!OSRRefE20_0x</vt:lpstr>
      <vt:lpstr>'406'!OSRRefE20_0x</vt:lpstr>
      <vt:lpstr>'411'!OSRRefE20_0x</vt:lpstr>
      <vt:lpstr>'412'!OSRRefE20_0x</vt:lpstr>
      <vt:lpstr>'413'!OSRRefE20_0x</vt:lpstr>
      <vt:lpstr>'414'!OSRRefE20_0x</vt:lpstr>
      <vt:lpstr>'415'!OSRRefE20_0x</vt:lpstr>
      <vt:lpstr>'418'!OSRRefE20_0x</vt:lpstr>
      <vt:lpstr>'423'!OSRRefE20_0x</vt:lpstr>
      <vt:lpstr>'424'!OSRRefE20_0x</vt:lpstr>
      <vt:lpstr>'425'!OSRRefE20_0x</vt:lpstr>
      <vt:lpstr>'430'!OSRRefE20_0x</vt:lpstr>
      <vt:lpstr>'433'!OSRRefE20_0x</vt:lpstr>
      <vt:lpstr>'435'!OSRRefE20_0x</vt:lpstr>
      <vt:lpstr>'444'!OSRRefE20_0x</vt:lpstr>
      <vt:lpstr>'450'!OSRRefE20_0x</vt:lpstr>
      <vt:lpstr>'491'!OSRRefE20_0x</vt:lpstr>
      <vt:lpstr>'492'!OSRRefE20_0x</vt:lpstr>
      <vt:lpstr>'501'!OSRRefE20_0x</vt:lpstr>
      <vt:lpstr>'Div 2'!OSRRefE20_0x</vt:lpstr>
      <vt:lpstr>'Div 3'!OSRRefE20_0x</vt:lpstr>
      <vt:lpstr>'Div 4'!OSRRefE20_0x</vt:lpstr>
      <vt:lpstr>'Div 5'!OSRRefE20_0x</vt:lpstr>
      <vt:lpstr>'Div 6'!OSRRefE20_0x</vt:lpstr>
      <vt:lpstr>Summary!OSRRefE20_0x</vt:lpstr>
      <vt:lpstr>'201'!OSRRefE20_10x</vt:lpstr>
      <vt:lpstr>'202'!OSRRefE20_10x</vt:lpstr>
      <vt:lpstr>'203'!OSRRefE20_10x</vt:lpstr>
      <vt:lpstr>'300'!OSRRefE20_10x</vt:lpstr>
      <vt:lpstr>'300 &amp; 317'!OSRRefE20_10x</vt:lpstr>
      <vt:lpstr>'301'!OSRRefE20_10x</vt:lpstr>
      <vt:lpstr>'307'!OSRRefE20_10x</vt:lpstr>
      <vt:lpstr>'308'!OSRRefE20_10x</vt:lpstr>
      <vt:lpstr>'310'!OSRRefE20_10x</vt:lpstr>
      <vt:lpstr>'310 &amp; 491'!OSRRefE20_10x</vt:lpstr>
      <vt:lpstr>'311'!OSRRefE20_10x</vt:lpstr>
      <vt:lpstr>'315'!OSRRefE20_10x</vt:lpstr>
      <vt:lpstr>'316'!OSRRefE20_10x</vt:lpstr>
      <vt:lpstr>'317'!OSRRefE20_10x</vt:lpstr>
      <vt:lpstr>'321'!OSRRefE20_10x</vt:lpstr>
      <vt:lpstr>'322'!OSRRefE20_10x</vt:lpstr>
      <vt:lpstr>'325'!OSRRefE20_10x</vt:lpstr>
      <vt:lpstr>'326'!OSRRefE20_10x</vt:lpstr>
      <vt:lpstr>'330'!OSRRefE20_10x</vt:lpstr>
      <vt:lpstr>'331'!OSRRefE20_10x</vt:lpstr>
      <vt:lpstr>'332'!OSRRefE20_10x</vt:lpstr>
      <vt:lpstr>'405'!OSRRefE20_10x</vt:lpstr>
      <vt:lpstr>'411'!OSRRefE20_10x</vt:lpstr>
      <vt:lpstr>'412'!OSRRefE20_10x</vt:lpstr>
      <vt:lpstr>'413'!OSRRefE20_10x</vt:lpstr>
      <vt:lpstr>'414'!OSRRefE20_10x</vt:lpstr>
      <vt:lpstr>'415'!OSRRefE20_10x</vt:lpstr>
      <vt:lpstr>'418'!OSRRefE20_10x</vt:lpstr>
      <vt:lpstr>'433'!OSRRefE20_10x</vt:lpstr>
      <vt:lpstr>'444'!OSRRefE20_10x</vt:lpstr>
      <vt:lpstr>'450'!OSRRefE20_10x</vt:lpstr>
      <vt:lpstr>'491'!OSRRefE20_10x</vt:lpstr>
      <vt:lpstr>'492'!OSRRefE20_10x</vt:lpstr>
      <vt:lpstr>'501'!OSRRefE20_10x</vt:lpstr>
      <vt:lpstr>'Div 2'!OSRRefE20_10x</vt:lpstr>
      <vt:lpstr>'Div 3'!OSRRefE20_10x</vt:lpstr>
      <vt:lpstr>'Div 4'!OSRRefE20_10x</vt:lpstr>
      <vt:lpstr>'Div 5'!OSRRefE20_10x</vt:lpstr>
      <vt:lpstr>'Div 6'!OSRRefE20_10x</vt:lpstr>
      <vt:lpstr>Summary!OSRRefE20_10x</vt:lpstr>
      <vt:lpstr>'201'!OSRRefE20_11x</vt:lpstr>
      <vt:lpstr>'202'!OSRRefE20_11x</vt:lpstr>
      <vt:lpstr>'203'!OSRRefE20_11x</vt:lpstr>
      <vt:lpstr>'300'!OSRRefE20_11x</vt:lpstr>
      <vt:lpstr>'300 &amp; 317'!OSRRefE20_11x</vt:lpstr>
      <vt:lpstr>'301'!OSRRefE20_11x</vt:lpstr>
      <vt:lpstr>'307'!OSRRefE20_11x</vt:lpstr>
      <vt:lpstr>'308'!OSRRefE20_11x</vt:lpstr>
      <vt:lpstr>'310'!OSRRefE20_11x</vt:lpstr>
      <vt:lpstr>'310 &amp; 491'!OSRRefE20_11x</vt:lpstr>
      <vt:lpstr>'311'!OSRRefE20_11x</vt:lpstr>
      <vt:lpstr>'315'!OSRRefE20_11x</vt:lpstr>
      <vt:lpstr>'316'!OSRRefE20_11x</vt:lpstr>
      <vt:lpstr>'317'!OSRRefE20_11x</vt:lpstr>
      <vt:lpstr>'321'!OSRRefE20_11x</vt:lpstr>
      <vt:lpstr>'325'!OSRRefE20_11x</vt:lpstr>
      <vt:lpstr>'326'!OSRRefE20_11x</vt:lpstr>
      <vt:lpstr>'330'!OSRRefE20_11x</vt:lpstr>
      <vt:lpstr>'331'!OSRRefE20_11x</vt:lpstr>
      <vt:lpstr>'332'!OSRRefE20_11x</vt:lpstr>
      <vt:lpstr>'405'!OSRRefE20_11x</vt:lpstr>
      <vt:lpstr>'411'!OSRRefE20_11x</vt:lpstr>
      <vt:lpstr>'412'!OSRRefE20_11x</vt:lpstr>
      <vt:lpstr>'413'!OSRRefE20_11x</vt:lpstr>
      <vt:lpstr>'414'!OSRRefE20_11x</vt:lpstr>
      <vt:lpstr>'415'!OSRRefE20_11x</vt:lpstr>
      <vt:lpstr>'418'!OSRRefE20_11x</vt:lpstr>
      <vt:lpstr>'433'!OSRRefE20_11x</vt:lpstr>
      <vt:lpstr>'444'!OSRRefE20_11x</vt:lpstr>
      <vt:lpstr>'450'!OSRRefE20_11x</vt:lpstr>
      <vt:lpstr>'491'!OSRRefE20_11x</vt:lpstr>
      <vt:lpstr>'492'!OSRRefE20_11x</vt:lpstr>
      <vt:lpstr>'501'!OSRRefE20_11x</vt:lpstr>
      <vt:lpstr>'Div 2'!OSRRefE20_11x</vt:lpstr>
      <vt:lpstr>'Div 3'!OSRRefE20_11x</vt:lpstr>
      <vt:lpstr>'Div 4'!OSRRefE20_11x</vt:lpstr>
      <vt:lpstr>'Div 5'!OSRRefE20_11x</vt:lpstr>
      <vt:lpstr>'Div 6'!OSRRefE20_11x</vt:lpstr>
      <vt:lpstr>Summary!OSRRefE20_11x</vt:lpstr>
      <vt:lpstr>'201'!OSRRefE20_12x</vt:lpstr>
      <vt:lpstr>'202'!OSRRefE20_12x</vt:lpstr>
      <vt:lpstr>'203'!OSRRefE20_12x</vt:lpstr>
      <vt:lpstr>'300'!OSRRefE20_12x</vt:lpstr>
      <vt:lpstr>'300 &amp; 317'!OSRRefE20_12x</vt:lpstr>
      <vt:lpstr>'301'!OSRRefE20_12x</vt:lpstr>
      <vt:lpstr>'307'!OSRRefE20_12x</vt:lpstr>
      <vt:lpstr>'308'!OSRRefE20_12x</vt:lpstr>
      <vt:lpstr>'310'!OSRRefE20_12x</vt:lpstr>
      <vt:lpstr>'310 &amp; 491'!OSRRefE20_12x</vt:lpstr>
      <vt:lpstr>'311'!OSRRefE20_12x</vt:lpstr>
      <vt:lpstr>'315'!OSRRefE20_12x</vt:lpstr>
      <vt:lpstr>'317'!OSRRefE20_12x</vt:lpstr>
      <vt:lpstr>'321'!OSRRefE20_12x</vt:lpstr>
      <vt:lpstr>'325'!OSRRefE20_12x</vt:lpstr>
      <vt:lpstr>'326'!OSRRefE20_12x</vt:lpstr>
      <vt:lpstr>'330'!OSRRefE20_12x</vt:lpstr>
      <vt:lpstr>'331'!OSRRefE20_12x</vt:lpstr>
      <vt:lpstr>'405'!OSRRefE20_12x</vt:lpstr>
      <vt:lpstr>'411'!OSRRefE20_12x</vt:lpstr>
      <vt:lpstr>'412'!OSRRefE20_12x</vt:lpstr>
      <vt:lpstr>'414'!OSRRefE20_12x</vt:lpstr>
      <vt:lpstr>'415'!OSRRefE20_12x</vt:lpstr>
      <vt:lpstr>'418'!OSRRefE20_12x</vt:lpstr>
      <vt:lpstr>'433'!OSRRefE20_12x</vt:lpstr>
      <vt:lpstr>'444'!OSRRefE20_12x</vt:lpstr>
      <vt:lpstr>'450'!OSRRefE20_12x</vt:lpstr>
      <vt:lpstr>'491'!OSRRefE20_12x</vt:lpstr>
      <vt:lpstr>'492'!OSRRefE20_12x</vt:lpstr>
      <vt:lpstr>'501'!OSRRefE20_12x</vt:lpstr>
      <vt:lpstr>'Div 2'!OSRRefE20_12x</vt:lpstr>
      <vt:lpstr>'Div 3'!OSRRefE20_12x</vt:lpstr>
      <vt:lpstr>'Div 4'!OSRRefE20_12x</vt:lpstr>
      <vt:lpstr>'Div 5'!OSRRefE20_12x</vt:lpstr>
      <vt:lpstr>'Div 6'!OSRRefE20_12x</vt:lpstr>
      <vt:lpstr>Summary!OSRRefE20_12x</vt:lpstr>
      <vt:lpstr>'201'!OSRRefE20_13x</vt:lpstr>
      <vt:lpstr>'203'!OSRRefE20_13x</vt:lpstr>
      <vt:lpstr>'300'!OSRRefE20_13x</vt:lpstr>
      <vt:lpstr>'300 &amp; 317'!OSRRefE20_13x</vt:lpstr>
      <vt:lpstr>'301'!OSRRefE20_13x</vt:lpstr>
      <vt:lpstr>'308'!OSRRefE20_13x</vt:lpstr>
      <vt:lpstr>'310'!OSRRefE20_13x</vt:lpstr>
      <vt:lpstr>'310 &amp; 491'!OSRRefE20_13x</vt:lpstr>
      <vt:lpstr>'311'!OSRRefE20_13x</vt:lpstr>
      <vt:lpstr>'315'!OSRRefE20_13x</vt:lpstr>
      <vt:lpstr>'325'!OSRRefE20_13x</vt:lpstr>
      <vt:lpstr>'326'!OSRRefE20_13x</vt:lpstr>
      <vt:lpstr>'331'!OSRRefE20_13x</vt:lpstr>
      <vt:lpstr>'405'!OSRRefE20_13x</vt:lpstr>
      <vt:lpstr>'411'!OSRRefE20_13x</vt:lpstr>
      <vt:lpstr>'412'!OSRRefE20_13x</vt:lpstr>
      <vt:lpstr>'414'!OSRRefE20_13x</vt:lpstr>
      <vt:lpstr>'415'!OSRRefE20_13x</vt:lpstr>
      <vt:lpstr>'418'!OSRRefE20_13x</vt:lpstr>
      <vt:lpstr>'433'!OSRRefE20_13x</vt:lpstr>
      <vt:lpstr>'444'!OSRRefE20_13x</vt:lpstr>
      <vt:lpstr>'450'!OSRRefE20_13x</vt:lpstr>
      <vt:lpstr>'491'!OSRRefE20_13x</vt:lpstr>
      <vt:lpstr>'492'!OSRRefE20_13x</vt:lpstr>
      <vt:lpstr>'501'!OSRRefE20_13x</vt:lpstr>
      <vt:lpstr>'Div 2'!OSRRefE20_13x</vt:lpstr>
      <vt:lpstr>'Div 3'!OSRRefE20_13x</vt:lpstr>
      <vt:lpstr>'Div 4'!OSRRefE20_13x</vt:lpstr>
      <vt:lpstr>'Div 5'!OSRRefE20_13x</vt:lpstr>
      <vt:lpstr>Summary!OSRRefE20_13x</vt:lpstr>
      <vt:lpstr>'201'!OSRRefE20_14x</vt:lpstr>
      <vt:lpstr>'300'!OSRRefE20_14x</vt:lpstr>
      <vt:lpstr>'300 &amp; 317'!OSRRefE20_14x</vt:lpstr>
      <vt:lpstr>'301'!OSRRefE20_14x</vt:lpstr>
      <vt:lpstr>'308'!OSRRefE20_14x</vt:lpstr>
      <vt:lpstr>'310'!OSRRefE20_14x</vt:lpstr>
      <vt:lpstr>'310 &amp; 491'!OSRRefE20_14x</vt:lpstr>
      <vt:lpstr>'311'!OSRRefE20_14x</vt:lpstr>
      <vt:lpstr>'315'!OSRRefE20_14x</vt:lpstr>
      <vt:lpstr>'325'!OSRRefE20_14x</vt:lpstr>
      <vt:lpstr>'326'!OSRRefE20_14x</vt:lpstr>
      <vt:lpstr>'331'!OSRRefE20_14x</vt:lpstr>
      <vt:lpstr>'405'!OSRRefE20_14x</vt:lpstr>
      <vt:lpstr>'411'!OSRRefE20_14x</vt:lpstr>
      <vt:lpstr>'414'!OSRRefE20_14x</vt:lpstr>
      <vt:lpstr>'415'!OSRRefE20_14x</vt:lpstr>
      <vt:lpstr>'433'!OSRRefE20_14x</vt:lpstr>
      <vt:lpstr>'444'!OSRRefE20_14x</vt:lpstr>
      <vt:lpstr>'450'!OSRRefE20_14x</vt:lpstr>
      <vt:lpstr>'491'!OSRRefE20_14x</vt:lpstr>
      <vt:lpstr>'492'!OSRRefE20_14x</vt:lpstr>
      <vt:lpstr>'Div 2'!OSRRefE20_14x</vt:lpstr>
      <vt:lpstr>'Div 3'!OSRRefE20_14x</vt:lpstr>
      <vt:lpstr>'Div 4'!OSRRefE20_14x</vt:lpstr>
      <vt:lpstr>Summary!OSRRefE20_14x</vt:lpstr>
      <vt:lpstr>'201'!OSRRefE20_15x</vt:lpstr>
      <vt:lpstr>'300'!OSRRefE20_15x</vt:lpstr>
      <vt:lpstr>'300 &amp; 317'!OSRRefE20_15x</vt:lpstr>
      <vt:lpstr>'301'!OSRRefE20_15x</vt:lpstr>
      <vt:lpstr>'310'!OSRRefE20_15x</vt:lpstr>
      <vt:lpstr>'310 &amp; 491'!OSRRefE20_15x</vt:lpstr>
      <vt:lpstr>'315'!OSRRefE20_15x</vt:lpstr>
      <vt:lpstr>'326'!OSRRefE20_15x</vt:lpstr>
      <vt:lpstr>'331'!OSRRefE20_15x</vt:lpstr>
      <vt:lpstr>'405'!OSRRefE20_15x</vt:lpstr>
      <vt:lpstr>'411'!OSRRefE20_15x</vt:lpstr>
      <vt:lpstr>'415'!OSRRefE20_15x</vt:lpstr>
      <vt:lpstr>'433'!OSRRefE20_15x</vt:lpstr>
      <vt:lpstr>'444'!OSRRefE20_15x</vt:lpstr>
      <vt:lpstr>'450'!OSRRefE20_15x</vt:lpstr>
      <vt:lpstr>'491'!OSRRefE20_15x</vt:lpstr>
      <vt:lpstr>'492'!OSRRefE20_15x</vt:lpstr>
      <vt:lpstr>'Div 2'!OSRRefE20_15x</vt:lpstr>
      <vt:lpstr>'Div 3'!OSRRefE20_15x</vt:lpstr>
      <vt:lpstr>'Div 4'!OSRRefE20_15x</vt:lpstr>
      <vt:lpstr>Summary!OSRRefE20_15x</vt:lpstr>
      <vt:lpstr>'201'!OSRRefE20_16x</vt:lpstr>
      <vt:lpstr>'300'!OSRRefE20_16x</vt:lpstr>
      <vt:lpstr>'300 &amp; 317'!OSRRefE20_16x</vt:lpstr>
      <vt:lpstr>'301'!OSRRefE20_16x</vt:lpstr>
      <vt:lpstr>'310'!OSRRefE20_16x</vt:lpstr>
      <vt:lpstr>'310 &amp; 491'!OSRRefE20_16x</vt:lpstr>
      <vt:lpstr>'315'!OSRRefE20_16x</vt:lpstr>
      <vt:lpstr>'326'!OSRRefE20_16x</vt:lpstr>
      <vt:lpstr>'331'!OSRRefE20_16x</vt:lpstr>
      <vt:lpstr>'405'!OSRRefE20_16x</vt:lpstr>
      <vt:lpstr>'415'!OSRRefE20_16x</vt:lpstr>
      <vt:lpstr>'450'!OSRRefE20_16x</vt:lpstr>
      <vt:lpstr>'491'!OSRRefE20_16x</vt:lpstr>
      <vt:lpstr>'492'!OSRRefE20_16x</vt:lpstr>
      <vt:lpstr>'Div 2'!OSRRefE20_16x</vt:lpstr>
      <vt:lpstr>'Div 3'!OSRRefE20_16x</vt:lpstr>
      <vt:lpstr>'Div 4'!OSRRefE20_16x</vt:lpstr>
      <vt:lpstr>Summary!OSRRefE20_16x</vt:lpstr>
      <vt:lpstr>'300'!OSRRefE20_17x</vt:lpstr>
      <vt:lpstr>'300 &amp; 317'!OSRRefE20_17x</vt:lpstr>
      <vt:lpstr>'301'!OSRRefE20_17x</vt:lpstr>
      <vt:lpstr>'310'!OSRRefE20_17x</vt:lpstr>
      <vt:lpstr>'310 &amp; 491'!OSRRefE20_17x</vt:lpstr>
      <vt:lpstr>'315'!OSRRefE20_17x</vt:lpstr>
      <vt:lpstr>'326'!OSRRefE20_17x</vt:lpstr>
      <vt:lpstr>'331'!OSRRefE20_17x</vt:lpstr>
      <vt:lpstr>'491'!OSRRefE20_17x</vt:lpstr>
      <vt:lpstr>'492'!OSRRefE20_17x</vt:lpstr>
      <vt:lpstr>'Div 2'!OSRRefE20_17x</vt:lpstr>
      <vt:lpstr>'Div 3'!OSRRefE20_17x</vt:lpstr>
      <vt:lpstr>'Div 4'!OSRRefE20_17x</vt:lpstr>
      <vt:lpstr>Summary!OSRRefE20_17x</vt:lpstr>
      <vt:lpstr>'300'!OSRRefE20_18x</vt:lpstr>
      <vt:lpstr>'300 &amp; 317'!OSRRefE20_18x</vt:lpstr>
      <vt:lpstr>'301'!OSRRefE20_18x</vt:lpstr>
      <vt:lpstr>'310'!OSRRefE20_18x</vt:lpstr>
      <vt:lpstr>'310 &amp; 491'!OSRRefE20_18x</vt:lpstr>
      <vt:lpstr>'326'!OSRRefE20_18x</vt:lpstr>
      <vt:lpstr>'331'!OSRRefE20_18x</vt:lpstr>
      <vt:lpstr>'491'!OSRRefE20_18x</vt:lpstr>
      <vt:lpstr>'Div 2'!OSRRefE20_18x</vt:lpstr>
      <vt:lpstr>'Div 3'!OSRRefE20_18x</vt:lpstr>
      <vt:lpstr>'Div 4'!OSRRefE20_18x</vt:lpstr>
      <vt:lpstr>Summary!OSRRefE20_18x</vt:lpstr>
      <vt:lpstr>'300'!OSRRefE20_19x</vt:lpstr>
      <vt:lpstr>'300 &amp; 317'!OSRRefE20_19x</vt:lpstr>
      <vt:lpstr>'301'!OSRRefE20_19x</vt:lpstr>
      <vt:lpstr>'310'!OSRRefE20_19x</vt:lpstr>
      <vt:lpstr>'310 &amp; 491'!OSRRefE20_19x</vt:lpstr>
      <vt:lpstr>'326'!OSRRefE20_19x</vt:lpstr>
      <vt:lpstr>'331'!OSRRefE20_19x</vt:lpstr>
      <vt:lpstr>'491'!OSRRefE20_19x</vt:lpstr>
      <vt:lpstr>'Div 2'!OSRRefE20_19x</vt:lpstr>
      <vt:lpstr>'Div 3'!OSRRefE20_19x</vt:lpstr>
      <vt:lpstr>'Div 4'!OSRRefE20_19x</vt:lpstr>
      <vt:lpstr>Summary!OSRRefE20_19x</vt:lpstr>
      <vt:lpstr>'200'!OSRRefE20_1x</vt:lpstr>
      <vt:lpstr>'201'!OSRRefE20_1x</vt:lpstr>
      <vt:lpstr>'202'!OSRRefE20_1x</vt:lpstr>
      <vt:lpstr>'203'!OSRRefE20_1x</vt:lpstr>
      <vt:lpstr>'204'!OSRRefE20_1x</vt:lpstr>
      <vt:lpstr>'205'!OSRRefE20_1x</vt:lpstr>
      <vt:lpstr>'206'!OSRRefE20_1x</vt:lpstr>
      <vt:lpstr>'300'!OSRRefE20_1x</vt:lpstr>
      <vt:lpstr>'300 &amp; 317'!OSRRefE20_1x</vt:lpstr>
      <vt:lpstr>'301'!OSRRefE20_1x</vt:lpstr>
      <vt:lpstr>'307'!OSRRefE20_1x</vt:lpstr>
      <vt:lpstr>'308'!OSRRefE20_1x</vt:lpstr>
      <vt:lpstr>'309'!OSRRefE20_1x</vt:lpstr>
      <vt:lpstr>'310'!OSRRefE20_1x</vt:lpstr>
      <vt:lpstr>'310 &amp; 491'!OSRRefE20_1x</vt:lpstr>
      <vt:lpstr>'311'!OSRRefE20_1x</vt:lpstr>
      <vt:lpstr>'313'!OSRRefE20_1x</vt:lpstr>
      <vt:lpstr>'315'!OSRRefE20_1x</vt:lpstr>
      <vt:lpstr>'316'!OSRRefE20_1x</vt:lpstr>
      <vt:lpstr>'317'!OSRRefE20_1x</vt:lpstr>
      <vt:lpstr>'321'!OSRRefE20_1x</vt:lpstr>
      <vt:lpstr>'322'!OSRRefE20_1x</vt:lpstr>
      <vt:lpstr>'324'!OSRRefE20_1x</vt:lpstr>
      <vt:lpstr>'325'!OSRRefE20_1x</vt:lpstr>
      <vt:lpstr>'326'!OSRRefE20_1x</vt:lpstr>
      <vt:lpstr>'330'!OSRRefE20_1x</vt:lpstr>
      <vt:lpstr>'331'!OSRRefE20_1x</vt:lpstr>
      <vt:lpstr>'332'!OSRRefE20_1x</vt:lpstr>
      <vt:lpstr>'405'!OSRRefE20_1x</vt:lpstr>
      <vt:lpstr>'406'!OSRRefE20_1x</vt:lpstr>
      <vt:lpstr>'411'!OSRRefE20_1x</vt:lpstr>
      <vt:lpstr>'412'!OSRRefE20_1x</vt:lpstr>
      <vt:lpstr>'413'!OSRRefE20_1x</vt:lpstr>
      <vt:lpstr>'414'!OSRRefE20_1x</vt:lpstr>
      <vt:lpstr>'415'!OSRRefE20_1x</vt:lpstr>
      <vt:lpstr>'418'!OSRRefE20_1x</vt:lpstr>
      <vt:lpstr>'423'!OSRRefE20_1x</vt:lpstr>
      <vt:lpstr>'424'!OSRRefE20_1x</vt:lpstr>
      <vt:lpstr>'425'!OSRRefE20_1x</vt:lpstr>
      <vt:lpstr>'430'!OSRRefE20_1x</vt:lpstr>
      <vt:lpstr>'433'!OSRRefE20_1x</vt:lpstr>
      <vt:lpstr>'444'!OSRRefE20_1x</vt:lpstr>
      <vt:lpstr>'450'!OSRRefE20_1x</vt:lpstr>
      <vt:lpstr>'491'!OSRRefE20_1x</vt:lpstr>
      <vt:lpstr>'492'!OSRRefE20_1x</vt:lpstr>
      <vt:lpstr>'501'!OSRRefE20_1x</vt:lpstr>
      <vt:lpstr>'Div 2'!OSRRefE20_1x</vt:lpstr>
      <vt:lpstr>'Div 3'!OSRRefE20_1x</vt:lpstr>
      <vt:lpstr>'Div 4'!OSRRefE20_1x</vt:lpstr>
      <vt:lpstr>'Div 5'!OSRRefE20_1x</vt:lpstr>
      <vt:lpstr>'Div 6'!OSRRefE20_1x</vt:lpstr>
      <vt:lpstr>Summary!OSRRefE20_1x</vt:lpstr>
      <vt:lpstr>'300'!OSRRefE20_20x</vt:lpstr>
      <vt:lpstr>'300 &amp; 317'!OSRRefE20_20x</vt:lpstr>
      <vt:lpstr>'301'!OSRRefE20_20x</vt:lpstr>
      <vt:lpstr>'310 &amp; 491'!OSRRefE20_20x</vt:lpstr>
      <vt:lpstr>'331'!OSRRefE20_20x</vt:lpstr>
      <vt:lpstr>'491'!OSRRefE20_20x</vt:lpstr>
      <vt:lpstr>'Div 3'!OSRRefE20_20x</vt:lpstr>
      <vt:lpstr>'Div 4'!OSRRefE20_20x</vt:lpstr>
      <vt:lpstr>Summary!OSRRefE20_20x</vt:lpstr>
      <vt:lpstr>'300'!OSRRefE20_21x</vt:lpstr>
      <vt:lpstr>'300 &amp; 317'!OSRRefE20_21x</vt:lpstr>
      <vt:lpstr>'310 &amp; 491'!OSRRefE20_21x</vt:lpstr>
      <vt:lpstr>'331'!OSRRefE20_21x</vt:lpstr>
      <vt:lpstr>'491'!OSRRefE20_21x</vt:lpstr>
      <vt:lpstr>'Div 3'!OSRRefE20_21x</vt:lpstr>
      <vt:lpstr>'Div 4'!OSRRefE20_21x</vt:lpstr>
      <vt:lpstr>Summary!OSRRefE20_21x</vt:lpstr>
      <vt:lpstr>'300'!OSRRefE20_22x</vt:lpstr>
      <vt:lpstr>'300 &amp; 317'!OSRRefE20_22x</vt:lpstr>
      <vt:lpstr>'310 &amp; 491'!OSRRefE20_22x</vt:lpstr>
      <vt:lpstr>'491'!OSRRefE20_22x</vt:lpstr>
      <vt:lpstr>'Div 3'!OSRRefE20_22x</vt:lpstr>
      <vt:lpstr>'Div 4'!OSRRefE20_22x</vt:lpstr>
      <vt:lpstr>Summary!OSRRefE20_22x</vt:lpstr>
      <vt:lpstr>'300'!OSRRefE20_23x</vt:lpstr>
      <vt:lpstr>'300 &amp; 317'!OSRRefE20_23x</vt:lpstr>
      <vt:lpstr>'Div 3'!OSRRefE20_23x</vt:lpstr>
      <vt:lpstr>'Div 4'!OSRRefE20_23x</vt:lpstr>
      <vt:lpstr>Summary!OSRRefE20_23x</vt:lpstr>
      <vt:lpstr>'300'!OSRRefE20_24x</vt:lpstr>
      <vt:lpstr>'300 &amp; 317'!OSRRefE20_24x</vt:lpstr>
      <vt:lpstr>'Div 3'!OSRRefE20_24x</vt:lpstr>
      <vt:lpstr>Summary!OSRRefE20_24x</vt:lpstr>
      <vt:lpstr>'Div 3'!OSRRefE20_25x</vt:lpstr>
      <vt:lpstr>Summary!OSRRefE20_25x</vt:lpstr>
      <vt:lpstr>Summary!OSRRefE20_26x</vt:lpstr>
      <vt:lpstr>'200'!OSRRefE20_2x</vt:lpstr>
      <vt:lpstr>'201'!OSRRefE20_2x</vt:lpstr>
      <vt:lpstr>'202'!OSRRefE20_2x</vt:lpstr>
      <vt:lpstr>'203'!OSRRefE20_2x</vt:lpstr>
      <vt:lpstr>'204'!OSRRefE20_2x</vt:lpstr>
      <vt:lpstr>'205'!OSRRefE20_2x</vt:lpstr>
      <vt:lpstr>'206'!OSRRefE20_2x</vt:lpstr>
      <vt:lpstr>'300'!OSRRefE20_2x</vt:lpstr>
      <vt:lpstr>'300 &amp; 317'!OSRRefE20_2x</vt:lpstr>
      <vt:lpstr>'301'!OSRRefE20_2x</vt:lpstr>
      <vt:lpstr>'307'!OSRRefE20_2x</vt:lpstr>
      <vt:lpstr>'308'!OSRRefE20_2x</vt:lpstr>
      <vt:lpstr>'309'!OSRRefE20_2x</vt:lpstr>
      <vt:lpstr>'310'!OSRRefE20_2x</vt:lpstr>
      <vt:lpstr>'310 &amp; 491'!OSRRefE20_2x</vt:lpstr>
      <vt:lpstr>'311'!OSRRefE20_2x</vt:lpstr>
      <vt:lpstr>'313'!OSRRefE20_2x</vt:lpstr>
      <vt:lpstr>'315'!OSRRefE20_2x</vt:lpstr>
      <vt:lpstr>'316'!OSRRefE20_2x</vt:lpstr>
      <vt:lpstr>'317'!OSRRefE20_2x</vt:lpstr>
      <vt:lpstr>'321'!OSRRefE20_2x</vt:lpstr>
      <vt:lpstr>'322'!OSRRefE20_2x</vt:lpstr>
      <vt:lpstr>'325'!OSRRefE20_2x</vt:lpstr>
      <vt:lpstr>'326'!OSRRefE20_2x</vt:lpstr>
      <vt:lpstr>'330'!OSRRefE20_2x</vt:lpstr>
      <vt:lpstr>'331'!OSRRefE20_2x</vt:lpstr>
      <vt:lpstr>'332'!OSRRefE20_2x</vt:lpstr>
      <vt:lpstr>'405'!OSRRefE20_2x</vt:lpstr>
      <vt:lpstr>'406'!OSRRefE20_2x</vt:lpstr>
      <vt:lpstr>'411'!OSRRefE20_2x</vt:lpstr>
      <vt:lpstr>'412'!OSRRefE20_2x</vt:lpstr>
      <vt:lpstr>'413'!OSRRefE20_2x</vt:lpstr>
      <vt:lpstr>'414'!OSRRefE20_2x</vt:lpstr>
      <vt:lpstr>'415'!OSRRefE20_2x</vt:lpstr>
      <vt:lpstr>'418'!OSRRefE20_2x</vt:lpstr>
      <vt:lpstr>'423'!OSRRefE20_2x</vt:lpstr>
      <vt:lpstr>'424'!OSRRefE20_2x</vt:lpstr>
      <vt:lpstr>'425'!OSRRefE20_2x</vt:lpstr>
      <vt:lpstr>'430'!OSRRefE20_2x</vt:lpstr>
      <vt:lpstr>'433'!OSRRefE20_2x</vt:lpstr>
      <vt:lpstr>'444'!OSRRefE20_2x</vt:lpstr>
      <vt:lpstr>'450'!OSRRefE20_2x</vt:lpstr>
      <vt:lpstr>'491'!OSRRefE20_2x</vt:lpstr>
      <vt:lpstr>'492'!OSRRefE20_2x</vt:lpstr>
      <vt:lpstr>'501'!OSRRefE20_2x</vt:lpstr>
      <vt:lpstr>'Div 2'!OSRRefE20_2x</vt:lpstr>
      <vt:lpstr>'Div 3'!OSRRefE20_2x</vt:lpstr>
      <vt:lpstr>'Div 4'!OSRRefE20_2x</vt:lpstr>
      <vt:lpstr>'Div 5'!OSRRefE20_2x</vt:lpstr>
      <vt:lpstr>'Div 6'!OSRRefE20_2x</vt:lpstr>
      <vt:lpstr>Summary!OSRRefE20_2x</vt:lpstr>
      <vt:lpstr>'200'!OSRRefE20_3x</vt:lpstr>
      <vt:lpstr>'201'!OSRRefE20_3x</vt:lpstr>
      <vt:lpstr>'202'!OSRRefE20_3x</vt:lpstr>
      <vt:lpstr>'203'!OSRRefE20_3x</vt:lpstr>
      <vt:lpstr>'204'!OSRRefE20_3x</vt:lpstr>
      <vt:lpstr>'205'!OSRRefE20_3x</vt:lpstr>
      <vt:lpstr>'206'!OSRRefE20_3x</vt:lpstr>
      <vt:lpstr>'300'!OSRRefE20_3x</vt:lpstr>
      <vt:lpstr>'300 &amp; 317'!OSRRefE20_3x</vt:lpstr>
      <vt:lpstr>'301'!OSRRefE20_3x</vt:lpstr>
      <vt:lpstr>'307'!OSRRefE20_3x</vt:lpstr>
      <vt:lpstr>'308'!OSRRefE20_3x</vt:lpstr>
      <vt:lpstr>'309'!OSRRefE20_3x</vt:lpstr>
      <vt:lpstr>'310'!OSRRefE20_3x</vt:lpstr>
      <vt:lpstr>'310 &amp; 491'!OSRRefE20_3x</vt:lpstr>
      <vt:lpstr>'311'!OSRRefE20_3x</vt:lpstr>
      <vt:lpstr>'313'!OSRRefE20_3x</vt:lpstr>
      <vt:lpstr>'315'!OSRRefE20_3x</vt:lpstr>
      <vt:lpstr>'316'!OSRRefE20_3x</vt:lpstr>
      <vt:lpstr>'317'!OSRRefE20_3x</vt:lpstr>
      <vt:lpstr>'321'!OSRRefE20_3x</vt:lpstr>
      <vt:lpstr>'322'!OSRRefE20_3x</vt:lpstr>
      <vt:lpstr>'325'!OSRRefE20_3x</vt:lpstr>
      <vt:lpstr>'326'!OSRRefE20_3x</vt:lpstr>
      <vt:lpstr>'330'!OSRRefE20_3x</vt:lpstr>
      <vt:lpstr>'331'!OSRRefE20_3x</vt:lpstr>
      <vt:lpstr>'332'!OSRRefE20_3x</vt:lpstr>
      <vt:lpstr>'405'!OSRRefE20_3x</vt:lpstr>
      <vt:lpstr>'406'!OSRRefE20_3x</vt:lpstr>
      <vt:lpstr>'411'!OSRRefE20_3x</vt:lpstr>
      <vt:lpstr>'412'!OSRRefE20_3x</vt:lpstr>
      <vt:lpstr>'413'!OSRRefE20_3x</vt:lpstr>
      <vt:lpstr>'414'!OSRRefE20_3x</vt:lpstr>
      <vt:lpstr>'415'!OSRRefE20_3x</vt:lpstr>
      <vt:lpstr>'418'!OSRRefE20_3x</vt:lpstr>
      <vt:lpstr>'423'!OSRRefE20_3x</vt:lpstr>
      <vt:lpstr>'424'!OSRRefE20_3x</vt:lpstr>
      <vt:lpstr>'425'!OSRRefE20_3x</vt:lpstr>
      <vt:lpstr>'430'!OSRRefE20_3x</vt:lpstr>
      <vt:lpstr>'433'!OSRRefE20_3x</vt:lpstr>
      <vt:lpstr>'444'!OSRRefE20_3x</vt:lpstr>
      <vt:lpstr>'450'!OSRRefE20_3x</vt:lpstr>
      <vt:lpstr>'491'!OSRRefE20_3x</vt:lpstr>
      <vt:lpstr>'492'!OSRRefE20_3x</vt:lpstr>
      <vt:lpstr>'501'!OSRRefE20_3x</vt:lpstr>
      <vt:lpstr>'Div 2'!OSRRefE20_3x</vt:lpstr>
      <vt:lpstr>'Div 3'!OSRRefE20_3x</vt:lpstr>
      <vt:lpstr>'Div 4'!OSRRefE20_3x</vt:lpstr>
      <vt:lpstr>'Div 5'!OSRRefE20_3x</vt:lpstr>
      <vt:lpstr>'Div 6'!OSRRefE20_3x</vt:lpstr>
      <vt:lpstr>Summary!OSRRefE20_3x</vt:lpstr>
      <vt:lpstr>'200'!OSRRefE20_4x</vt:lpstr>
      <vt:lpstr>'201'!OSRRefE20_4x</vt:lpstr>
      <vt:lpstr>'202'!OSRRefE20_4x</vt:lpstr>
      <vt:lpstr>'203'!OSRRefE20_4x</vt:lpstr>
      <vt:lpstr>'204'!OSRRefE20_4x</vt:lpstr>
      <vt:lpstr>'205'!OSRRefE20_4x</vt:lpstr>
      <vt:lpstr>'206'!OSRRefE20_4x</vt:lpstr>
      <vt:lpstr>'300'!OSRRefE20_4x</vt:lpstr>
      <vt:lpstr>'300 &amp; 317'!OSRRefE20_4x</vt:lpstr>
      <vt:lpstr>'301'!OSRRefE20_4x</vt:lpstr>
      <vt:lpstr>'307'!OSRRefE20_4x</vt:lpstr>
      <vt:lpstr>'308'!OSRRefE20_4x</vt:lpstr>
      <vt:lpstr>'309'!OSRRefE20_4x</vt:lpstr>
      <vt:lpstr>'310'!OSRRefE20_4x</vt:lpstr>
      <vt:lpstr>'310 &amp; 491'!OSRRefE20_4x</vt:lpstr>
      <vt:lpstr>'311'!OSRRefE20_4x</vt:lpstr>
      <vt:lpstr>'313'!OSRRefE20_4x</vt:lpstr>
      <vt:lpstr>'315'!OSRRefE20_4x</vt:lpstr>
      <vt:lpstr>'316'!OSRRefE20_4x</vt:lpstr>
      <vt:lpstr>'317'!OSRRefE20_4x</vt:lpstr>
      <vt:lpstr>'321'!OSRRefE20_4x</vt:lpstr>
      <vt:lpstr>'322'!OSRRefE20_4x</vt:lpstr>
      <vt:lpstr>'325'!OSRRefE20_4x</vt:lpstr>
      <vt:lpstr>'326'!OSRRefE20_4x</vt:lpstr>
      <vt:lpstr>'330'!OSRRefE20_4x</vt:lpstr>
      <vt:lpstr>'331'!OSRRefE20_4x</vt:lpstr>
      <vt:lpstr>'332'!OSRRefE20_4x</vt:lpstr>
      <vt:lpstr>'405'!OSRRefE20_4x</vt:lpstr>
      <vt:lpstr>'406'!OSRRefE20_4x</vt:lpstr>
      <vt:lpstr>'411'!OSRRefE20_4x</vt:lpstr>
      <vt:lpstr>'412'!OSRRefE20_4x</vt:lpstr>
      <vt:lpstr>'413'!OSRRefE20_4x</vt:lpstr>
      <vt:lpstr>'414'!OSRRefE20_4x</vt:lpstr>
      <vt:lpstr>'415'!OSRRefE20_4x</vt:lpstr>
      <vt:lpstr>'418'!OSRRefE20_4x</vt:lpstr>
      <vt:lpstr>'423'!OSRRefE20_4x</vt:lpstr>
      <vt:lpstr>'425'!OSRRefE20_4x</vt:lpstr>
      <vt:lpstr>'430'!OSRRefE20_4x</vt:lpstr>
      <vt:lpstr>'433'!OSRRefE20_4x</vt:lpstr>
      <vt:lpstr>'444'!OSRRefE20_4x</vt:lpstr>
      <vt:lpstr>'450'!OSRRefE20_4x</vt:lpstr>
      <vt:lpstr>'491'!OSRRefE20_4x</vt:lpstr>
      <vt:lpstr>'492'!OSRRefE20_4x</vt:lpstr>
      <vt:lpstr>'501'!OSRRefE20_4x</vt:lpstr>
      <vt:lpstr>'Div 2'!OSRRefE20_4x</vt:lpstr>
      <vt:lpstr>'Div 3'!OSRRefE20_4x</vt:lpstr>
      <vt:lpstr>'Div 4'!OSRRefE20_4x</vt:lpstr>
      <vt:lpstr>'Div 5'!OSRRefE20_4x</vt:lpstr>
      <vt:lpstr>'Div 6'!OSRRefE20_4x</vt:lpstr>
      <vt:lpstr>Summary!OSRRefE20_4x</vt:lpstr>
      <vt:lpstr>'201'!OSRRefE20_5x</vt:lpstr>
      <vt:lpstr>'202'!OSRRefE20_5x</vt:lpstr>
      <vt:lpstr>'203'!OSRRefE20_5x</vt:lpstr>
      <vt:lpstr>'204'!OSRRefE20_5x</vt:lpstr>
      <vt:lpstr>'205'!OSRRefE20_5x</vt:lpstr>
      <vt:lpstr>'206'!OSRRefE20_5x</vt:lpstr>
      <vt:lpstr>'300'!OSRRefE20_5x</vt:lpstr>
      <vt:lpstr>'300 &amp; 317'!OSRRefE20_5x</vt:lpstr>
      <vt:lpstr>'301'!OSRRefE20_5x</vt:lpstr>
      <vt:lpstr>'307'!OSRRefE20_5x</vt:lpstr>
      <vt:lpstr>'308'!OSRRefE20_5x</vt:lpstr>
      <vt:lpstr>'309'!OSRRefE20_5x</vt:lpstr>
      <vt:lpstr>'310'!OSRRefE20_5x</vt:lpstr>
      <vt:lpstr>'310 &amp; 491'!OSRRefE20_5x</vt:lpstr>
      <vt:lpstr>'311'!OSRRefE20_5x</vt:lpstr>
      <vt:lpstr>'313'!OSRRefE20_5x</vt:lpstr>
      <vt:lpstr>'315'!OSRRefE20_5x</vt:lpstr>
      <vt:lpstr>'316'!OSRRefE20_5x</vt:lpstr>
      <vt:lpstr>'317'!OSRRefE20_5x</vt:lpstr>
      <vt:lpstr>'321'!OSRRefE20_5x</vt:lpstr>
      <vt:lpstr>'322'!OSRRefE20_5x</vt:lpstr>
      <vt:lpstr>'325'!OSRRefE20_5x</vt:lpstr>
      <vt:lpstr>'326'!OSRRefE20_5x</vt:lpstr>
      <vt:lpstr>'330'!OSRRefE20_5x</vt:lpstr>
      <vt:lpstr>'331'!OSRRefE20_5x</vt:lpstr>
      <vt:lpstr>'332'!OSRRefE20_5x</vt:lpstr>
      <vt:lpstr>'405'!OSRRefE20_5x</vt:lpstr>
      <vt:lpstr>'411'!OSRRefE20_5x</vt:lpstr>
      <vt:lpstr>'412'!OSRRefE20_5x</vt:lpstr>
      <vt:lpstr>'413'!OSRRefE20_5x</vt:lpstr>
      <vt:lpstr>'414'!OSRRefE20_5x</vt:lpstr>
      <vt:lpstr>'415'!OSRRefE20_5x</vt:lpstr>
      <vt:lpstr>'418'!OSRRefE20_5x</vt:lpstr>
      <vt:lpstr>'423'!OSRRefE20_5x</vt:lpstr>
      <vt:lpstr>'430'!OSRRefE20_5x</vt:lpstr>
      <vt:lpstr>'433'!OSRRefE20_5x</vt:lpstr>
      <vt:lpstr>'444'!OSRRefE20_5x</vt:lpstr>
      <vt:lpstr>'450'!OSRRefE20_5x</vt:lpstr>
      <vt:lpstr>'491'!OSRRefE20_5x</vt:lpstr>
      <vt:lpstr>'492'!OSRRefE20_5x</vt:lpstr>
      <vt:lpstr>'501'!OSRRefE20_5x</vt:lpstr>
      <vt:lpstr>'Div 2'!OSRRefE20_5x</vt:lpstr>
      <vt:lpstr>'Div 3'!OSRRefE20_5x</vt:lpstr>
      <vt:lpstr>'Div 4'!OSRRefE20_5x</vt:lpstr>
      <vt:lpstr>'Div 5'!OSRRefE20_5x</vt:lpstr>
      <vt:lpstr>'Div 6'!OSRRefE20_5x</vt:lpstr>
      <vt:lpstr>Summary!OSRRefE20_5x</vt:lpstr>
      <vt:lpstr>'201'!OSRRefE20_6x</vt:lpstr>
      <vt:lpstr>'202'!OSRRefE20_6x</vt:lpstr>
      <vt:lpstr>'203'!OSRRefE20_6x</vt:lpstr>
      <vt:lpstr>'204'!OSRRefE20_6x</vt:lpstr>
      <vt:lpstr>'205'!OSRRefE20_6x</vt:lpstr>
      <vt:lpstr>'206'!OSRRefE20_6x</vt:lpstr>
      <vt:lpstr>'300'!OSRRefE20_6x</vt:lpstr>
      <vt:lpstr>'300 &amp; 317'!OSRRefE20_6x</vt:lpstr>
      <vt:lpstr>'301'!OSRRefE20_6x</vt:lpstr>
      <vt:lpstr>'307'!OSRRefE20_6x</vt:lpstr>
      <vt:lpstr>'308'!OSRRefE20_6x</vt:lpstr>
      <vt:lpstr>'309'!OSRRefE20_6x</vt:lpstr>
      <vt:lpstr>'310'!OSRRefE20_6x</vt:lpstr>
      <vt:lpstr>'310 &amp; 491'!OSRRefE20_6x</vt:lpstr>
      <vt:lpstr>'311'!OSRRefE20_6x</vt:lpstr>
      <vt:lpstr>'313'!OSRRefE20_6x</vt:lpstr>
      <vt:lpstr>'315'!OSRRefE20_6x</vt:lpstr>
      <vt:lpstr>'316'!OSRRefE20_6x</vt:lpstr>
      <vt:lpstr>'317'!OSRRefE20_6x</vt:lpstr>
      <vt:lpstr>'321'!OSRRefE20_6x</vt:lpstr>
      <vt:lpstr>'322'!OSRRefE20_6x</vt:lpstr>
      <vt:lpstr>'325'!OSRRefE20_6x</vt:lpstr>
      <vt:lpstr>'326'!OSRRefE20_6x</vt:lpstr>
      <vt:lpstr>'330'!OSRRefE20_6x</vt:lpstr>
      <vt:lpstr>'331'!OSRRefE20_6x</vt:lpstr>
      <vt:lpstr>'332'!OSRRefE20_6x</vt:lpstr>
      <vt:lpstr>'405'!OSRRefE20_6x</vt:lpstr>
      <vt:lpstr>'411'!OSRRefE20_6x</vt:lpstr>
      <vt:lpstr>'412'!OSRRefE20_6x</vt:lpstr>
      <vt:lpstr>'413'!OSRRefE20_6x</vt:lpstr>
      <vt:lpstr>'414'!OSRRefE20_6x</vt:lpstr>
      <vt:lpstr>'415'!OSRRefE20_6x</vt:lpstr>
      <vt:lpstr>'418'!OSRRefE20_6x</vt:lpstr>
      <vt:lpstr>'423'!OSRRefE20_6x</vt:lpstr>
      <vt:lpstr>'430'!OSRRefE20_6x</vt:lpstr>
      <vt:lpstr>'433'!OSRRefE20_6x</vt:lpstr>
      <vt:lpstr>'444'!OSRRefE20_6x</vt:lpstr>
      <vt:lpstr>'450'!OSRRefE20_6x</vt:lpstr>
      <vt:lpstr>'491'!OSRRefE20_6x</vt:lpstr>
      <vt:lpstr>'492'!OSRRefE20_6x</vt:lpstr>
      <vt:lpstr>'501'!OSRRefE20_6x</vt:lpstr>
      <vt:lpstr>'Div 2'!OSRRefE20_6x</vt:lpstr>
      <vt:lpstr>'Div 3'!OSRRefE20_6x</vt:lpstr>
      <vt:lpstr>'Div 4'!OSRRefE20_6x</vt:lpstr>
      <vt:lpstr>'Div 5'!OSRRefE20_6x</vt:lpstr>
      <vt:lpstr>'Div 6'!OSRRefE20_6x</vt:lpstr>
      <vt:lpstr>Summary!OSRRefE20_6x</vt:lpstr>
      <vt:lpstr>'201'!OSRRefE20_7x</vt:lpstr>
      <vt:lpstr>'202'!OSRRefE20_7x</vt:lpstr>
      <vt:lpstr>'203'!OSRRefE20_7x</vt:lpstr>
      <vt:lpstr>'204'!OSRRefE20_7x</vt:lpstr>
      <vt:lpstr>'205'!OSRRefE20_7x</vt:lpstr>
      <vt:lpstr>'300'!OSRRefE20_7x</vt:lpstr>
      <vt:lpstr>'300 &amp; 317'!OSRRefE20_7x</vt:lpstr>
      <vt:lpstr>'301'!OSRRefE20_7x</vt:lpstr>
      <vt:lpstr>'307'!OSRRefE20_7x</vt:lpstr>
      <vt:lpstr>'308'!OSRRefE20_7x</vt:lpstr>
      <vt:lpstr>'309'!OSRRefE20_7x</vt:lpstr>
      <vt:lpstr>'310'!OSRRefE20_7x</vt:lpstr>
      <vt:lpstr>'310 &amp; 491'!OSRRefE20_7x</vt:lpstr>
      <vt:lpstr>'311'!OSRRefE20_7x</vt:lpstr>
      <vt:lpstr>'313'!OSRRefE20_7x</vt:lpstr>
      <vt:lpstr>'315'!OSRRefE20_7x</vt:lpstr>
      <vt:lpstr>'316'!OSRRefE20_7x</vt:lpstr>
      <vt:lpstr>'317'!OSRRefE20_7x</vt:lpstr>
      <vt:lpstr>'321'!OSRRefE20_7x</vt:lpstr>
      <vt:lpstr>'322'!OSRRefE20_7x</vt:lpstr>
      <vt:lpstr>'325'!OSRRefE20_7x</vt:lpstr>
      <vt:lpstr>'326'!OSRRefE20_7x</vt:lpstr>
      <vt:lpstr>'330'!OSRRefE20_7x</vt:lpstr>
      <vt:lpstr>'331'!OSRRefE20_7x</vt:lpstr>
      <vt:lpstr>'332'!OSRRefE20_7x</vt:lpstr>
      <vt:lpstr>'405'!OSRRefE20_7x</vt:lpstr>
      <vt:lpstr>'411'!OSRRefE20_7x</vt:lpstr>
      <vt:lpstr>'412'!OSRRefE20_7x</vt:lpstr>
      <vt:lpstr>'413'!OSRRefE20_7x</vt:lpstr>
      <vt:lpstr>'414'!OSRRefE20_7x</vt:lpstr>
      <vt:lpstr>'415'!OSRRefE20_7x</vt:lpstr>
      <vt:lpstr>'418'!OSRRefE20_7x</vt:lpstr>
      <vt:lpstr>'430'!OSRRefE20_7x</vt:lpstr>
      <vt:lpstr>'433'!OSRRefE20_7x</vt:lpstr>
      <vt:lpstr>'444'!OSRRefE20_7x</vt:lpstr>
      <vt:lpstr>'450'!OSRRefE20_7x</vt:lpstr>
      <vt:lpstr>'491'!OSRRefE20_7x</vt:lpstr>
      <vt:lpstr>'492'!OSRRefE20_7x</vt:lpstr>
      <vt:lpstr>'501'!OSRRefE20_7x</vt:lpstr>
      <vt:lpstr>'Div 2'!OSRRefE20_7x</vt:lpstr>
      <vt:lpstr>'Div 3'!OSRRefE20_7x</vt:lpstr>
      <vt:lpstr>'Div 4'!OSRRefE20_7x</vt:lpstr>
      <vt:lpstr>'Div 5'!OSRRefE20_7x</vt:lpstr>
      <vt:lpstr>'Div 6'!OSRRefE20_7x</vt:lpstr>
      <vt:lpstr>Summary!OSRRefE20_7x</vt:lpstr>
      <vt:lpstr>'201'!OSRRefE20_8x</vt:lpstr>
      <vt:lpstr>'202'!OSRRefE20_8x</vt:lpstr>
      <vt:lpstr>'203'!OSRRefE20_8x</vt:lpstr>
      <vt:lpstr>'204'!OSRRefE20_8x</vt:lpstr>
      <vt:lpstr>'300'!OSRRefE20_8x</vt:lpstr>
      <vt:lpstr>'300 &amp; 317'!OSRRefE20_8x</vt:lpstr>
      <vt:lpstr>'301'!OSRRefE20_8x</vt:lpstr>
      <vt:lpstr>'307'!OSRRefE20_8x</vt:lpstr>
      <vt:lpstr>'308'!OSRRefE20_8x</vt:lpstr>
      <vt:lpstr>'309'!OSRRefE20_8x</vt:lpstr>
      <vt:lpstr>'310'!OSRRefE20_8x</vt:lpstr>
      <vt:lpstr>'310 &amp; 491'!OSRRefE20_8x</vt:lpstr>
      <vt:lpstr>'311'!OSRRefE20_8x</vt:lpstr>
      <vt:lpstr>'315'!OSRRefE20_8x</vt:lpstr>
      <vt:lpstr>'316'!OSRRefE20_8x</vt:lpstr>
      <vt:lpstr>'317'!OSRRefE20_8x</vt:lpstr>
      <vt:lpstr>'321'!OSRRefE20_8x</vt:lpstr>
      <vt:lpstr>'322'!OSRRefE20_8x</vt:lpstr>
      <vt:lpstr>'325'!OSRRefE20_8x</vt:lpstr>
      <vt:lpstr>'326'!OSRRefE20_8x</vt:lpstr>
      <vt:lpstr>'330'!OSRRefE20_8x</vt:lpstr>
      <vt:lpstr>'331'!OSRRefE20_8x</vt:lpstr>
      <vt:lpstr>'332'!OSRRefE20_8x</vt:lpstr>
      <vt:lpstr>'405'!OSRRefE20_8x</vt:lpstr>
      <vt:lpstr>'411'!OSRRefE20_8x</vt:lpstr>
      <vt:lpstr>'412'!OSRRefE20_8x</vt:lpstr>
      <vt:lpstr>'413'!OSRRefE20_8x</vt:lpstr>
      <vt:lpstr>'414'!OSRRefE20_8x</vt:lpstr>
      <vt:lpstr>'415'!OSRRefE20_8x</vt:lpstr>
      <vt:lpstr>'418'!OSRRefE20_8x</vt:lpstr>
      <vt:lpstr>'433'!OSRRefE20_8x</vt:lpstr>
      <vt:lpstr>'444'!OSRRefE20_8x</vt:lpstr>
      <vt:lpstr>'450'!OSRRefE20_8x</vt:lpstr>
      <vt:lpstr>'491'!OSRRefE20_8x</vt:lpstr>
      <vt:lpstr>'492'!OSRRefE20_8x</vt:lpstr>
      <vt:lpstr>'501'!OSRRefE20_8x</vt:lpstr>
      <vt:lpstr>'Div 2'!OSRRefE20_8x</vt:lpstr>
      <vt:lpstr>'Div 3'!OSRRefE20_8x</vt:lpstr>
      <vt:lpstr>'Div 4'!OSRRefE20_8x</vt:lpstr>
      <vt:lpstr>'Div 5'!OSRRefE20_8x</vt:lpstr>
      <vt:lpstr>'Div 6'!OSRRefE20_8x</vt:lpstr>
      <vt:lpstr>Summary!OSRRefE20_8x</vt:lpstr>
      <vt:lpstr>'201'!OSRRefE20_9x</vt:lpstr>
      <vt:lpstr>'202'!OSRRefE20_9x</vt:lpstr>
      <vt:lpstr>'203'!OSRRefE20_9x</vt:lpstr>
      <vt:lpstr>'300'!OSRRefE20_9x</vt:lpstr>
      <vt:lpstr>'300 &amp; 317'!OSRRefE20_9x</vt:lpstr>
      <vt:lpstr>'301'!OSRRefE20_9x</vt:lpstr>
      <vt:lpstr>'307'!OSRRefE20_9x</vt:lpstr>
      <vt:lpstr>'308'!OSRRefE20_9x</vt:lpstr>
      <vt:lpstr>'310'!OSRRefE20_9x</vt:lpstr>
      <vt:lpstr>'310 &amp; 491'!OSRRefE20_9x</vt:lpstr>
      <vt:lpstr>'311'!OSRRefE20_9x</vt:lpstr>
      <vt:lpstr>'315'!OSRRefE20_9x</vt:lpstr>
      <vt:lpstr>'316'!OSRRefE20_9x</vt:lpstr>
      <vt:lpstr>'317'!OSRRefE20_9x</vt:lpstr>
      <vt:lpstr>'321'!OSRRefE20_9x</vt:lpstr>
      <vt:lpstr>'322'!OSRRefE20_9x</vt:lpstr>
      <vt:lpstr>'325'!OSRRefE20_9x</vt:lpstr>
      <vt:lpstr>'326'!OSRRefE20_9x</vt:lpstr>
      <vt:lpstr>'330'!OSRRefE20_9x</vt:lpstr>
      <vt:lpstr>'331'!OSRRefE20_9x</vt:lpstr>
      <vt:lpstr>'332'!OSRRefE20_9x</vt:lpstr>
      <vt:lpstr>'405'!OSRRefE20_9x</vt:lpstr>
      <vt:lpstr>'411'!OSRRefE20_9x</vt:lpstr>
      <vt:lpstr>'412'!OSRRefE20_9x</vt:lpstr>
      <vt:lpstr>'413'!OSRRefE20_9x</vt:lpstr>
      <vt:lpstr>'414'!OSRRefE20_9x</vt:lpstr>
      <vt:lpstr>'415'!OSRRefE20_9x</vt:lpstr>
      <vt:lpstr>'418'!OSRRefE20_9x</vt:lpstr>
      <vt:lpstr>'433'!OSRRefE20_9x</vt:lpstr>
      <vt:lpstr>'444'!OSRRefE20_9x</vt:lpstr>
      <vt:lpstr>'450'!OSRRefE20_9x</vt:lpstr>
      <vt:lpstr>'491'!OSRRefE20_9x</vt:lpstr>
      <vt:lpstr>'492'!OSRRefE20_9x</vt:lpstr>
      <vt:lpstr>'501'!OSRRefE20_9x</vt:lpstr>
      <vt:lpstr>'Div 2'!OSRRefE20_9x</vt:lpstr>
      <vt:lpstr>'Div 3'!OSRRefE20_9x</vt:lpstr>
      <vt:lpstr>'Div 4'!OSRRefE20_9x</vt:lpstr>
      <vt:lpstr>'Div 5'!OSRRefE20_9x</vt:lpstr>
      <vt:lpstr>'Div 6'!OSRRefE20_9x</vt:lpstr>
      <vt:lpstr>Summary!OSRRefE20_9x</vt:lpstr>
      <vt:lpstr>'200'!OSRRefE20x_0</vt:lpstr>
      <vt:lpstr>'201'!OSRRefE20x_0</vt:lpstr>
      <vt:lpstr>'202'!OSRRefE20x_0</vt:lpstr>
      <vt:lpstr>'203'!OSRRefE20x_0</vt:lpstr>
      <vt:lpstr>'204'!OSRRefE20x_0</vt:lpstr>
      <vt:lpstr>'205'!OSRRefE20x_0</vt:lpstr>
      <vt:lpstr>'206'!OSRRefE20x_0</vt:lpstr>
      <vt:lpstr>'300'!OSRRefE20x_0</vt:lpstr>
      <vt:lpstr>'300 &amp; 317'!OSRRefE20x_0</vt:lpstr>
      <vt:lpstr>'301'!OSRRefE20x_0</vt:lpstr>
      <vt:lpstr>'307'!OSRRefE20x_0</vt:lpstr>
      <vt:lpstr>'308'!OSRRefE20x_0</vt:lpstr>
      <vt:lpstr>'309'!OSRRefE20x_0</vt:lpstr>
      <vt:lpstr>'310'!OSRRefE20x_0</vt:lpstr>
      <vt:lpstr>'310 &amp; 491'!OSRRefE20x_0</vt:lpstr>
      <vt:lpstr>'311'!OSRRefE20x_0</vt:lpstr>
      <vt:lpstr>'313'!OSRRefE20x_0</vt:lpstr>
      <vt:lpstr>'315'!OSRRefE20x_0</vt:lpstr>
      <vt:lpstr>'316'!OSRRefE20x_0</vt:lpstr>
      <vt:lpstr>'317'!OSRRefE20x_0</vt:lpstr>
      <vt:lpstr>'321'!OSRRefE20x_0</vt:lpstr>
      <vt:lpstr>'322'!OSRRefE20x_0</vt:lpstr>
      <vt:lpstr>'324'!OSRRefE20x_0</vt:lpstr>
      <vt:lpstr>'325'!OSRRefE20x_0</vt:lpstr>
      <vt:lpstr>'326'!OSRRefE20x_0</vt:lpstr>
      <vt:lpstr>'327'!OSRRefE20x_0</vt:lpstr>
      <vt:lpstr>'330'!OSRRefE20x_0</vt:lpstr>
      <vt:lpstr>'331'!OSRRefE20x_0</vt:lpstr>
      <vt:lpstr>'332'!OSRRefE20x_0</vt:lpstr>
      <vt:lpstr>'405'!OSRRefE20x_0</vt:lpstr>
      <vt:lpstr>'406'!OSRRefE20x_0</vt:lpstr>
      <vt:lpstr>'411'!OSRRefE20x_0</vt:lpstr>
      <vt:lpstr>'412'!OSRRefE20x_0</vt:lpstr>
      <vt:lpstr>'413'!OSRRefE20x_0</vt:lpstr>
      <vt:lpstr>'414'!OSRRefE20x_0</vt:lpstr>
      <vt:lpstr>'415'!OSRRefE20x_0</vt:lpstr>
      <vt:lpstr>'418'!OSRRefE20x_0</vt:lpstr>
      <vt:lpstr>'423'!OSRRefE20x_0</vt:lpstr>
      <vt:lpstr>'424'!OSRRefE20x_0</vt:lpstr>
      <vt:lpstr>'425'!OSRRefE20x_0</vt:lpstr>
      <vt:lpstr>'430'!OSRRefE20x_0</vt:lpstr>
      <vt:lpstr>'433'!OSRRefE20x_0</vt:lpstr>
      <vt:lpstr>'435'!OSRRefE20x_0</vt:lpstr>
      <vt:lpstr>'444'!OSRRefE20x_0</vt:lpstr>
      <vt:lpstr>'450'!OSRRefE20x_0</vt:lpstr>
      <vt:lpstr>'491'!OSRRefE20x_0</vt:lpstr>
      <vt:lpstr>'492'!OSRRefE20x_0</vt:lpstr>
      <vt:lpstr>'501'!OSRRefE20x_0</vt:lpstr>
      <vt:lpstr>'Div 2'!OSRRefE20x_0</vt:lpstr>
      <vt:lpstr>'Div 3'!OSRRefE20x_0</vt:lpstr>
      <vt:lpstr>'Div 4'!OSRRefE20x_0</vt:lpstr>
      <vt:lpstr>'Div 5'!OSRRefE20x_0</vt:lpstr>
      <vt:lpstr>'Div 6'!OSRRefE20x_0</vt:lpstr>
      <vt:lpstr>Summary!OSRRefE20x_0</vt:lpstr>
      <vt:lpstr>'200'!OSRRefE20x_1</vt:lpstr>
      <vt:lpstr>'201'!OSRRefE20x_1</vt:lpstr>
      <vt:lpstr>'202'!OSRRefE20x_1</vt:lpstr>
      <vt:lpstr>'203'!OSRRefE20x_1</vt:lpstr>
      <vt:lpstr>'204'!OSRRefE20x_1</vt:lpstr>
      <vt:lpstr>'205'!OSRRefE20x_1</vt:lpstr>
      <vt:lpstr>'206'!OSRRefE20x_1</vt:lpstr>
      <vt:lpstr>'300'!OSRRefE20x_1</vt:lpstr>
      <vt:lpstr>'300 &amp; 317'!OSRRefE20x_1</vt:lpstr>
      <vt:lpstr>'301'!OSRRefE20x_1</vt:lpstr>
      <vt:lpstr>'307'!OSRRefE20x_1</vt:lpstr>
      <vt:lpstr>'308'!OSRRefE20x_1</vt:lpstr>
      <vt:lpstr>'309'!OSRRefE20x_1</vt:lpstr>
      <vt:lpstr>'310'!OSRRefE20x_1</vt:lpstr>
      <vt:lpstr>'310 &amp; 491'!OSRRefE20x_1</vt:lpstr>
      <vt:lpstr>'311'!OSRRefE20x_1</vt:lpstr>
      <vt:lpstr>'313'!OSRRefE20x_1</vt:lpstr>
      <vt:lpstr>'315'!OSRRefE20x_1</vt:lpstr>
      <vt:lpstr>'316'!OSRRefE20x_1</vt:lpstr>
      <vt:lpstr>'317'!OSRRefE20x_1</vt:lpstr>
      <vt:lpstr>'321'!OSRRefE20x_1</vt:lpstr>
      <vt:lpstr>'322'!OSRRefE20x_1</vt:lpstr>
      <vt:lpstr>'324'!OSRRefE20x_1</vt:lpstr>
      <vt:lpstr>'325'!OSRRefE20x_1</vt:lpstr>
      <vt:lpstr>'326'!OSRRefE20x_1</vt:lpstr>
      <vt:lpstr>'327'!OSRRefE20x_1</vt:lpstr>
      <vt:lpstr>'330'!OSRRefE20x_1</vt:lpstr>
      <vt:lpstr>'331'!OSRRefE20x_1</vt:lpstr>
      <vt:lpstr>'332'!OSRRefE20x_1</vt:lpstr>
      <vt:lpstr>'405'!OSRRefE20x_1</vt:lpstr>
      <vt:lpstr>'406'!OSRRefE20x_1</vt:lpstr>
      <vt:lpstr>'411'!OSRRefE20x_1</vt:lpstr>
      <vt:lpstr>'412'!OSRRefE20x_1</vt:lpstr>
      <vt:lpstr>'413'!OSRRefE20x_1</vt:lpstr>
      <vt:lpstr>'414'!OSRRefE20x_1</vt:lpstr>
      <vt:lpstr>'415'!OSRRefE20x_1</vt:lpstr>
      <vt:lpstr>'418'!OSRRefE20x_1</vt:lpstr>
      <vt:lpstr>'423'!OSRRefE20x_1</vt:lpstr>
      <vt:lpstr>'424'!OSRRefE20x_1</vt:lpstr>
      <vt:lpstr>'425'!OSRRefE20x_1</vt:lpstr>
      <vt:lpstr>'430'!OSRRefE20x_1</vt:lpstr>
      <vt:lpstr>'433'!OSRRefE20x_1</vt:lpstr>
      <vt:lpstr>'435'!OSRRefE20x_1</vt:lpstr>
      <vt:lpstr>'444'!OSRRefE20x_1</vt:lpstr>
      <vt:lpstr>'450'!OSRRefE20x_1</vt:lpstr>
      <vt:lpstr>'491'!OSRRefE20x_1</vt:lpstr>
      <vt:lpstr>'492'!OSRRefE20x_1</vt:lpstr>
      <vt:lpstr>'501'!OSRRefE20x_1</vt:lpstr>
      <vt:lpstr>'Div 2'!OSRRefE20x_1</vt:lpstr>
      <vt:lpstr>'Div 3'!OSRRefE20x_1</vt:lpstr>
      <vt:lpstr>'Div 4'!OSRRefE20x_1</vt:lpstr>
      <vt:lpstr>'Div 5'!OSRRefE20x_1</vt:lpstr>
      <vt:lpstr>'Div 6'!OSRRefE20x_1</vt:lpstr>
      <vt:lpstr>Summary!OSRRefE20x_1</vt:lpstr>
      <vt:lpstr>'200'!OSRRefE20x_2</vt:lpstr>
      <vt:lpstr>'201'!OSRRefE20x_2</vt:lpstr>
      <vt:lpstr>'202'!OSRRefE20x_2</vt:lpstr>
      <vt:lpstr>'203'!OSRRefE20x_2</vt:lpstr>
      <vt:lpstr>'204'!OSRRefE20x_2</vt:lpstr>
      <vt:lpstr>'205'!OSRRefE20x_2</vt:lpstr>
      <vt:lpstr>'206'!OSRRefE20x_2</vt:lpstr>
      <vt:lpstr>'300'!OSRRefE20x_2</vt:lpstr>
      <vt:lpstr>'300 &amp; 317'!OSRRefE20x_2</vt:lpstr>
      <vt:lpstr>'301'!OSRRefE20x_2</vt:lpstr>
      <vt:lpstr>'307'!OSRRefE20x_2</vt:lpstr>
      <vt:lpstr>'308'!OSRRefE20x_2</vt:lpstr>
      <vt:lpstr>'309'!OSRRefE20x_2</vt:lpstr>
      <vt:lpstr>'310'!OSRRefE20x_2</vt:lpstr>
      <vt:lpstr>'310 &amp; 491'!OSRRefE20x_2</vt:lpstr>
      <vt:lpstr>'311'!OSRRefE20x_2</vt:lpstr>
      <vt:lpstr>'313'!OSRRefE20x_2</vt:lpstr>
      <vt:lpstr>'315'!OSRRefE20x_2</vt:lpstr>
      <vt:lpstr>'316'!OSRRefE20x_2</vt:lpstr>
      <vt:lpstr>'317'!OSRRefE20x_2</vt:lpstr>
      <vt:lpstr>'321'!OSRRefE20x_2</vt:lpstr>
      <vt:lpstr>'322'!OSRRefE20x_2</vt:lpstr>
      <vt:lpstr>'324'!OSRRefE20x_2</vt:lpstr>
      <vt:lpstr>'325'!OSRRefE20x_2</vt:lpstr>
      <vt:lpstr>'326'!OSRRefE20x_2</vt:lpstr>
      <vt:lpstr>'327'!OSRRefE20x_2</vt:lpstr>
      <vt:lpstr>'330'!OSRRefE20x_2</vt:lpstr>
      <vt:lpstr>'331'!OSRRefE20x_2</vt:lpstr>
      <vt:lpstr>'332'!OSRRefE20x_2</vt:lpstr>
      <vt:lpstr>'405'!OSRRefE20x_2</vt:lpstr>
      <vt:lpstr>'406'!OSRRefE20x_2</vt:lpstr>
      <vt:lpstr>'411'!OSRRefE20x_2</vt:lpstr>
      <vt:lpstr>'412'!OSRRefE20x_2</vt:lpstr>
      <vt:lpstr>'413'!OSRRefE20x_2</vt:lpstr>
      <vt:lpstr>'414'!OSRRefE20x_2</vt:lpstr>
      <vt:lpstr>'415'!OSRRefE20x_2</vt:lpstr>
      <vt:lpstr>'418'!OSRRefE20x_2</vt:lpstr>
      <vt:lpstr>'423'!OSRRefE20x_2</vt:lpstr>
      <vt:lpstr>'424'!OSRRefE20x_2</vt:lpstr>
      <vt:lpstr>'425'!OSRRefE20x_2</vt:lpstr>
      <vt:lpstr>'430'!OSRRefE20x_2</vt:lpstr>
      <vt:lpstr>'433'!OSRRefE20x_2</vt:lpstr>
      <vt:lpstr>'435'!OSRRefE20x_2</vt:lpstr>
      <vt:lpstr>'444'!OSRRefE20x_2</vt:lpstr>
      <vt:lpstr>'450'!OSRRefE20x_2</vt:lpstr>
      <vt:lpstr>'491'!OSRRefE20x_2</vt:lpstr>
      <vt:lpstr>'492'!OSRRefE20x_2</vt:lpstr>
      <vt:lpstr>'501'!OSRRefE20x_2</vt:lpstr>
      <vt:lpstr>'Div 2'!OSRRefE20x_2</vt:lpstr>
      <vt:lpstr>'Div 3'!OSRRefE20x_2</vt:lpstr>
      <vt:lpstr>'Div 4'!OSRRefE20x_2</vt:lpstr>
      <vt:lpstr>'Div 5'!OSRRefE20x_2</vt:lpstr>
      <vt:lpstr>'Div 6'!OSRRefE20x_2</vt:lpstr>
      <vt:lpstr>Summary!OSRRefE20x_2</vt:lpstr>
      <vt:lpstr>'200'!OSRRefE20x_3</vt:lpstr>
      <vt:lpstr>'201'!OSRRefE20x_3</vt:lpstr>
      <vt:lpstr>'202'!OSRRefE20x_3</vt:lpstr>
      <vt:lpstr>'203'!OSRRefE20x_3</vt:lpstr>
      <vt:lpstr>'204'!OSRRefE20x_3</vt:lpstr>
      <vt:lpstr>'205'!OSRRefE20x_3</vt:lpstr>
      <vt:lpstr>'206'!OSRRefE20x_3</vt:lpstr>
      <vt:lpstr>'300'!OSRRefE20x_3</vt:lpstr>
      <vt:lpstr>'300 &amp; 317'!OSRRefE20x_3</vt:lpstr>
      <vt:lpstr>'301'!OSRRefE20x_3</vt:lpstr>
      <vt:lpstr>'307'!OSRRefE20x_3</vt:lpstr>
      <vt:lpstr>'308'!OSRRefE20x_3</vt:lpstr>
      <vt:lpstr>'309'!OSRRefE20x_3</vt:lpstr>
      <vt:lpstr>'310'!OSRRefE20x_3</vt:lpstr>
      <vt:lpstr>'310 &amp; 491'!OSRRefE20x_3</vt:lpstr>
      <vt:lpstr>'311'!OSRRefE20x_3</vt:lpstr>
      <vt:lpstr>'313'!OSRRefE20x_3</vt:lpstr>
      <vt:lpstr>'315'!OSRRefE20x_3</vt:lpstr>
      <vt:lpstr>'316'!OSRRefE20x_3</vt:lpstr>
      <vt:lpstr>'317'!OSRRefE20x_3</vt:lpstr>
      <vt:lpstr>'321'!OSRRefE20x_3</vt:lpstr>
      <vt:lpstr>'322'!OSRRefE20x_3</vt:lpstr>
      <vt:lpstr>'324'!OSRRefE20x_3</vt:lpstr>
      <vt:lpstr>'325'!OSRRefE20x_3</vt:lpstr>
      <vt:lpstr>'326'!OSRRefE20x_3</vt:lpstr>
      <vt:lpstr>'327'!OSRRefE20x_3</vt:lpstr>
      <vt:lpstr>'330'!OSRRefE20x_3</vt:lpstr>
      <vt:lpstr>'331'!OSRRefE20x_3</vt:lpstr>
      <vt:lpstr>'332'!OSRRefE20x_3</vt:lpstr>
      <vt:lpstr>'405'!OSRRefE20x_3</vt:lpstr>
      <vt:lpstr>'406'!OSRRefE20x_3</vt:lpstr>
      <vt:lpstr>'411'!OSRRefE20x_3</vt:lpstr>
      <vt:lpstr>'412'!OSRRefE20x_3</vt:lpstr>
      <vt:lpstr>'413'!OSRRefE20x_3</vt:lpstr>
      <vt:lpstr>'414'!OSRRefE20x_3</vt:lpstr>
      <vt:lpstr>'415'!OSRRefE20x_3</vt:lpstr>
      <vt:lpstr>'418'!OSRRefE20x_3</vt:lpstr>
      <vt:lpstr>'423'!OSRRefE20x_3</vt:lpstr>
      <vt:lpstr>'424'!OSRRefE20x_3</vt:lpstr>
      <vt:lpstr>'425'!OSRRefE20x_3</vt:lpstr>
      <vt:lpstr>'430'!OSRRefE20x_3</vt:lpstr>
      <vt:lpstr>'433'!OSRRefE20x_3</vt:lpstr>
      <vt:lpstr>'435'!OSRRefE20x_3</vt:lpstr>
      <vt:lpstr>'444'!OSRRefE20x_3</vt:lpstr>
      <vt:lpstr>'450'!OSRRefE20x_3</vt:lpstr>
      <vt:lpstr>'491'!OSRRefE20x_3</vt:lpstr>
      <vt:lpstr>'492'!OSRRefE20x_3</vt:lpstr>
      <vt:lpstr>'501'!OSRRefE20x_3</vt:lpstr>
      <vt:lpstr>'Div 2'!OSRRefE20x_3</vt:lpstr>
      <vt:lpstr>'Div 3'!OSRRefE20x_3</vt:lpstr>
      <vt:lpstr>'Div 4'!OSRRefE20x_3</vt:lpstr>
      <vt:lpstr>'Div 5'!OSRRefE20x_3</vt:lpstr>
      <vt:lpstr>'Div 6'!OSRRefE20x_3</vt:lpstr>
      <vt:lpstr>Summary!OSRRefE20x_3</vt:lpstr>
      <vt:lpstr>'200'!OSRRefE20x_4</vt:lpstr>
      <vt:lpstr>'201'!OSRRefE20x_4</vt:lpstr>
      <vt:lpstr>'202'!OSRRefE20x_4</vt:lpstr>
      <vt:lpstr>'203'!OSRRefE20x_4</vt:lpstr>
      <vt:lpstr>'204'!OSRRefE20x_4</vt:lpstr>
      <vt:lpstr>'205'!OSRRefE20x_4</vt:lpstr>
      <vt:lpstr>'206'!OSRRefE20x_4</vt:lpstr>
      <vt:lpstr>'300'!OSRRefE20x_4</vt:lpstr>
      <vt:lpstr>'300 &amp; 317'!OSRRefE20x_4</vt:lpstr>
      <vt:lpstr>'301'!OSRRefE20x_4</vt:lpstr>
      <vt:lpstr>'307'!OSRRefE20x_4</vt:lpstr>
      <vt:lpstr>'308'!OSRRefE20x_4</vt:lpstr>
      <vt:lpstr>'309'!OSRRefE20x_4</vt:lpstr>
      <vt:lpstr>'310'!OSRRefE20x_4</vt:lpstr>
      <vt:lpstr>'310 &amp; 491'!OSRRefE20x_4</vt:lpstr>
      <vt:lpstr>'311'!OSRRefE20x_4</vt:lpstr>
      <vt:lpstr>'313'!OSRRefE20x_4</vt:lpstr>
      <vt:lpstr>'315'!OSRRefE20x_4</vt:lpstr>
      <vt:lpstr>'316'!OSRRefE20x_4</vt:lpstr>
      <vt:lpstr>'317'!OSRRefE20x_4</vt:lpstr>
      <vt:lpstr>'321'!OSRRefE20x_4</vt:lpstr>
      <vt:lpstr>'322'!OSRRefE20x_4</vt:lpstr>
      <vt:lpstr>'324'!OSRRefE20x_4</vt:lpstr>
      <vt:lpstr>'325'!OSRRefE20x_4</vt:lpstr>
      <vt:lpstr>'326'!OSRRefE20x_4</vt:lpstr>
      <vt:lpstr>'327'!OSRRefE20x_4</vt:lpstr>
      <vt:lpstr>'330'!OSRRefE20x_4</vt:lpstr>
      <vt:lpstr>'331'!OSRRefE20x_4</vt:lpstr>
      <vt:lpstr>'332'!OSRRefE20x_4</vt:lpstr>
      <vt:lpstr>'405'!OSRRefE20x_4</vt:lpstr>
      <vt:lpstr>'406'!OSRRefE20x_4</vt:lpstr>
      <vt:lpstr>'411'!OSRRefE20x_4</vt:lpstr>
      <vt:lpstr>'412'!OSRRefE20x_4</vt:lpstr>
      <vt:lpstr>'413'!OSRRefE20x_4</vt:lpstr>
      <vt:lpstr>'414'!OSRRefE20x_4</vt:lpstr>
      <vt:lpstr>'415'!OSRRefE20x_4</vt:lpstr>
      <vt:lpstr>'418'!OSRRefE20x_4</vt:lpstr>
      <vt:lpstr>'423'!OSRRefE20x_4</vt:lpstr>
      <vt:lpstr>'424'!OSRRefE20x_4</vt:lpstr>
      <vt:lpstr>'425'!OSRRefE20x_4</vt:lpstr>
      <vt:lpstr>'430'!OSRRefE20x_4</vt:lpstr>
      <vt:lpstr>'433'!OSRRefE20x_4</vt:lpstr>
      <vt:lpstr>'435'!OSRRefE20x_4</vt:lpstr>
      <vt:lpstr>'444'!OSRRefE20x_4</vt:lpstr>
      <vt:lpstr>'450'!OSRRefE20x_4</vt:lpstr>
      <vt:lpstr>'491'!OSRRefE20x_4</vt:lpstr>
      <vt:lpstr>'492'!OSRRefE20x_4</vt:lpstr>
      <vt:lpstr>'501'!OSRRefE20x_4</vt:lpstr>
      <vt:lpstr>'Div 2'!OSRRefE20x_4</vt:lpstr>
      <vt:lpstr>'Div 3'!OSRRefE20x_4</vt:lpstr>
      <vt:lpstr>'Div 4'!OSRRefE20x_4</vt:lpstr>
      <vt:lpstr>'Div 5'!OSRRefE20x_4</vt:lpstr>
      <vt:lpstr>'Div 6'!OSRRefE20x_4</vt:lpstr>
      <vt:lpstr>Summary!OSRRefE20x_4</vt:lpstr>
      <vt:lpstr>'200'!OSRRefE20x_5</vt:lpstr>
      <vt:lpstr>'201'!OSRRefE20x_5</vt:lpstr>
      <vt:lpstr>'202'!OSRRefE20x_5</vt:lpstr>
      <vt:lpstr>'203'!OSRRefE20x_5</vt:lpstr>
      <vt:lpstr>'204'!OSRRefE20x_5</vt:lpstr>
      <vt:lpstr>'205'!OSRRefE20x_5</vt:lpstr>
      <vt:lpstr>'206'!OSRRefE20x_5</vt:lpstr>
      <vt:lpstr>'300'!OSRRefE20x_5</vt:lpstr>
      <vt:lpstr>'300 &amp; 317'!OSRRefE20x_5</vt:lpstr>
      <vt:lpstr>'301'!OSRRefE20x_5</vt:lpstr>
      <vt:lpstr>'307'!OSRRefE20x_5</vt:lpstr>
      <vt:lpstr>'308'!OSRRefE20x_5</vt:lpstr>
      <vt:lpstr>'309'!OSRRefE20x_5</vt:lpstr>
      <vt:lpstr>'310'!OSRRefE20x_5</vt:lpstr>
      <vt:lpstr>'310 &amp; 491'!OSRRefE20x_5</vt:lpstr>
      <vt:lpstr>'311'!OSRRefE20x_5</vt:lpstr>
      <vt:lpstr>'313'!OSRRefE20x_5</vt:lpstr>
      <vt:lpstr>'315'!OSRRefE20x_5</vt:lpstr>
      <vt:lpstr>'316'!OSRRefE20x_5</vt:lpstr>
      <vt:lpstr>'317'!OSRRefE20x_5</vt:lpstr>
      <vt:lpstr>'321'!OSRRefE20x_5</vt:lpstr>
      <vt:lpstr>'322'!OSRRefE20x_5</vt:lpstr>
      <vt:lpstr>'324'!OSRRefE20x_5</vt:lpstr>
      <vt:lpstr>'325'!OSRRefE20x_5</vt:lpstr>
      <vt:lpstr>'326'!OSRRefE20x_5</vt:lpstr>
      <vt:lpstr>'327'!OSRRefE20x_5</vt:lpstr>
      <vt:lpstr>'330'!OSRRefE20x_5</vt:lpstr>
      <vt:lpstr>'331'!OSRRefE20x_5</vt:lpstr>
      <vt:lpstr>'332'!OSRRefE20x_5</vt:lpstr>
      <vt:lpstr>'405'!OSRRefE20x_5</vt:lpstr>
      <vt:lpstr>'406'!OSRRefE20x_5</vt:lpstr>
      <vt:lpstr>'411'!OSRRefE20x_5</vt:lpstr>
      <vt:lpstr>'412'!OSRRefE20x_5</vt:lpstr>
      <vt:lpstr>'413'!OSRRefE20x_5</vt:lpstr>
      <vt:lpstr>'414'!OSRRefE20x_5</vt:lpstr>
      <vt:lpstr>'415'!OSRRefE20x_5</vt:lpstr>
      <vt:lpstr>'418'!OSRRefE20x_5</vt:lpstr>
      <vt:lpstr>'423'!OSRRefE20x_5</vt:lpstr>
      <vt:lpstr>'424'!OSRRefE20x_5</vt:lpstr>
      <vt:lpstr>'425'!OSRRefE20x_5</vt:lpstr>
      <vt:lpstr>'430'!OSRRefE20x_5</vt:lpstr>
      <vt:lpstr>'433'!OSRRefE20x_5</vt:lpstr>
      <vt:lpstr>'435'!OSRRefE20x_5</vt:lpstr>
      <vt:lpstr>'444'!OSRRefE20x_5</vt:lpstr>
      <vt:lpstr>'450'!OSRRefE20x_5</vt:lpstr>
      <vt:lpstr>'491'!OSRRefE20x_5</vt:lpstr>
      <vt:lpstr>'492'!OSRRefE20x_5</vt:lpstr>
      <vt:lpstr>'501'!OSRRefE20x_5</vt:lpstr>
      <vt:lpstr>'Div 2'!OSRRefE20x_5</vt:lpstr>
      <vt:lpstr>'Div 3'!OSRRefE20x_5</vt:lpstr>
      <vt:lpstr>'Div 4'!OSRRefE20x_5</vt:lpstr>
      <vt:lpstr>'Div 5'!OSRRefE20x_5</vt:lpstr>
      <vt:lpstr>'Div 6'!OSRRefE20x_5</vt:lpstr>
      <vt:lpstr>Summary!OSRRefE20x_5</vt:lpstr>
      <vt:lpstr>'200'!OSRRefE20x_6</vt:lpstr>
      <vt:lpstr>'201'!OSRRefE20x_6</vt:lpstr>
      <vt:lpstr>'202'!OSRRefE20x_6</vt:lpstr>
      <vt:lpstr>'203'!OSRRefE20x_6</vt:lpstr>
      <vt:lpstr>'204'!OSRRefE20x_6</vt:lpstr>
      <vt:lpstr>'205'!OSRRefE20x_6</vt:lpstr>
      <vt:lpstr>'206'!OSRRefE20x_6</vt:lpstr>
      <vt:lpstr>'300'!OSRRefE20x_6</vt:lpstr>
      <vt:lpstr>'300 &amp; 317'!OSRRefE20x_6</vt:lpstr>
      <vt:lpstr>'301'!OSRRefE20x_6</vt:lpstr>
      <vt:lpstr>'307'!OSRRefE20x_6</vt:lpstr>
      <vt:lpstr>'308'!OSRRefE20x_6</vt:lpstr>
      <vt:lpstr>'309'!OSRRefE20x_6</vt:lpstr>
      <vt:lpstr>'310'!OSRRefE20x_6</vt:lpstr>
      <vt:lpstr>'310 &amp; 491'!OSRRefE20x_6</vt:lpstr>
      <vt:lpstr>'311'!OSRRefE20x_6</vt:lpstr>
      <vt:lpstr>'313'!OSRRefE20x_6</vt:lpstr>
      <vt:lpstr>'315'!OSRRefE20x_6</vt:lpstr>
      <vt:lpstr>'316'!OSRRefE20x_6</vt:lpstr>
      <vt:lpstr>'317'!OSRRefE20x_6</vt:lpstr>
      <vt:lpstr>'321'!OSRRefE20x_6</vt:lpstr>
      <vt:lpstr>'322'!OSRRefE20x_6</vt:lpstr>
      <vt:lpstr>'324'!OSRRefE20x_6</vt:lpstr>
      <vt:lpstr>'325'!OSRRefE20x_6</vt:lpstr>
      <vt:lpstr>'326'!OSRRefE20x_6</vt:lpstr>
      <vt:lpstr>'327'!OSRRefE20x_6</vt:lpstr>
      <vt:lpstr>'330'!OSRRefE20x_6</vt:lpstr>
      <vt:lpstr>'331'!OSRRefE20x_6</vt:lpstr>
      <vt:lpstr>'332'!OSRRefE20x_6</vt:lpstr>
      <vt:lpstr>'405'!OSRRefE20x_6</vt:lpstr>
      <vt:lpstr>'406'!OSRRefE20x_6</vt:lpstr>
      <vt:lpstr>'411'!OSRRefE20x_6</vt:lpstr>
      <vt:lpstr>'412'!OSRRefE20x_6</vt:lpstr>
      <vt:lpstr>'413'!OSRRefE20x_6</vt:lpstr>
      <vt:lpstr>'414'!OSRRefE20x_6</vt:lpstr>
      <vt:lpstr>'415'!OSRRefE20x_6</vt:lpstr>
      <vt:lpstr>'418'!OSRRefE20x_6</vt:lpstr>
      <vt:lpstr>'423'!OSRRefE20x_6</vt:lpstr>
      <vt:lpstr>'424'!OSRRefE20x_6</vt:lpstr>
      <vt:lpstr>'425'!OSRRefE20x_6</vt:lpstr>
      <vt:lpstr>'430'!OSRRefE20x_6</vt:lpstr>
      <vt:lpstr>'433'!OSRRefE20x_6</vt:lpstr>
      <vt:lpstr>'435'!OSRRefE20x_6</vt:lpstr>
      <vt:lpstr>'444'!OSRRefE20x_6</vt:lpstr>
      <vt:lpstr>'450'!OSRRefE20x_6</vt:lpstr>
      <vt:lpstr>'491'!OSRRefE20x_6</vt:lpstr>
      <vt:lpstr>'492'!OSRRefE20x_6</vt:lpstr>
      <vt:lpstr>'501'!OSRRefE20x_6</vt:lpstr>
      <vt:lpstr>'Div 2'!OSRRefE20x_6</vt:lpstr>
      <vt:lpstr>'Div 3'!OSRRefE20x_6</vt:lpstr>
      <vt:lpstr>'Div 4'!OSRRefE20x_6</vt:lpstr>
      <vt:lpstr>'Div 5'!OSRRefE20x_6</vt:lpstr>
      <vt:lpstr>'Div 6'!OSRRefE20x_6</vt:lpstr>
      <vt:lpstr>Summary!OSRRefE20x_6</vt:lpstr>
      <vt:lpstr>'200'!OSRRefE20x_7</vt:lpstr>
      <vt:lpstr>'201'!OSRRefE20x_7</vt:lpstr>
      <vt:lpstr>'202'!OSRRefE20x_7</vt:lpstr>
      <vt:lpstr>'203'!OSRRefE20x_7</vt:lpstr>
      <vt:lpstr>'204'!OSRRefE20x_7</vt:lpstr>
      <vt:lpstr>'205'!OSRRefE20x_7</vt:lpstr>
      <vt:lpstr>'206'!OSRRefE20x_7</vt:lpstr>
      <vt:lpstr>'300'!OSRRefE20x_7</vt:lpstr>
      <vt:lpstr>'300 &amp; 317'!OSRRefE20x_7</vt:lpstr>
      <vt:lpstr>'301'!OSRRefE20x_7</vt:lpstr>
      <vt:lpstr>'307'!OSRRefE20x_7</vt:lpstr>
      <vt:lpstr>'308'!OSRRefE20x_7</vt:lpstr>
      <vt:lpstr>'309'!OSRRefE20x_7</vt:lpstr>
      <vt:lpstr>'310'!OSRRefE20x_7</vt:lpstr>
      <vt:lpstr>'310 &amp; 491'!OSRRefE20x_7</vt:lpstr>
      <vt:lpstr>'311'!OSRRefE20x_7</vt:lpstr>
      <vt:lpstr>'313'!OSRRefE20x_7</vt:lpstr>
      <vt:lpstr>'315'!OSRRefE20x_7</vt:lpstr>
      <vt:lpstr>'316'!OSRRefE20x_7</vt:lpstr>
      <vt:lpstr>'317'!OSRRefE20x_7</vt:lpstr>
      <vt:lpstr>'321'!OSRRefE20x_7</vt:lpstr>
      <vt:lpstr>'322'!OSRRefE20x_7</vt:lpstr>
      <vt:lpstr>'324'!OSRRefE20x_7</vt:lpstr>
      <vt:lpstr>'325'!OSRRefE20x_7</vt:lpstr>
      <vt:lpstr>'326'!OSRRefE20x_7</vt:lpstr>
      <vt:lpstr>'327'!OSRRefE20x_7</vt:lpstr>
      <vt:lpstr>'330'!OSRRefE20x_7</vt:lpstr>
      <vt:lpstr>'331'!OSRRefE20x_7</vt:lpstr>
      <vt:lpstr>'332'!OSRRefE20x_7</vt:lpstr>
      <vt:lpstr>'405'!OSRRefE20x_7</vt:lpstr>
      <vt:lpstr>'406'!OSRRefE20x_7</vt:lpstr>
      <vt:lpstr>'411'!OSRRefE20x_7</vt:lpstr>
      <vt:lpstr>'412'!OSRRefE20x_7</vt:lpstr>
      <vt:lpstr>'413'!OSRRefE20x_7</vt:lpstr>
      <vt:lpstr>'414'!OSRRefE20x_7</vt:lpstr>
      <vt:lpstr>'415'!OSRRefE20x_7</vt:lpstr>
      <vt:lpstr>'418'!OSRRefE20x_7</vt:lpstr>
      <vt:lpstr>'423'!OSRRefE20x_7</vt:lpstr>
      <vt:lpstr>'424'!OSRRefE20x_7</vt:lpstr>
      <vt:lpstr>'425'!OSRRefE20x_7</vt:lpstr>
      <vt:lpstr>'430'!OSRRefE20x_7</vt:lpstr>
      <vt:lpstr>'433'!OSRRefE20x_7</vt:lpstr>
      <vt:lpstr>'435'!OSRRefE20x_7</vt:lpstr>
      <vt:lpstr>'444'!OSRRefE20x_7</vt:lpstr>
      <vt:lpstr>'450'!OSRRefE20x_7</vt:lpstr>
      <vt:lpstr>'491'!OSRRefE20x_7</vt:lpstr>
      <vt:lpstr>'492'!OSRRefE20x_7</vt:lpstr>
      <vt:lpstr>'501'!OSRRefE20x_7</vt:lpstr>
      <vt:lpstr>'Div 2'!OSRRefE20x_7</vt:lpstr>
      <vt:lpstr>'Div 3'!OSRRefE20x_7</vt:lpstr>
      <vt:lpstr>'Div 4'!OSRRefE20x_7</vt:lpstr>
      <vt:lpstr>'Div 5'!OSRRefE20x_7</vt:lpstr>
      <vt:lpstr>'Div 6'!OSRRefE20x_7</vt:lpstr>
      <vt:lpstr>Summary!OSRRefE20x_7</vt:lpstr>
      <vt:lpstr>'200'!OSRRefE21_0_0x</vt:lpstr>
      <vt:lpstr>'201'!OSRRefE21_0_0x</vt:lpstr>
      <vt:lpstr>'202'!OSRRefE21_0_0x</vt:lpstr>
      <vt:lpstr>'203'!OSRRefE21_0_0x</vt:lpstr>
      <vt:lpstr>'204'!OSRRefE21_0_0x</vt:lpstr>
      <vt:lpstr>'205'!OSRRefE21_0_0x</vt:lpstr>
      <vt:lpstr>'206'!OSRRefE21_0_0x</vt:lpstr>
      <vt:lpstr>'300'!OSRRefE21_0_0x</vt:lpstr>
      <vt:lpstr>'300 &amp; 317'!OSRRefE21_0_0x</vt:lpstr>
      <vt:lpstr>'301'!OSRRefE21_0_0x</vt:lpstr>
      <vt:lpstr>'307'!OSRRefE21_0_0x</vt:lpstr>
      <vt:lpstr>'308'!OSRRefE21_0_0x</vt:lpstr>
      <vt:lpstr>'309'!OSRRefE21_0_0x</vt:lpstr>
      <vt:lpstr>'310'!OSRRefE21_0_0x</vt:lpstr>
      <vt:lpstr>'310 &amp; 491'!OSRRefE21_0_0x</vt:lpstr>
      <vt:lpstr>'311'!OSRRefE21_0_0x</vt:lpstr>
      <vt:lpstr>'313'!OSRRefE21_0_0x</vt:lpstr>
      <vt:lpstr>'315'!OSRRefE21_0_0x</vt:lpstr>
      <vt:lpstr>'316'!OSRRefE21_0_0x</vt:lpstr>
      <vt:lpstr>'317'!OSRRefE21_0_0x</vt:lpstr>
      <vt:lpstr>'321'!OSRRefE21_0_0x</vt:lpstr>
      <vt:lpstr>'322'!OSRRefE21_0_0x</vt:lpstr>
      <vt:lpstr>'324'!OSRRefE21_0_0x</vt:lpstr>
      <vt:lpstr>'325'!OSRRefE21_0_0x</vt:lpstr>
      <vt:lpstr>'326'!OSRRefE21_0_0x</vt:lpstr>
      <vt:lpstr>'327'!OSRRefE21_0_0x</vt:lpstr>
      <vt:lpstr>'330'!OSRRefE21_0_0x</vt:lpstr>
      <vt:lpstr>'331'!OSRRefE21_0_0x</vt:lpstr>
      <vt:lpstr>'332'!OSRRefE21_0_0x</vt:lpstr>
      <vt:lpstr>'405'!OSRRefE21_0_0x</vt:lpstr>
      <vt:lpstr>'406'!OSRRefE21_0_0x</vt:lpstr>
      <vt:lpstr>'411'!OSRRefE21_0_0x</vt:lpstr>
      <vt:lpstr>'412'!OSRRefE21_0_0x</vt:lpstr>
      <vt:lpstr>'413'!OSRRefE21_0_0x</vt:lpstr>
      <vt:lpstr>'414'!OSRRefE21_0_0x</vt:lpstr>
      <vt:lpstr>'415'!OSRRefE21_0_0x</vt:lpstr>
      <vt:lpstr>'418'!OSRRefE21_0_0x</vt:lpstr>
      <vt:lpstr>'423'!OSRRefE21_0_0x</vt:lpstr>
      <vt:lpstr>'424'!OSRRefE21_0_0x</vt:lpstr>
      <vt:lpstr>'425'!OSRRefE21_0_0x</vt:lpstr>
      <vt:lpstr>'430'!OSRRefE21_0_0x</vt:lpstr>
      <vt:lpstr>'433'!OSRRefE21_0_0x</vt:lpstr>
      <vt:lpstr>'435'!OSRRefE21_0_0x</vt:lpstr>
      <vt:lpstr>'444'!OSRRefE21_0_0x</vt:lpstr>
      <vt:lpstr>'450'!OSRRefE21_0_0x</vt:lpstr>
      <vt:lpstr>'491'!OSRRefE21_0_0x</vt:lpstr>
      <vt:lpstr>'492'!OSRRefE21_0_0x</vt:lpstr>
      <vt:lpstr>'501'!OSRRefE21_0_0x</vt:lpstr>
      <vt:lpstr>'Div 2'!OSRRefE21_0_0x</vt:lpstr>
      <vt:lpstr>'Div 3'!OSRRefE21_0_0x</vt:lpstr>
      <vt:lpstr>'Div 4'!OSRRefE21_0_0x</vt:lpstr>
      <vt:lpstr>'Div 5'!OSRRefE21_0_0x</vt:lpstr>
      <vt:lpstr>'Div 6'!OSRRefE21_0_0x</vt:lpstr>
      <vt:lpstr>Summary!OSRRefE21_0_0x</vt:lpstr>
      <vt:lpstr>'Div 2'!OSRRefE21_0_10x</vt:lpstr>
      <vt:lpstr>'201'!OSRRefE21_0_1x</vt:lpstr>
      <vt:lpstr>'202'!OSRRefE21_0_1x</vt:lpstr>
      <vt:lpstr>'203'!OSRRefE21_0_1x</vt:lpstr>
      <vt:lpstr>'204'!OSRRefE21_0_1x</vt:lpstr>
      <vt:lpstr>'205'!OSRRefE21_0_1x</vt:lpstr>
      <vt:lpstr>'206'!OSRRefE21_0_1x</vt:lpstr>
      <vt:lpstr>'300'!OSRRefE21_0_1x</vt:lpstr>
      <vt:lpstr>'300 &amp; 317'!OSRRefE21_0_1x</vt:lpstr>
      <vt:lpstr>'301'!OSRRefE21_0_1x</vt:lpstr>
      <vt:lpstr>'307'!OSRRefE21_0_1x</vt:lpstr>
      <vt:lpstr>'308'!OSRRefE21_0_1x</vt:lpstr>
      <vt:lpstr>'309'!OSRRefE21_0_1x</vt:lpstr>
      <vt:lpstr>'310'!OSRRefE21_0_1x</vt:lpstr>
      <vt:lpstr>'310 &amp; 491'!OSRRefE21_0_1x</vt:lpstr>
      <vt:lpstr>'311'!OSRRefE21_0_1x</vt:lpstr>
      <vt:lpstr>'313'!OSRRefE21_0_1x</vt:lpstr>
      <vt:lpstr>'315'!OSRRefE21_0_1x</vt:lpstr>
      <vt:lpstr>'316'!OSRRefE21_0_1x</vt:lpstr>
      <vt:lpstr>'317'!OSRRefE21_0_1x</vt:lpstr>
      <vt:lpstr>'321'!OSRRefE21_0_1x</vt:lpstr>
      <vt:lpstr>'322'!OSRRefE21_0_1x</vt:lpstr>
      <vt:lpstr>'324'!OSRRefE21_0_1x</vt:lpstr>
      <vt:lpstr>'325'!OSRRefE21_0_1x</vt:lpstr>
      <vt:lpstr>'326'!OSRRefE21_0_1x</vt:lpstr>
      <vt:lpstr>'330'!OSRRefE21_0_1x</vt:lpstr>
      <vt:lpstr>'331'!OSRRefE21_0_1x</vt:lpstr>
      <vt:lpstr>'332'!OSRRefE21_0_1x</vt:lpstr>
      <vt:lpstr>'405'!OSRRefE21_0_1x</vt:lpstr>
      <vt:lpstr>'411'!OSRRefE21_0_1x</vt:lpstr>
      <vt:lpstr>'412'!OSRRefE21_0_1x</vt:lpstr>
      <vt:lpstr>'413'!OSRRefE21_0_1x</vt:lpstr>
      <vt:lpstr>'414'!OSRRefE21_0_1x</vt:lpstr>
      <vt:lpstr>'415'!OSRRefE21_0_1x</vt:lpstr>
      <vt:lpstr>'418'!OSRRefE21_0_1x</vt:lpstr>
      <vt:lpstr>'423'!OSRRefE21_0_1x</vt:lpstr>
      <vt:lpstr>'425'!OSRRefE21_0_1x</vt:lpstr>
      <vt:lpstr>'430'!OSRRefE21_0_1x</vt:lpstr>
      <vt:lpstr>'433'!OSRRefE21_0_1x</vt:lpstr>
      <vt:lpstr>'444'!OSRRefE21_0_1x</vt:lpstr>
      <vt:lpstr>'450'!OSRRefE21_0_1x</vt:lpstr>
      <vt:lpstr>'491'!OSRRefE21_0_1x</vt:lpstr>
      <vt:lpstr>'492'!OSRRefE21_0_1x</vt:lpstr>
      <vt:lpstr>'501'!OSRRefE21_0_1x</vt:lpstr>
      <vt:lpstr>'Div 2'!OSRRefE21_0_1x</vt:lpstr>
      <vt:lpstr>'Div 3'!OSRRefE21_0_1x</vt:lpstr>
      <vt:lpstr>'Div 4'!OSRRefE21_0_1x</vt:lpstr>
      <vt:lpstr>'Div 5'!OSRRefE21_0_1x</vt:lpstr>
      <vt:lpstr>'Div 6'!OSRRefE21_0_1x</vt:lpstr>
      <vt:lpstr>Summary!OSRRefE21_0_1x</vt:lpstr>
      <vt:lpstr>'201'!OSRRefE21_0_2x</vt:lpstr>
      <vt:lpstr>'202'!OSRRefE21_0_2x</vt:lpstr>
      <vt:lpstr>'203'!OSRRefE21_0_2x</vt:lpstr>
      <vt:lpstr>'204'!OSRRefE21_0_2x</vt:lpstr>
      <vt:lpstr>'205'!OSRRefE21_0_2x</vt:lpstr>
      <vt:lpstr>'206'!OSRRefE21_0_2x</vt:lpstr>
      <vt:lpstr>'300'!OSRRefE21_0_2x</vt:lpstr>
      <vt:lpstr>'300 &amp; 317'!OSRRefE21_0_2x</vt:lpstr>
      <vt:lpstr>'301'!OSRRefE21_0_2x</vt:lpstr>
      <vt:lpstr>'307'!OSRRefE21_0_2x</vt:lpstr>
      <vt:lpstr>'308'!OSRRefE21_0_2x</vt:lpstr>
      <vt:lpstr>'309'!OSRRefE21_0_2x</vt:lpstr>
      <vt:lpstr>'310'!OSRRefE21_0_2x</vt:lpstr>
      <vt:lpstr>'310 &amp; 491'!OSRRefE21_0_2x</vt:lpstr>
      <vt:lpstr>'311'!OSRRefE21_0_2x</vt:lpstr>
      <vt:lpstr>'313'!OSRRefE21_0_2x</vt:lpstr>
      <vt:lpstr>'315'!OSRRefE21_0_2x</vt:lpstr>
      <vt:lpstr>'316'!OSRRefE21_0_2x</vt:lpstr>
      <vt:lpstr>'317'!OSRRefE21_0_2x</vt:lpstr>
      <vt:lpstr>'321'!OSRRefE21_0_2x</vt:lpstr>
      <vt:lpstr>'322'!OSRRefE21_0_2x</vt:lpstr>
      <vt:lpstr>'324'!OSRRefE21_0_2x</vt:lpstr>
      <vt:lpstr>'325'!OSRRefE21_0_2x</vt:lpstr>
      <vt:lpstr>'326'!OSRRefE21_0_2x</vt:lpstr>
      <vt:lpstr>'330'!OSRRefE21_0_2x</vt:lpstr>
      <vt:lpstr>'331'!OSRRefE21_0_2x</vt:lpstr>
      <vt:lpstr>'332'!OSRRefE21_0_2x</vt:lpstr>
      <vt:lpstr>'405'!OSRRefE21_0_2x</vt:lpstr>
      <vt:lpstr>'411'!OSRRefE21_0_2x</vt:lpstr>
      <vt:lpstr>'412'!OSRRefE21_0_2x</vt:lpstr>
      <vt:lpstr>'413'!OSRRefE21_0_2x</vt:lpstr>
      <vt:lpstr>'414'!OSRRefE21_0_2x</vt:lpstr>
      <vt:lpstr>'415'!OSRRefE21_0_2x</vt:lpstr>
      <vt:lpstr>'418'!OSRRefE21_0_2x</vt:lpstr>
      <vt:lpstr>'423'!OSRRefE21_0_2x</vt:lpstr>
      <vt:lpstr>'425'!OSRRefE21_0_2x</vt:lpstr>
      <vt:lpstr>'430'!OSRRefE21_0_2x</vt:lpstr>
      <vt:lpstr>'433'!OSRRefE21_0_2x</vt:lpstr>
      <vt:lpstr>'444'!OSRRefE21_0_2x</vt:lpstr>
      <vt:lpstr>'450'!OSRRefE21_0_2x</vt:lpstr>
      <vt:lpstr>'491'!OSRRefE21_0_2x</vt:lpstr>
      <vt:lpstr>'492'!OSRRefE21_0_2x</vt:lpstr>
      <vt:lpstr>'501'!OSRRefE21_0_2x</vt:lpstr>
      <vt:lpstr>'Div 2'!OSRRefE21_0_2x</vt:lpstr>
      <vt:lpstr>'Div 3'!OSRRefE21_0_2x</vt:lpstr>
      <vt:lpstr>'Div 4'!OSRRefE21_0_2x</vt:lpstr>
      <vt:lpstr>'Div 5'!OSRRefE21_0_2x</vt:lpstr>
      <vt:lpstr>'Div 6'!OSRRefE21_0_2x</vt:lpstr>
      <vt:lpstr>Summary!OSRRefE21_0_2x</vt:lpstr>
      <vt:lpstr>'201'!OSRRefE21_0_3x</vt:lpstr>
      <vt:lpstr>'202'!OSRRefE21_0_3x</vt:lpstr>
      <vt:lpstr>'203'!OSRRefE21_0_3x</vt:lpstr>
      <vt:lpstr>'204'!OSRRefE21_0_3x</vt:lpstr>
      <vt:lpstr>'205'!OSRRefE21_0_3x</vt:lpstr>
      <vt:lpstr>'206'!OSRRefE21_0_3x</vt:lpstr>
      <vt:lpstr>'300'!OSRRefE21_0_3x</vt:lpstr>
      <vt:lpstr>'300 &amp; 317'!OSRRefE21_0_3x</vt:lpstr>
      <vt:lpstr>'301'!OSRRefE21_0_3x</vt:lpstr>
      <vt:lpstr>'307'!OSRRefE21_0_3x</vt:lpstr>
      <vt:lpstr>'308'!OSRRefE21_0_3x</vt:lpstr>
      <vt:lpstr>'309'!OSRRefE21_0_3x</vt:lpstr>
      <vt:lpstr>'310'!OSRRefE21_0_3x</vt:lpstr>
      <vt:lpstr>'310 &amp; 491'!OSRRefE21_0_3x</vt:lpstr>
      <vt:lpstr>'311'!OSRRefE21_0_3x</vt:lpstr>
      <vt:lpstr>'313'!OSRRefE21_0_3x</vt:lpstr>
      <vt:lpstr>'315'!OSRRefE21_0_3x</vt:lpstr>
      <vt:lpstr>'316'!OSRRefE21_0_3x</vt:lpstr>
      <vt:lpstr>'317'!OSRRefE21_0_3x</vt:lpstr>
      <vt:lpstr>'321'!OSRRefE21_0_3x</vt:lpstr>
      <vt:lpstr>'322'!OSRRefE21_0_3x</vt:lpstr>
      <vt:lpstr>'324'!OSRRefE21_0_3x</vt:lpstr>
      <vt:lpstr>'325'!OSRRefE21_0_3x</vt:lpstr>
      <vt:lpstr>'326'!OSRRefE21_0_3x</vt:lpstr>
      <vt:lpstr>'330'!OSRRefE21_0_3x</vt:lpstr>
      <vt:lpstr>'331'!OSRRefE21_0_3x</vt:lpstr>
      <vt:lpstr>'332'!OSRRefE21_0_3x</vt:lpstr>
      <vt:lpstr>'405'!OSRRefE21_0_3x</vt:lpstr>
      <vt:lpstr>'411'!OSRRefE21_0_3x</vt:lpstr>
      <vt:lpstr>'412'!OSRRefE21_0_3x</vt:lpstr>
      <vt:lpstr>'413'!OSRRefE21_0_3x</vt:lpstr>
      <vt:lpstr>'414'!OSRRefE21_0_3x</vt:lpstr>
      <vt:lpstr>'415'!OSRRefE21_0_3x</vt:lpstr>
      <vt:lpstr>'418'!OSRRefE21_0_3x</vt:lpstr>
      <vt:lpstr>'423'!OSRRefE21_0_3x</vt:lpstr>
      <vt:lpstr>'425'!OSRRefE21_0_3x</vt:lpstr>
      <vt:lpstr>'430'!OSRRefE21_0_3x</vt:lpstr>
      <vt:lpstr>'433'!OSRRefE21_0_3x</vt:lpstr>
      <vt:lpstr>'444'!OSRRefE21_0_3x</vt:lpstr>
      <vt:lpstr>'450'!OSRRefE21_0_3x</vt:lpstr>
      <vt:lpstr>'491'!OSRRefE21_0_3x</vt:lpstr>
      <vt:lpstr>'492'!OSRRefE21_0_3x</vt:lpstr>
      <vt:lpstr>'501'!OSRRefE21_0_3x</vt:lpstr>
      <vt:lpstr>'Div 2'!OSRRefE21_0_3x</vt:lpstr>
      <vt:lpstr>'Div 3'!OSRRefE21_0_3x</vt:lpstr>
      <vt:lpstr>'Div 4'!OSRRefE21_0_3x</vt:lpstr>
      <vt:lpstr>'Div 5'!OSRRefE21_0_3x</vt:lpstr>
      <vt:lpstr>'Div 6'!OSRRefE21_0_3x</vt:lpstr>
      <vt:lpstr>Summary!OSRRefE21_0_3x</vt:lpstr>
      <vt:lpstr>'201'!OSRRefE21_0_4x</vt:lpstr>
      <vt:lpstr>'202'!OSRRefE21_0_4x</vt:lpstr>
      <vt:lpstr>'203'!OSRRefE21_0_4x</vt:lpstr>
      <vt:lpstr>'204'!OSRRefE21_0_4x</vt:lpstr>
      <vt:lpstr>'205'!OSRRefE21_0_4x</vt:lpstr>
      <vt:lpstr>'206'!OSRRefE21_0_4x</vt:lpstr>
      <vt:lpstr>'300'!OSRRefE21_0_4x</vt:lpstr>
      <vt:lpstr>'300 &amp; 317'!OSRRefE21_0_4x</vt:lpstr>
      <vt:lpstr>'301'!OSRRefE21_0_4x</vt:lpstr>
      <vt:lpstr>'307'!OSRRefE21_0_4x</vt:lpstr>
      <vt:lpstr>'308'!OSRRefE21_0_4x</vt:lpstr>
      <vt:lpstr>'309'!OSRRefE21_0_4x</vt:lpstr>
      <vt:lpstr>'310'!OSRRefE21_0_4x</vt:lpstr>
      <vt:lpstr>'310 &amp; 491'!OSRRefE21_0_4x</vt:lpstr>
      <vt:lpstr>'311'!OSRRefE21_0_4x</vt:lpstr>
      <vt:lpstr>'313'!OSRRefE21_0_4x</vt:lpstr>
      <vt:lpstr>'315'!OSRRefE21_0_4x</vt:lpstr>
      <vt:lpstr>'316'!OSRRefE21_0_4x</vt:lpstr>
      <vt:lpstr>'317'!OSRRefE21_0_4x</vt:lpstr>
      <vt:lpstr>'321'!OSRRefE21_0_4x</vt:lpstr>
      <vt:lpstr>'322'!OSRRefE21_0_4x</vt:lpstr>
      <vt:lpstr>'324'!OSRRefE21_0_4x</vt:lpstr>
      <vt:lpstr>'325'!OSRRefE21_0_4x</vt:lpstr>
      <vt:lpstr>'326'!OSRRefE21_0_4x</vt:lpstr>
      <vt:lpstr>'330'!OSRRefE21_0_4x</vt:lpstr>
      <vt:lpstr>'331'!OSRRefE21_0_4x</vt:lpstr>
      <vt:lpstr>'332'!OSRRefE21_0_4x</vt:lpstr>
      <vt:lpstr>'405'!OSRRefE21_0_4x</vt:lpstr>
      <vt:lpstr>'411'!OSRRefE21_0_4x</vt:lpstr>
      <vt:lpstr>'412'!OSRRefE21_0_4x</vt:lpstr>
      <vt:lpstr>'413'!OSRRefE21_0_4x</vt:lpstr>
      <vt:lpstr>'414'!OSRRefE21_0_4x</vt:lpstr>
      <vt:lpstr>'415'!OSRRefE21_0_4x</vt:lpstr>
      <vt:lpstr>'418'!OSRRefE21_0_4x</vt:lpstr>
      <vt:lpstr>'423'!OSRRefE21_0_4x</vt:lpstr>
      <vt:lpstr>'425'!OSRRefE21_0_4x</vt:lpstr>
      <vt:lpstr>'430'!OSRRefE21_0_4x</vt:lpstr>
      <vt:lpstr>'433'!OSRRefE21_0_4x</vt:lpstr>
      <vt:lpstr>'444'!OSRRefE21_0_4x</vt:lpstr>
      <vt:lpstr>'450'!OSRRefE21_0_4x</vt:lpstr>
      <vt:lpstr>'491'!OSRRefE21_0_4x</vt:lpstr>
      <vt:lpstr>'492'!OSRRefE21_0_4x</vt:lpstr>
      <vt:lpstr>'501'!OSRRefE21_0_4x</vt:lpstr>
      <vt:lpstr>'Div 2'!OSRRefE21_0_4x</vt:lpstr>
      <vt:lpstr>'Div 3'!OSRRefE21_0_4x</vt:lpstr>
      <vt:lpstr>'Div 4'!OSRRefE21_0_4x</vt:lpstr>
      <vt:lpstr>'Div 5'!OSRRefE21_0_4x</vt:lpstr>
      <vt:lpstr>'Div 6'!OSRRefE21_0_4x</vt:lpstr>
      <vt:lpstr>Summary!OSRRefE21_0_4x</vt:lpstr>
      <vt:lpstr>'201'!OSRRefE21_0_5x</vt:lpstr>
      <vt:lpstr>'202'!OSRRefE21_0_5x</vt:lpstr>
      <vt:lpstr>'203'!OSRRefE21_0_5x</vt:lpstr>
      <vt:lpstr>'204'!OSRRefE21_0_5x</vt:lpstr>
      <vt:lpstr>'205'!OSRRefE21_0_5x</vt:lpstr>
      <vt:lpstr>'206'!OSRRefE21_0_5x</vt:lpstr>
      <vt:lpstr>'300'!OSRRefE21_0_5x</vt:lpstr>
      <vt:lpstr>'300 &amp; 317'!OSRRefE21_0_5x</vt:lpstr>
      <vt:lpstr>'301'!OSRRefE21_0_5x</vt:lpstr>
      <vt:lpstr>'307'!OSRRefE21_0_5x</vt:lpstr>
      <vt:lpstr>'308'!OSRRefE21_0_5x</vt:lpstr>
      <vt:lpstr>'309'!OSRRefE21_0_5x</vt:lpstr>
      <vt:lpstr>'310'!OSRRefE21_0_5x</vt:lpstr>
      <vt:lpstr>'310 &amp; 491'!OSRRefE21_0_5x</vt:lpstr>
      <vt:lpstr>'311'!OSRRefE21_0_5x</vt:lpstr>
      <vt:lpstr>'313'!OSRRefE21_0_5x</vt:lpstr>
      <vt:lpstr>'315'!OSRRefE21_0_5x</vt:lpstr>
      <vt:lpstr>'316'!OSRRefE21_0_5x</vt:lpstr>
      <vt:lpstr>'317'!OSRRefE21_0_5x</vt:lpstr>
      <vt:lpstr>'321'!OSRRefE21_0_5x</vt:lpstr>
      <vt:lpstr>'322'!OSRRefE21_0_5x</vt:lpstr>
      <vt:lpstr>'324'!OSRRefE21_0_5x</vt:lpstr>
      <vt:lpstr>'325'!OSRRefE21_0_5x</vt:lpstr>
      <vt:lpstr>'326'!OSRRefE21_0_5x</vt:lpstr>
      <vt:lpstr>'330'!OSRRefE21_0_5x</vt:lpstr>
      <vt:lpstr>'331'!OSRRefE21_0_5x</vt:lpstr>
      <vt:lpstr>'332'!OSRRefE21_0_5x</vt:lpstr>
      <vt:lpstr>'405'!OSRRefE21_0_5x</vt:lpstr>
      <vt:lpstr>'411'!OSRRefE21_0_5x</vt:lpstr>
      <vt:lpstr>'412'!OSRRefE21_0_5x</vt:lpstr>
      <vt:lpstr>'413'!OSRRefE21_0_5x</vt:lpstr>
      <vt:lpstr>'414'!OSRRefE21_0_5x</vt:lpstr>
      <vt:lpstr>'415'!OSRRefE21_0_5x</vt:lpstr>
      <vt:lpstr>'418'!OSRRefE21_0_5x</vt:lpstr>
      <vt:lpstr>'423'!OSRRefE21_0_5x</vt:lpstr>
      <vt:lpstr>'430'!OSRRefE21_0_5x</vt:lpstr>
      <vt:lpstr>'433'!OSRRefE21_0_5x</vt:lpstr>
      <vt:lpstr>'444'!OSRRefE21_0_5x</vt:lpstr>
      <vt:lpstr>'450'!OSRRefE21_0_5x</vt:lpstr>
      <vt:lpstr>'491'!OSRRefE21_0_5x</vt:lpstr>
      <vt:lpstr>'492'!OSRRefE21_0_5x</vt:lpstr>
      <vt:lpstr>'501'!OSRRefE21_0_5x</vt:lpstr>
      <vt:lpstr>'Div 2'!OSRRefE21_0_5x</vt:lpstr>
      <vt:lpstr>'Div 3'!OSRRefE21_0_5x</vt:lpstr>
      <vt:lpstr>'Div 4'!OSRRefE21_0_5x</vt:lpstr>
      <vt:lpstr>'Div 5'!OSRRefE21_0_5x</vt:lpstr>
      <vt:lpstr>'Div 6'!OSRRefE21_0_5x</vt:lpstr>
      <vt:lpstr>Summary!OSRRefE21_0_5x</vt:lpstr>
      <vt:lpstr>'201'!OSRRefE21_0_6x</vt:lpstr>
      <vt:lpstr>'202'!OSRRefE21_0_6x</vt:lpstr>
      <vt:lpstr>'203'!OSRRefE21_0_6x</vt:lpstr>
      <vt:lpstr>'204'!OSRRefE21_0_6x</vt:lpstr>
      <vt:lpstr>'205'!OSRRefE21_0_6x</vt:lpstr>
      <vt:lpstr>'206'!OSRRefE21_0_6x</vt:lpstr>
      <vt:lpstr>'300'!OSRRefE21_0_6x</vt:lpstr>
      <vt:lpstr>'300 &amp; 317'!OSRRefE21_0_6x</vt:lpstr>
      <vt:lpstr>'301'!OSRRefE21_0_6x</vt:lpstr>
      <vt:lpstr>'307'!OSRRefE21_0_6x</vt:lpstr>
      <vt:lpstr>'308'!OSRRefE21_0_6x</vt:lpstr>
      <vt:lpstr>'309'!OSRRefE21_0_6x</vt:lpstr>
      <vt:lpstr>'310'!OSRRefE21_0_6x</vt:lpstr>
      <vt:lpstr>'310 &amp; 491'!OSRRefE21_0_6x</vt:lpstr>
      <vt:lpstr>'311'!OSRRefE21_0_6x</vt:lpstr>
      <vt:lpstr>'313'!OSRRefE21_0_6x</vt:lpstr>
      <vt:lpstr>'315'!OSRRefE21_0_6x</vt:lpstr>
      <vt:lpstr>'316'!OSRRefE21_0_6x</vt:lpstr>
      <vt:lpstr>'317'!OSRRefE21_0_6x</vt:lpstr>
      <vt:lpstr>'321'!OSRRefE21_0_6x</vt:lpstr>
      <vt:lpstr>'322'!OSRRefE21_0_6x</vt:lpstr>
      <vt:lpstr>'324'!OSRRefE21_0_6x</vt:lpstr>
      <vt:lpstr>'325'!OSRRefE21_0_6x</vt:lpstr>
      <vt:lpstr>'326'!OSRRefE21_0_6x</vt:lpstr>
      <vt:lpstr>'330'!OSRRefE21_0_6x</vt:lpstr>
      <vt:lpstr>'331'!OSRRefE21_0_6x</vt:lpstr>
      <vt:lpstr>'332'!OSRRefE21_0_6x</vt:lpstr>
      <vt:lpstr>'405'!OSRRefE21_0_6x</vt:lpstr>
      <vt:lpstr>'411'!OSRRefE21_0_6x</vt:lpstr>
      <vt:lpstr>'412'!OSRRefE21_0_6x</vt:lpstr>
      <vt:lpstr>'413'!OSRRefE21_0_6x</vt:lpstr>
      <vt:lpstr>'414'!OSRRefE21_0_6x</vt:lpstr>
      <vt:lpstr>'415'!OSRRefE21_0_6x</vt:lpstr>
      <vt:lpstr>'418'!OSRRefE21_0_6x</vt:lpstr>
      <vt:lpstr>'423'!OSRRefE21_0_6x</vt:lpstr>
      <vt:lpstr>'430'!OSRRefE21_0_6x</vt:lpstr>
      <vt:lpstr>'433'!OSRRefE21_0_6x</vt:lpstr>
      <vt:lpstr>'444'!OSRRefE21_0_6x</vt:lpstr>
      <vt:lpstr>'450'!OSRRefE21_0_6x</vt:lpstr>
      <vt:lpstr>'491'!OSRRefE21_0_6x</vt:lpstr>
      <vt:lpstr>'492'!OSRRefE21_0_6x</vt:lpstr>
      <vt:lpstr>'501'!OSRRefE21_0_6x</vt:lpstr>
      <vt:lpstr>'Div 2'!OSRRefE21_0_6x</vt:lpstr>
      <vt:lpstr>'Div 3'!OSRRefE21_0_6x</vt:lpstr>
      <vt:lpstr>'Div 4'!OSRRefE21_0_6x</vt:lpstr>
      <vt:lpstr>'Div 5'!OSRRefE21_0_6x</vt:lpstr>
      <vt:lpstr>'Div 6'!OSRRefE21_0_6x</vt:lpstr>
      <vt:lpstr>Summary!OSRRefE21_0_6x</vt:lpstr>
      <vt:lpstr>'201'!OSRRefE21_0_7x</vt:lpstr>
      <vt:lpstr>'202'!OSRRefE21_0_7x</vt:lpstr>
      <vt:lpstr>'203'!OSRRefE21_0_7x</vt:lpstr>
      <vt:lpstr>'204'!OSRRefE21_0_7x</vt:lpstr>
      <vt:lpstr>'205'!OSRRefE21_0_7x</vt:lpstr>
      <vt:lpstr>'206'!OSRRefE21_0_7x</vt:lpstr>
      <vt:lpstr>'300'!OSRRefE21_0_7x</vt:lpstr>
      <vt:lpstr>'300 &amp; 317'!OSRRefE21_0_7x</vt:lpstr>
      <vt:lpstr>'301'!OSRRefE21_0_7x</vt:lpstr>
      <vt:lpstr>'307'!OSRRefE21_0_7x</vt:lpstr>
      <vt:lpstr>'308'!OSRRefE21_0_7x</vt:lpstr>
      <vt:lpstr>'309'!OSRRefE21_0_7x</vt:lpstr>
      <vt:lpstr>'310'!OSRRefE21_0_7x</vt:lpstr>
      <vt:lpstr>'310 &amp; 491'!OSRRefE21_0_7x</vt:lpstr>
      <vt:lpstr>'311'!OSRRefE21_0_7x</vt:lpstr>
      <vt:lpstr>'313'!OSRRefE21_0_7x</vt:lpstr>
      <vt:lpstr>'315'!OSRRefE21_0_7x</vt:lpstr>
      <vt:lpstr>'316'!OSRRefE21_0_7x</vt:lpstr>
      <vt:lpstr>'317'!OSRRefE21_0_7x</vt:lpstr>
      <vt:lpstr>'321'!OSRRefE21_0_7x</vt:lpstr>
      <vt:lpstr>'322'!OSRRefE21_0_7x</vt:lpstr>
      <vt:lpstr>'324'!OSRRefE21_0_7x</vt:lpstr>
      <vt:lpstr>'325'!OSRRefE21_0_7x</vt:lpstr>
      <vt:lpstr>'326'!OSRRefE21_0_7x</vt:lpstr>
      <vt:lpstr>'330'!OSRRefE21_0_7x</vt:lpstr>
      <vt:lpstr>'331'!OSRRefE21_0_7x</vt:lpstr>
      <vt:lpstr>'332'!OSRRefE21_0_7x</vt:lpstr>
      <vt:lpstr>'405'!OSRRefE21_0_7x</vt:lpstr>
      <vt:lpstr>'411'!OSRRefE21_0_7x</vt:lpstr>
      <vt:lpstr>'412'!OSRRefE21_0_7x</vt:lpstr>
      <vt:lpstr>'413'!OSRRefE21_0_7x</vt:lpstr>
      <vt:lpstr>'414'!OSRRefE21_0_7x</vt:lpstr>
      <vt:lpstr>'415'!OSRRefE21_0_7x</vt:lpstr>
      <vt:lpstr>'418'!OSRRefE21_0_7x</vt:lpstr>
      <vt:lpstr>'423'!OSRRefE21_0_7x</vt:lpstr>
      <vt:lpstr>'430'!OSRRefE21_0_7x</vt:lpstr>
      <vt:lpstr>'433'!OSRRefE21_0_7x</vt:lpstr>
      <vt:lpstr>'444'!OSRRefE21_0_7x</vt:lpstr>
      <vt:lpstr>'450'!OSRRefE21_0_7x</vt:lpstr>
      <vt:lpstr>'491'!OSRRefE21_0_7x</vt:lpstr>
      <vt:lpstr>'492'!OSRRefE21_0_7x</vt:lpstr>
      <vt:lpstr>'501'!OSRRefE21_0_7x</vt:lpstr>
      <vt:lpstr>'Div 2'!OSRRefE21_0_7x</vt:lpstr>
      <vt:lpstr>'Div 3'!OSRRefE21_0_7x</vt:lpstr>
      <vt:lpstr>'Div 4'!OSRRefE21_0_7x</vt:lpstr>
      <vt:lpstr>'Div 5'!OSRRefE21_0_7x</vt:lpstr>
      <vt:lpstr>'Div 6'!OSRRefE21_0_7x</vt:lpstr>
      <vt:lpstr>Summary!OSRRefE21_0_7x</vt:lpstr>
      <vt:lpstr>'201'!OSRRefE21_0_8x</vt:lpstr>
      <vt:lpstr>'202'!OSRRefE21_0_8x</vt:lpstr>
      <vt:lpstr>'203'!OSRRefE21_0_8x</vt:lpstr>
      <vt:lpstr>'204'!OSRRefE21_0_8x</vt:lpstr>
      <vt:lpstr>'205'!OSRRefE21_0_8x</vt:lpstr>
      <vt:lpstr>'206'!OSRRefE21_0_8x</vt:lpstr>
      <vt:lpstr>'300'!OSRRefE21_0_8x</vt:lpstr>
      <vt:lpstr>'300 &amp; 317'!OSRRefE21_0_8x</vt:lpstr>
      <vt:lpstr>'301'!OSRRefE21_0_8x</vt:lpstr>
      <vt:lpstr>'308'!OSRRefE21_0_8x</vt:lpstr>
      <vt:lpstr>'310'!OSRRefE21_0_8x</vt:lpstr>
      <vt:lpstr>'310 &amp; 491'!OSRRefE21_0_8x</vt:lpstr>
      <vt:lpstr>'311'!OSRRefE21_0_8x</vt:lpstr>
      <vt:lpstr>'313'!OSRRefE21_0_8x</vt:lpstr>
      <vt:lpstr>'315'!OSRRefE21_0_8x</vt:lpstr>
      <vt:lpstr>'316'!OSRRefE21_0_8x</vt:lpstr>
      <vt:lpstr>'317'!OSRRefE21_0_8x</vt:lpstr>
      <vt:lpstr>'321'!OSRRefE21_0_8x</vt:lpstr>
      <vt:lpstr>'326'!OSRRefE21_0_8x</vt:lpstr>
      <vt:lpstr>'331'!OSRRefE21_0_8x</vt:lpstr>
      <vt:lpstr>'332'!OSRRefE21_0_8x</vt:lpstr>
      <vt:lpstr>'411'!OSRRefE21_0_8x</vt:lpstr>
      <vt:lpstr>'413'!OSRRefE21_0_8x</vt:lpstr>
      <vt:lpstr>'414'!OSRRefE21_0_8x</vt:lpstr>
      <vt:lpstr>'415'!OSRRefE21_0_8x</vt:lpstr>
      <vt:lpstr>'430'!OSRRefE21_0_8x</vt:lpstr>
      <vt:lpstr>'433'!OSRRefE21_0_8x</vt:lpstr>
      <vt:lpstr>'444'!OSRRefE21_0_8x</vt:lpstr>
      <vt:lpstr>'450'!OSRRefE21_0_8x</vt:lpstr>
      <vt:lpstr>'491'!OSRRefE21_0_8x</vt:lpstr>
      <vt:lpstr>'492'!OSRRefE21_0_8x</vt:lpstr>
      <vt:lpstr>'501'!OSRRefE21_0_8x</vt:lpstr>
      <vt:lpstr>'Div 2'!OSRRefE21_0_8x</vt:lpstr>
      <vt:lpstr>'Div 3'!OSRRefE21_0_8x</vt:lpstr>
      <vt:lpstr>'Div 4'!OSRRefE21_0_8x</vt:lpstr>
      <vt:lpstr>'Div 5'!OSRRefE21_0_8x</vt:lpstr>
      <vt:lpstr>'Div 6'!OSRRefE21_0_8x</vt:lpstr>
      <vt:lpstr>Summary!OSRRefE21_0_8x</vt:lpstr>
      <vt:lpstr>'203'!OSRRefE21_0_9x</vt:lpstr>
      <vt:lpstr>'204'!OSRRefE21_0_9x</vt:lpstr>
      <vt:lpstr>'300'!OSRRefE21_0_9x</vt:lpstr>
      <vt:lpstr>'300 &amp; 317'!OSRRefE21_0_9x</vt:lpstr>
      <vt:lpstr>'308'!OSRRefE21_0_9x</vt:lpstr>
      <vt:lpstr>'311'!OSRRefE21_0_9x</vt:lpstr>
      <vt:lpstr>'317'!OSRRefE21_0_9x</vt:lpstr>
      <vt:lpstr>'433'!OSRRefE21_0_9x</vt:lpstr>
      <vt:lpstr>'444'!OSRRefE21_0_9x</vt:lpstr>
      <vt:lpstr>'450'!OSRRefE21_0_9x</vt:lpstr>
      <vt:lpstr>'492'!OSRRefE21_0_9x</vt:lpstr>
      <vt:lpstr>'501'!OSRRefE21_0_9x</vt:lpstr>
      <vt:lpstr>'Div 2'!OSRRefE21_0_9x</vt:lpstr>
      <vt:lpstr>'Div 3'!OSRRefE21_0_9x</vt:lpstr>
      <vt:lpstr>'Div 4'!OSRRefE21_0_9x</vt:lpstr>
      <vt:lpstr>'Div 5'!OSRRefE21_0_9x</vt:lpstr>
      <vt:lpstr>'Div 6'!OSRRefE21_0_9x</vt:lpstr>
      <vt:lpstr>Summary!OSRRefE21_0_9x</vt:lpstr>
      <vt:lpstr>'200'!OSRRefE21_0x_0</vt:lpstr>
      <vt:lpstr>'201'!OSRRefE21_0x_0</vt:lpstr>
      <vt:lpstr>'202'!OSRRefE21_0x_0</vt:lpstr>
      <vt:lpstr>'203'!OSRRefE21_0x_0</vt:lpstr>
      <vt:lpstr>'204'!OSRRefE21_0x_0</vt:lpstr>
      <vt:lpstr>'205'!OSRRefE21_0x_0</vt:lpstr>
      <vt:lpstr>'206'!OSRRefE21_0x_0</vt:lpstr>
      <vt:lpstr>'300'!OSRRefE21_0x_0</vt:lpstr>
      <vt:lpstr>'300 &amp; 317'!OSRRefE21_0x_0</vt:lpstr>
      <vt:lpstr>'301'!OSRRefE21_0x_0</vt:lpstr>
      <vt:lpstr>'307'!OSRRefE21_0x_0</vt:lpstr>
      <vt:lpstr>'308'!OSRRefE21_0x_0</vt:lpstr>
      <vt:lpstr>'309'!OSRRefE21_0x_0</vt:lpstr>
      <vt:lpstr>'310'!OSRRefE21_0x_0</vt:lpstr>
      <vt:lpstr>'310 &amp; 491'!OSRRefE21_0x_0</vt:lpstr>
      <vt:lpstr>'311'!OSRRefE21_0x_0</vt:lpstr>
      <vt:lpstr>'313'!OSRRefE21_0x_0</vt:lpstr>
      <vt:lpstr>'315'!OSRRefE21_0x_0</vt:lpstr>
      <vt:lpstr>'316'!OSRRefE21_0x_0</vt:lpstr>
      <vt:lpstr>'317'!OSRRefE21_0x_0</vt:lpstr>
      <vt:lpstr>'321'!OSRRefE21_0x_0</vt:lpstr>
      <vt:lpstr>'322'!OSRRefE21_0x_0</vt:lpstr>
      <vt:lpstr>'324'!OSRRefE21_0x_0</vt:lpstr>
      <vt:lpstr>'325'!OSRRefE21_0x_0</vt:lpstr>
      <vt:lpstr>'326'!OSRRefE21_0x_0</vt:lpstr>
      <vt:lpstr>'327'!OSRRefE21_0x_0</vt:lpstr>
      <vt:lpstr>'330'!OSRRefE21_0x_0</vt:lpstr>
      <vt:lpstr>'331'!OSRRefE21_0x_0</vt:lpstr>
      <vt:lpstr>'332'!OSRRefE21_0x_0</vt:lpstr>
      <vt:lpstr>'405'!OSRRefE21_0x_0</vt:lpstr>
      <vt:lpstr>'406'!OSRRefE21_0x_0</vt:lpstr>
      <vt:lpstr>'411'!OSRRefE21_0x_0</vt:lpstr>
      <vt:lpstr>'412'!OSRRefE21_0x_0</vt:lpstr>
      <vt:lpstr>'413'!OSRRefE21_0x_0</vt:lpstr>
      <vt:lpstr>'414'!OSRRefE21_0x_0</vt:lpstr>
      <vt:lpstr>'415'!OSRRefE21_0x_0</vt:lpstr>
      <vt:lpstr>'418'!OSRRefE21_0x_0</vt:lpstr>
      <vt:lpstr>'423'!OSRRefE21_0x_0</vt:lpstr>
      <vt:lpstr>'424'!OSRRefE21_0x_0</vt:lpstr>
      <vt:lpstr>'425'!OSRRefE21_0x_0</vt:lpstr>
      <vt:lpstr>'430'!OSRRefE21_0x_0</vt:lpstr>
      <vt:lpstr>'433'!OSRRefE21_0x_0</vt:lpstr>
      <vt:lpstr>'435'!OSRRefE21_0x_0</vt:lpstr>
      <vt:lpstr>'444'!OSRRefE21_0x_0</vt:lpstr>
      <vt:lpstr>'450'!OSRRefE21_0x_0</vt:lpstr>
      <vt:lpstr>'491'!OSRRefE21_0x_0</vt:lpstr>
      <vt:lpstr>'492'!OSRRefE21_0x_0</vt:lpstr>
      <vt:lpstr>'501'!OSRRefE21_0x_0</vt:lpstr>
      <vt:lpstr>'Div 2'!OSRRefE21_0x_0</vt:lpstr>
      <vt:lpstr>'Div 3'!OSRRefE21_0x_0</vt:lpstr>
      <vt:lpstr>'Div 4'!OSRRefE21_0x_0</vt:lpstr>
      <vt:lpstr>'Div 5'!OSRRefE21_0x_0</vt:lpstr>
      <vt:lpstr>'Div 6'!OSRRefE21_0x_0</vt:lpstr>
      <vt:lpstr>Summary!OSRRefE21_0x_0</vt:lpstr>
      <vt:lpstr>'200'!OSRRefE21_0x_1</vt:lpstr>
      <vt:lpstr>'201'!OSRRefE21_0x_1</vt:lpstr>
      <vt:lpstr>'202'!OSRRefE21_0x_1</vt:lpstr>
      <vt:lpstr>'203'!OSRRefE21_0x_1</vt:lpstr>
      <vt:lpstr>'204'!OSRRefE21_0x_1</vt:lpstr>
      <vt:lpstr>'205'!OSRRefE21_0x_1</vt:lpstr>
      <vt:lpstr>'206'!OSRRefE21_0x_1</vt:lpstr>
      <vt:lpstr>'300'!OSRRefE21_0x_1</vt:lpstr>
      <vt:lpstr>'300 &amp; 317'!OSRRefE21_0x_1</vt:lpstr>
      <vt:lpstr>'301'!OSRRefE21_0x_1</vt:lpstr>
      <vt:lpstr>'307'!OSRRefE21_0x_1</vt:lpstr>
      <vt:lpstr>'308'!OSRRefE21_0x_1</vt:lpstr>
      <vt:lpstr>'309'!OSRRefE21_0x_1</vt:lpstr>
      <vt:lpstr>'310'!OSRRefE21_0x_1</vt:lpstr>
      <vt:lpstr>'310 &amp; 491'!OSRRefE21_0x_1</vt:lpstr>
      <vt:lpstr>'311'!OSRRefE21_0x_1</vt:lpstr>
      <vt:lpstr>'313'!OSRRefE21_0x_1</vt:lpstr>
      <vt:lpstr>'315'!OSRRefE21_0x_1</vt:lpstr>
      <vt:lpstr>'316'!OSRRefE21_0x_1</vt:lpstr>
      <vt:lpstr>'317'!OSRRefE21_0x_1</vt:lpstr>
      <vt:lpstr>'321'!OSRRefE21_0x_1</vt:lpstr>
      <vt:lpstr>'322'!OSRRefE21_0x_1</vt:lpstr>
      <vt:lpstr>'324'!OSRRefE21_0x_1</vt:lpstr>
      <vt:lpstr>'325'!OSRRefE21_0x_1</vt:lpstr>
      <vt:lpstr>'326'!OSRRefE21_0x_1</vt:lpstr>
      <vt:lpstr>'327'!OSRRefE21_0x_1</vt:lpstr>
      <vt:lpstr>'330'!OSRRefE21_0x_1</vt:lpstr>
      <vt:lpstr>'331'!OSRRefE21_0x_1</vt:lpstr>
      <vt:lpstr>'332'!OSRRefE21_0x_1</vt:lpstr>
      <vt:lpstr>'405'!OSRRefE21_0x_1</vt:lpstr>
      <vt:lpstr>'406'!OSRRefE21_0x_1</vt:lpstr>
      <vt:lpstr>'411'!OSRRefE21_0x_1</vt:lpstr>
      <vt:lpstr>'412'!OSRRefE21_0x_1</vt:lpstr>
      <vt:lpstr>'413'!OSRRefE21_0x_1</vt:lpstr>
      <vt:lpstr>'414'!OSRRefE21_0x_1</vt:lpstr>
      <vt:lpstr>'415'!OSRRefE21_0x_1</vt:lpstr>
      <vt:lpstr>'418'!OSRRefE21_0x_1</vt:lpstr>
      <vt:lpstr>'423'!OSRRefE21_0x_1</vt:lpstr>
      <vt:lpstr>'424'!OSRRefE21_0x_1</vt:lpstr>
      <vt:lpstr>'425'!OSRRefE21_0x_1</vt:lpstr>
      <vt:lpstr>'430'!OSRRefE21_0x_1</vt:lpstr>
      <vt:lpstr>'433'!OSRRefE21_0x_1</vt:lpstr>
      <vt:lpstr>'435'!OSRRefE21_0x_1</vt:lpstr>
      <vt:lpstr>'444'!OSRRefE21_0x_1</vt:lpstr>
      <vt:lpstr>'450'!OSRRefE21_0x_1</vt:lpstr>
      <vt:lpstr>'491'!OSRRefE21_0x_1</vt:lpstr>
      <vt:lpstr>'492'!OSRRefE21_0x_1</vt:lpstr>
      <vt:lpstr>'501'!OSRRefE21_0x_1</vt:lpstr>
      <vt:lpstr>'Div 2'!OSRRefE21_0x_1</vt:lpstr>
      <vt:lpstr>'Div 3'!OSRRefE21_0x_1</vt:lpstr>
      <vt:lpstr>'Div 4'!OSRRefE21_0x_1</vt:lpstr>
      <vt:lpstr>'Div 5'!OSRRefE21_0x_1</vt:lpstr>
      <vt:lpstr>'Div 6'!OSRRefE21_0x_1</vt:lpstr>
      <vt:lpstr>Summary!OSRRefE21_0x_1</vt:lpstr>
      <vt:lpstr>'200'!OSRRefE21_0x_2</vt:lpstr>
      <vt:lpstr>'201'!OSRRefE21_0x_2</vt:lpstr>
      <vt:lpstr>'202'!OSRRefE21_0x_2</vt:lpstr>
      <vt:lpstr>'203'!OSRRefE21_0x_2</vt:lpstr>
      <vt:lpstr>'204'!OSRRefE21_0x_2</vt:lpstr>
      <vt:lpstr>'205'!OSRRefE21_0x_2</vt:lpstr>
      <vt:lpstr>'206'!OSRRefE21_0x_2</vt:lpstr>
      <vt:lpstr>'300'!OSRRefE21_0x_2</vt:lpstr>
      <vt:lpstr>'300 &amp; 317'!OSRRefE21_0x_2</vt:lpstr>
      <vt:lpstr>'301'!OSRRefE21_0x_2</vt:lpstr>
      <vt:lpstr>'307'!OSRRefE21_0x_2</vt:lpstr>
      <vt:lpstr>'308'!OSRRefE21_0x_2</vt:lpstr>
      <vt:lpstr>'309'!OSRRefE21_0x_2</vt:lpstr>
      <vt:lpstr>'310'!OSRRefE21_0x_2</vt:lpstr>
      <vt:lpstr>'310 &amp; 491'!OSRRefE21_0x_2</vt:lpstr>
      <vt:lpstr>'311'!OSRRefE21_0x_2</vt:lpstr>
      <vt:lpstr>'313'!OSRRefE21_0x_2</vt:lpstr>
      <vt:lpstr>'315'!OSRRefE21_0x_2</vt:lpstr>
      <vt:lpstr>'316'!OSRRefE21_0x_2</vt:lpstr>
      <vt:lpstr>'317'!OSRRefE21_0x_2</vt:lpstr>
      <vt:lpstr>'321'!OSRRefE21_0x_2</vt:lpstr>
      <vt:lpstr>'322'!OSRRefE21_0x_2</vt:lpstr>
      <vt:lpstr>'324'!OSRRefE21_0x_2</vt:lpstr>
      <vt:lpstr>'325'!OSRRefE21_0x_2</vt:lpstr>
      <vt:lpstr>'326'!OSRRefE21_0x_2</vt:lpstr>
      <vt:lpstr>'327'!OSRRefE21_0x_2</vt:lpstr>
      <vt:lpstr>'330'!OSRRefE21_0x_2</vt:lpstr>
      <vt:lpstr>'331'!OSRRefE21_0x_2</vt:lpstr>
      <vt:lpstr>'332'!OSRRefE21_0x_2</vt:lpstr>
      <vt:lpstr>'405'!OSRRefE21_0x_2</vt:lpstr>
      <vt:lpstr>'406'!OSRRefE21_0x_2</vt:lpstr>
      <vt:lpstr>'411'!OSRRefE21_0x_2</vt:lpstr>
      <vt:lpstr>'412'!OSRRefE21_0x_2</vt:lpstr>
      <vt:lpstr>'413'!OSRRefE21_0x_2</vt:lpstr>
      <vt:lpstr>'414'!OSRRefE21_0x_2</vt:lpstr>
      <vt:lpstr>'415'!OSRRefE21_0x_2</vt:lpstr>
      <vt:lpstr>'418'!OSRRefE21_0x_2</vt:lpstr>
      <vt:lpstr>'423'!OSRRefE21_0x_2</vt:lpstr>
      <vt:lpstr>'424'!OSRRefE21_0x_2</vt:lpstr>
      <vt:lpstr>'425'!OSRRefE21_0x_2</vt:lpstr>
      <vt:lpstr>'430'!OSRRefE21_0x_2</vt:lpstr>
      <vt:lpstr>'433'!OSRRefE21_0x_2</vt:lpstr>
      <vt:lpstr>'435'!OSRRefE21_0x_2</vt:lpstr>
      <vt:lpstr>'444'!OSRRefE21_0x_2</vt:lpstr>
      <vt:lpstr>'450'!OSRRefE21_0x_2</vt:lpstr>
      <vt:lpstr>'491'!OSRRefE21_0x_2</vt:lpstr>
      <vt:lpstr>'492'!OSRRefE21_0x_2</vt:lpstr>
      <vt:lpstr>'501'!OSRRefE21_0x_2</vt:lpstr>
      <vt:lpstr>'Div 2'!OSRRefE21_0x_2</vt:lpstr>
      <vt:lpstr>'Div 3'!OSRRefE21_0x_2</vt:lpstr>
      <vt:lpstr>'Div 4'!OSRRefE21_0x_2</vt:lpstr>
      <vt:lpstr>'Div 5'!OSRRefE21_0x_2</vt:lpstr>
      <vt:lpstr>'Div 6'!OSRRefE21_0x_2</vt:lpstr>
      <vt:lpstr>Summary!OSRRefE21_0x_2</vt:lpstr>
      <vt:lpstr>'200'!OSRRefE21_0x_3</vt:lpstr>
      <vt:lpstr>'201'!OSRRefE21_0x_3</vt:lpstr>
      <vt:lpstr>'202'!OSRRefE21_0x_3</vt:lpstr>
      <vt:lpstr>'203'!OSRRefE21_0x_3</vt:lpstr>
      <vt:lpstr>'204'!OSRRefE21_0x_3</vt:lpstr>
      <vt:lpstr>'205'!OSRRefE21_0x_3</vt:lpstr>
      <vt:lpstr>'206'!OSRRefE21_0x_3</vt:lpstr>
      <vt:lpstr>'300'!OSRRefE21_0x_3</vt:lpstr>
      <vt:lpstr>'300 &amp; 317'!OSRRefE21_0x_3</vt:lpstr>
      <vt:lpstr>'301'!OSRRefE21_0x_3</vt:lpstr>
      <vt:lpstr>'307'!OSRRefE21_0x_3</vt:lpstr>
      <vt:lpstr>'308'!OSRRefE21_0x_3</vt:lpstr>
      <vt:lpstr>'309'!OSRRefE21_0x_3</vt:lpstr>
      <vt:lpstr>'310'!OSRRefE21_0x_3</vt:lpstr>
      <vt:lpstr>'310 &amp; 491'!OSRRefE21_0x_3</vt:lpstr>
      <vt:lpstr>'311'!OSRRefE21_0x_3</vt:lpstr>
      <vt:lpstr>'313'!OSRRefE21_0x_3</vt:lpstr>
      <vt:lpstr>'315'!OSRRefE21_0x_3</vt:lpstr>
      <vt:lpstr>'316'!OSRRefE21_0x_3</vt:lpstr>
      <vt:lpstr>'317'!OSRRefE21_0x_3</vt:lpstr>
      <vt:lpstr>'321'!OSRRefE21_0x_3</vt:lpstr>
      <vt:lpstr>'322'!OSRRefE21_0x_3</vt:lpstr>
      <vt:lpstr>'324'!OSRRefE21_0x_3</vt:lpstr>
      <vt:lpstr>'325'!OSRRefE21_0x_3</vt:lpstr>
      <vt:lpstr>'326'!OSRRefE21_0x_3</vt:lpstr>
      <vt:lpstr>'327'!OSRRefE21_0x_3</vt:lpstr>
      <vt:lpstr>'330'!OSRRefE21_0x_3</vt:lpstr>
      <vt:lpstr>'331'!OSRRefE21_0x_3</vt:lpstr>
      <vt:lpstr>'332'!OSRRefE21_0x_3</vt:lpstr>
      <vt:lpstr>'405'!OSRRefE21_0x_3</vt:lpstr>
      <vt:lpstr>'406'!OSRRefE21_0x_3</vt:lpstr>
      <vt:lpstr>'411'!OSRRefE21_0x_3</vt:lpstr>
      <vt:lpstr>'412'!OSRRefE21_0x_3</vt:lpstr>
      <vt:lpstr>'413'!OSRRefE21_0x_3</vt:lpstr>
      <vt:lpstr>'414'!OSRRefE21_0x_3</vt:lpstr>
      <vt:lpstr>'415'!OSRRefE21_0x_3</vt:lpstr>
      <vt:lpstr>'418'!OSRRefE21_0x_3</vt:lpstr>
      <vt:lpstr>'423'!OSRRefE21_0x_3</vt:lpstr>
      <vt:lpstr>'424'!OSRRefE21_0x_3</vt:lpstr>
      <vt:lpstr>'425'!OSRRefE21_0x_3</vt:lpstr>
      <vt:lpstr>'430'!OSRRefE21_0x_3</vt:lpstr>
      <vt:lpstr>'433'!OSRRefE21_0x_3</vt:lpstr>
      <vt:lpstr>'435'!OSRRefE21_0x_3</vt:lpstr>
      <vt:lpstr>'444'!OSRRefE21_0x_3</vt:lpstr>
      <vt:lpstr>'450'!OSRRefE21_0x_3</vt:lpstr>
      <vt:lpstr>'491'!OSRRefE21_0x_3</vt:lpstr>
      <vt:lpstr>'492'!OSRRefE21_0x_3</vt:lpstr>
      <vt:lpstr>'501'!OSRRefE21_0x_3</vt:lpstr>
      <vt:lpstr>'Div 2'!OSRRefE21_0x_3</vt:lpstr>
      <vt:lpstr>'Div 3'!OSRRefE21_0x_3</vt:lpstr>
      <vt:lpstr>'Div 4'!OSRRefE21_0x_3</vt:lpstr>
      <vt:lpstr>'Div 5'!OSRRefE21_0x_3</vt:lpstr>
      <vt:lpstr>'Div 6'!OSRRefE21_0x_3</vt:lpstr>
      <vt:lpstr>Summary!OSRRefE21_0x_3</vt:lpstr>
      <vt:lpstr>'200'!OSRRefE21_0x_4</vt:lpstr>
      <vt:lpstr>'201'!OSRRefE21_0x_4</vt:lpstr>
      <vt:lpstr>'202'!OSRRefE21_0x_4</vt:lpstr>
      <vt:lpstr>'203'!OSRRefE21_0x_4</vt:lpstr>
      <vt:lpstr>'204'!OSRRefE21_0x_4</vt:lpstr>
      <vt:lpstr>'205'!OSRRefE21_0x_4</vt:lpstr>
      <vt:lpstr>'206'!OSRRefE21_0x_4</vt:lpstr>
      <vt:lpstr>'300'!OSRRefE21_0x_4</vt:lpstr>
      <vt:lpstr>'300 &amp; 317'!OSRRefE21_0x_4</vt:lpstr>
      <vt:lpstr>'301'!OSRRefE21_0x_4</vt:lpstr>
      <vt:lpstr>'307'!OSRRefE21_0x_4</vt:lpstr>
      <vt:lpstr>'308'!OSRRefE21_0x_4</vt:lpstr>
      <vt:lpstr>'309'!OSRRefE21_0x_4</vt:lpstr>
      <vt:lpstr>'310'!OSRRefE21_0x_4</vt:lpstr>
      <vt:lpstr>'310 &amp; 491'!OSRRefE21_0x_4</vt:lpstr>
      <vt:lpstr>'311'!OSRRefE21_0x_4</vt:lpstr>
      <vt:lpstr>'313'!OSRRefE21_0x_4</vt:lpstr>
      <vt:lpstr>'315'!OSRRefE21_0x_4</vt:lpstr>
      <vt:lpstr>'316'!OSRRefE21_0x_4</vt:lpstr>
      <vt:lpstr>'317'!OSRRefE21_0x_4</vt:lpstr>
      <vt:lpstr>'321'!OSRRefE21_0x_4</vt:lpstr>
      <vt:lpstr>'322'!OSRRefE21_0x_4</vt:lpstr>
      <vt:lpstr>'324'!OSRRefE21_0x_4</vt:lpstr>
      <vt:lpstr>'325'!OSRRefE21_0x_4</vt:lpstr>
      <vt:lpstr>'326'!OSRRefE21_0x_4</vt:lpstr>
      <vt:lpstr>'327'!OSRRefE21_0x_4</vt:lpstr>
      <vt:lpstr>'330'!OSRRefE21_0x_4</vt:lpstr>
      <vt:lpstr>'331'!OSRRefE21_0x_4</vt:lpstr>
      <vt:lpstr>'332'!OSRRefE21_0x_4</vt:lpstr>
      <vt:lpstr>'405'!OSRRefE21_0x_4</vt:lpstr>
      <vt:lpstr>'406'!OSRRefE21_0x_4</vt:lpstr>
      <vt:lpstr>'411'!OSRRefE21_0x_4</vt:lpstr>
      <vt:lpstr>'412'!OSRRefE21_0x_4</vt:lpstr>
      <vt:lpstr>'413'!OSRRefE21_0x_4</vt:lpstr>
      <vt:lpstr>'414'!OSRRefE21_0x_4</vt:lpstr>
      <vt:lpstr>'415'!OSRRefE21_0x_4</vt:lpstr>
      <vt:lpstr>'418'!OSRRefE21_0x_4</vt:lpstr>
      <vt:lpstr>'423'!OSRRefE21_0x_4</vt:lpstr>
      <vt:lpstr>'424'!OSRRefE21_0x_4</vt:lpstr>
      <vt:lpstr>'425'!OSRRefE21_0x_4</vt:lpstr>
      <vt:lpstr>'430'!OSRRefE21_0x_4</vt:lpstr>
      <vt:lpstr>'433'!OSRRefE21_0x_4</vt:lpstr>
      <vt:lpstr>'435'!OSRRefE21_0x_4</vt:lpstr>
      <vt:lpstr>'444'!OSRRefE21_0x_4</vt:lpstr>
      <vt:lpstr>'450'!OSRRefE21_0x_4</vt:lpstr>
      <vt:lpstr>'491'!OSRRefE21_0x_4</vt:lpstr>
      <vt:lpstr>'492'!OSRRefE21_0x_4</vt:lpstr>
      <vt:lpstr>'501'!OSRRefE21_0x_4</vt:lpstr>
      <vt:lpstr>'Div 2'!OSRRefE21_0x_4</vt:lpstr>
      <vt:lpstr>'Div 3'!OSRRefE21_0x_4</vt:lpstr>
      <vt:lpstr>'Div 4'!OSRRefE21_0x_4</vt:lpstr>
      <vt:lpstr>'Div 5'!OSRRefE21_0x_4</vt:lpstr>
      <vt:lpstr>'Div 6'!OSRRefE21_0x_4</vt:lpstr>
      <vt:lpstr>Summary!OSRRefE21_0x_4</vt:lpstr>
      <vt:lpstr>'200'!OSRRefE21_0x_5</vt:lpstr>
      <vt:lpstr>'201'!OSRRefE21_0x_5</vt:lpstr>
      <vt:lpstr>'202'!OSRRefE21_0x_5</vt:lpstr>
      <vt:lpstr>'203'!OSRRefE21_0x_5</vt:lpstr>
      <vt:lpstr>'204'!OSRRefE21_0x_5</vt:lpstr>
      <vt:lpstr>'205'!OSRRefE21_0x_5</vt:lpstr>
      <vt:lpstr>'206'!OSRRefE21_0x_5</vt:lpstr>
      <vt:lpstr>'300'!OSRRefE21_0x_5</vt:lpstr>
      <vt:lpstr>'300 &amp; 317'!OSRRefE21_0x_5</vt:lpstr>
      <vt:lpstr>'301'!OSRRefE21_0x_5</vt:lpstr>
      <vt:lpstr>'307'!OSRRefE21_0x_5</vt:lpstr>
      <vt:lpstr>'308'!OSRRefE21_0x_5</vt:lpstr>
      <vt:lpstr>'309'!OSRRefE21_0x_5</vt:lpstr>
      <vt:lpstr>'310'!OSRRefE21_0x_5</vt:lpstr>
      <vt:lpstr>'310 &amp; 491'!OSRRefE21_0x_5</vt:lpstr>
      <vt:lpstr>'311'!OSRRefE21_0x_5</vt:lpstr>
      <vt:lpstr>'313'!OSRRefE21_0x_5</vt:lpstr>
      <vt:lpstr>'315'!OSRRefE21_0x_5</vt:lpstr>
      <vt:lpstr>'316'!OSRRefE21_0x_5</vt:lpstr>
      <vt:lpstr>'317'!OSRRefE21_0x_5</vt:lpstr>
      <vt:lpstr>'321'!OSRRefE21_0x_5</vt:lpstr>
      <vt:lpstr>'322'!OSRRefE21_0x_5</vt:lpstr>
      <vt:lpstr>'324'!OSRRefE21_0x_5</vt:lpstr>
      <vt:lpstr>'325'!OSRRefE21_0x_5</vt:lpstr>
      <vt:lpstr>'326'!OSRRefE21_0x_5</vt:lpstr>
      <vt:lpstr>'327'!OSRRefE21_0x_5</vt:lpstr>
      <vt:lpstr>'330'!OSRRefE21_0x_5</vt:lpstr>
      <vt:lpstr>'331'!OSRRefE21_0x_5</vt:lpstr>
      <vt:lpstr>'332'!OSRRefE21_0x_5</vt:lpstr>
      <vt:lpstr>'405'!OSRRefE21_0x_5</vt:lpstr>
      <vt:lpstr>'406'!OSRRefE21_0x_5</vt:lpstr>
      <vt:lpstr>'411'!OSRRefE21_0x_5</vt:lpstr>
      <vt:lpstr>'412'!OSRRefE21_0x_5</vt:lpstr>
      <vt:lpstr>'413'!OSRRefE21_0x_5</vt:lpstr>
      <vt:lpstr>'414'!OSRRefE21_0x_5</vt:lpstr>
      <vt:lpstr>'415'!OSRRefE21_0x_5</vt:lpstr>
      <vt:lpstr>'418'!OSRRefE21_0x_5</vt:lpstr>
      <vt:lpstr>'423'!OSRRefE21_0x_5</vt:lpstr>
      <vt:lpstr>'424'!OSRRefE21_0x_5</vt:lpstr>
      <vt:lpstr>'425'!OSRRefE21_0x_5</vt:lpstr>
      <vt:lpstr>'430'!OSRRefE21_0x_5</vt:lpstr>
      <vt:lpstr>'433'!OSRRefE21_0x_5</vt:lpstr>
      <vt:lpstr>'435'!OSRRefE21_0x_5</vt:lpstr>
      <vt:lpstr>'444'!OSRRefE21_0x_5</vt:lpstr>
      <vt:lpstr>'450'!OSRRefE21_0x_5</vt:lpstr>
      <vt:lpstr>'491'!OSRRefE21_0x_5</vt:lpstr>
      <vt:lpstr>'492'!OSRRefE21_0x_5</vt:lpstr>
      <vt:lpstr>'501'!OSRRefE21_0x_5</vt:lpstr>
      <vt:lpstr>'Div 2'!OSRRefE21_0x_5</vt:lpstr>
      <vt:lpstr>'Div 3'!OSRRefE21_0x_5</vt:lpstr>
      <vt:lpstr>'Div 4'!OSRRefE21_0x_5</vt:lpstr>
      <vt:lpstr>'Div 5'!OSRRefE21_0x_5</vt:lpstr>
      <vt:lpstr>'Div 6'!OSRRefE21_0x_5</vt:lpstr>
      <vt:lpstr>Summary!OSRRefE21_0x_5</vt:lpstr>
      <vt:lpstr>'200'!OSRRefE21_0x_6</vt:lpstr>
      <vt:lpstr>'201'!OSRRefE21_0x_6</vt:lpstr>
      <vt:lpstr>'202'!OSRRefE21_0x_6</vt:lpstr>
      <vt:lpstr>'203'!OSRRefE21_0x_6</vt:lpstr>
      <vt:lpstr>'204'!OSRRefE21_0x_6</vt:lpstr>
      <vt:lpstr>'205'!OSRRefE21_0x_6</vt:lpstr>
      <vt:lpstr>'206'!OSRRefE21_0x_6</vt:lpstr>
      <vt:lpstr>'300'!OSRRefE21_0x_6</vt:lpstr>
      <vt:lpstr>'300 &amp; 317'!OSRRefE21_0x_6</vt:lpstr>
      <vt:lpstr>'301'!OSRRefE21_0x_6</vt:lpstr>
      <vt:lpstr>'307'!OSRRefE21_0x_6</vt:lpstr>
      <vt:lpstr>'308'!OSRRefE21_0x_6</vt:lpstr>
      <vt:lpstr>'309'!OSRRefE21_0x_6</vt:lpstr>
      <vt:lpstr>'310'!OSRRefE21_0x_6</vt:lpstr>
      <vt:lpstr>'310 &amp; 491'!OSRRefE21_0x_6</vt:lpstr>
      <vt:lpstr>'311'!OSRRefE21_0x_6</vt:lpstr>
      <vt:lpstr>'313'!OSRRefE21_0x_6</vt:lpstr>
      <vt:lpstr>'315'!OSRRefE21_0x_6</vt:lpstr>
      <vt:lpstr>'316'!OSRRefE21_0x_6</vt:lpstr>
      <vt:lpstr>'317'!OSRRefE21_0x_6</vt:lpstr>
      <vt:lpstr>'321'!OSRRefE21_0x_6</vt:lpstr>
      <vt:lpstr>'322'!OSRRefE21_0x_6</vt:lpstr>
      <vt:lpstr>'324'!OSRRefE21_0x_6</vt:lpstr>
      <vt:lpstr>'325'!OSRRefE21_0x_6</vt:lpstr>
      <vt:lpstr>'326'!OSRRefE21_0x_6</vt:lpstr>
      <vt:lpstr>'327'!OSRRefE21_0x_6</vt:lpstr>
      <vt:lpstr>'330'!OSRRefE21_0x_6</vt:lpstr>
      <vt:lpstr>'331'!OSRRefE21_0x_6</vt:lpstr>
      <vt:lpstr>'332'!OSRRefE21_0x_6</vt:lpstr>
      <vt:lpstr>'405'!OSRRefE21_0x_6</vt:lpstr>
      <vt:lpstr>'406'!OSRRefE21_0x_6</vt:lpstr>
      <vt:lpstr>'411'!OSRRefE21_0x_6</vt:lpstr>
      <vt:lpstr>'412'!OSRRefE21_0x_6</vt:lpstr>
      <vt:lpstr>'413'!OSRRefE21_0x_6</vt:lpstr>
      <vt:lpstr>'414'!OSRRefE21_0x_6</vt:lpstr>
      <vt:lpstr>'415'!OSRRefE21_0x_6</vt:lpstr>
      <vt:lpstr>'418'!OSRRefE21_0x_6</vt:lpstr>
      <vt:lpstr>'423'!OSRRefE21_0x_6</vt:lpstr>
      <vt:lpstr>'424'!OSRRefE21_0x_6</vt:lpstr>
      <vt:lpstr>'425'!OSRRefE21_0x_6</vt:lpstr>
      <vt:lpstr>'430'!OSRRefE21_0x_6</vt:lpstr>
      <vt:lpstr>'433'!OSRRefE21_0x_6</vt:lpstr>
      <vt:lpstr>'435'!OSRRefE21_0x_6</vt:lpstr>
      <vt:lpstr>'444'!OSRRefE21_0x_6</vt:lpstr>
      <vt:lpstr>'450'!OSRRefE21_0x_6</vt:lpstr>
      <vt:lpstr>'491'!OSRRefE21_0x_6</vt:lpstr>
      <vt:lpstr>'492'!OSRRefE21_0x_6</vt:lpstr>
      <vt:lpstr>'501'!OSRRefE21_0x_6</vt:lpstr>
      <vt:lpstr>'Div 2'!OSRRefE21_0x_6</vt:lpstr>
      <vt:lpstr>'Div 3'!OSRRefE21_0x_6</vt:lpstr>
      <vt:lpstr>'Div 4'!OSRRefE21_0x_6</vt:lpstr>
      <vt:lpstr>'Div 5'!OSRRefE21_0x_6</vt:lpstr>
      <vt:lpstr>'Div 6'!OSRRefE21_0x_6</vt:lpstr>
      <vt:lpstr>Summary!OSRRefE21_0x_6</vt:lpstr>
      <vt:lpstr>'200'!OSRRefE21_0x_7</vt:lpstr>
      <vt:lpstr>'201'!OSRRefE21_0x_7</vt:lpstr>
      <vt:lpstr>'202'!OSRRefE21_0x_7</vt:lpstr>
      <vt:lpstr>'203'!OSRRefE21_0x_7</vt:lpstr>
      <vt:lpstr>'204'!OSRRefE21_0x_7</vt:lpstr>
      <vt:lpstr>'205'!OSRRefE21_0x_7</vt:lpstr>
      <vt:lpstr>'206'!OSRRefE21_0x_7</vt:lpstr>
      <vt:lpstr>'300'!OSRRefE21_0x_7</vt:lpstr>
      <vt:lpstr>'300 &amp; 317'!OSRRefE21_0x_7</vt:lpstr>
      <vt:lpstr>'301'!OSRRefE21_0x_7</vt:lpstr>
      <vt:lpstr>'307'!OSRRefE21_0x_7</vt:lpstr>
      <vt:lpstr>'308'!OSRRefE21_0x_7</vt:lpstr>
      <vt:lpstr>'309'!OSRRefE21_0x_7</vt:lpstr>
      <vt:lpstr>'310'!OSRRefE21_0x_7</vt:lpstr>
      <vt:lpstr>'310 &amp; 491'!OSRRefE21_0x_7</vt:lpstr>
      <vt:lpstr>'311'!OSRRefE21_0x_7</vt:lpstr>
      <vt:lpstr>'313'!OSRRefE21_0x_7</vt:lpstr>
      <vt:lpstr>'315'!OSRRefE21_0x_7</vt:lpstr>
      <vt:lpstr>'316'!OSRRefE21_0x_7</vt:lpstr>
      <vt:lpstr>'317'!OSRRefE21_0x_7</vt:lpstr>
      <vt:lpstr>'321'!OSRRefE21_0x_7</vt:lpstr>
      <vt:lpstr>'322'!OSRRefE21_0x_7</vt:lpstr>
      <vt:lpstr>'324'!OSRRefE21_0x_7</vt:lpstr>
      <vt:lpstr>'325'!OSRRefE21_0x_7</vt:lpstr>
      <vt:lpstr>'326'!OSRRefE21_0x_7</vt:lpstr>
      <vt:lpstr>'327'!OSRRefE21_0x_7</vt:lpstr>
      <vt:lpstr>'330'!OSRRefE21_0x_7</vt:lpstr>
      <vt:lpstr>'331'!OSRRefE21_0x_7</vt:lpstr>
      <vt:lpstr>'332'!OSRRefE21_0x_7</vt:lpstr>
      <vt:lpstr>'405'!OSRRefE21_0x_7</vt:lpstr>
      <vt:lpstr>'406'!OSRRefE21_0x_7</vt:lpstr>
      <vt:lpstr>'411'!OSRRefE21_0x_7</vt:lpstr>
      <vt:lpstr>'412'!OSRRefE21_0x_7</vt:lpstr>
      <vt:lpstr>'413'!OSRRefE21_0x_7</vt:lpstr>
      <vt:lpstr>'414'!OSRRefE21_0x_7</vt:lpstr>
      <vt:lpstr>'415'!OSRRefE21_0x_7</vt:lpstr>
      <vt:lpstr>'418'!OSRRefE21_0x_7</vt:lpstr>
      <vt:lpstr>'423'!OSRRefE21_0x_7</vt:lpstr>
      <vt:lpstr>'424'!OSRRefE21_0x_7</vt:lpstr>
      <vt:lpstr>'425'!OSRRefE21_0x_7</vt:lpstr>
      <vt:lpstr>'430'!OSRRefE21_0x_7</vt:lpstr>
      <vt:lpstr>'433'!OSRRefE21_0x_7</vt:lpstr>
      <vt:lpstr>'435'!OSRRefE21_0x_7</vt:lpstr>
      <vt:lpstr>'444'!OSRRefE21_0x_7</vt:lpstr>
      <vt:lpstr>'450'!OSRRefE21_0x_7</vt:lpstr>
      <vt:lpstr>'491'!OSRRefE21_0x_7</vt:lpstr>
      <vt:lpstr>'492'!OSRRefE21_0x_7</vt:lpstr>
      <vt:lpstr>'501'!OSRRefE21_0x_7</vt:lpstr>
      <vt:lpstr>'Div 2'!OSRRefE21_0x_7</vt:lpstr>
      <vt:lpstr>'Div 3'!OSRRefE21_0x_7</vt:lpstr>
      <vt:lpstr>'Div 4'!OSRRefE21_0x_7</vt:lpstr>
      <vt:lpstr>'Div 5'!OSRRefE21_0x_7</vt:lpstr>
      <vt:lpstr>'Div 6'!OSRRefE21_0x_7</vt:lpstr>
      <vt:lpstr>Summary!OSRRefE21_0x_7</vt:lpstr>
      <vt:lpstr>'200'!OSRRefE21_1_0x</vt:lpstr>
      <vt:lpstr>'201'!OSRRefE21_1_0x</vt:lpstr>
      <vt:lpstr>'202'!OSRRefE21_1_0x</vt:lpstr>
      <vt:lpstr>'203'!OSRRefE21_1_0x</vt:lpstr>
      <vt:lpstr>'204'!OSRRefE21_1_0x</vt:lpstr>
      <vt:lpstr>'205'!OSRRefE21_1_0x</vt:lpstr>
      <vt:lpstr>'206'!OSRRefE21_1_0x</vt:lpstr>
      <vt:lpstr>'300'!OSRRefE21_1_0x</vt:lpstr>
      <vt:lpstr>'300 &amp; 317'!OSRRefE21_1_0x</vt:lpstr>
      <vt:lpstr>'301'!OSRRefE21_1_0x</vt:lpstr>
      <vt:lpstr>'307'!OSRRefE21_1_0x</vt:lpstr>
      <vt:lpstr>'308'!OSRRefE21_1_0x</vt:lpstr>
      <vt:lpstr>'309'!OSRRefE21_1_0x</vt:lpstr>
      <vt:lpstr>'310'!OSRRefE21_1_0x</vt:lpstr>
      <vt:lpstr>'310 &amp; 491'!OSRRefE21_1_0x</vt:lpstr>
      <vt:lpstr>'311'!OSRRefE21_1_0x</vt:lpstr>
      <vt:lpstr>'313'!OSRRefE21_1_0x</vt:lpstr>
      <vt:lpstr>'315'!OSRRefE21_1_0x</vt:lpstr>
      <vt:lpstr>'316'!OSRRefE21_1_0x</vt:lpstr>
      <vt:lpstr>'317'!OSRRefE21_1_0x</vt:lpstr>
      <vt:lpstr>'321'!OSRRefE21_1_0x</vt:lpstr>
      <vt:lpstr>'322'!OSRRefE21_1_0x</vt:lpstr>
      <vt:lpstr>'324'!OSRRefE21_1_0x</vt:lpstr>
      <vt:lpstr>'325'!OSRRefE21_1_0x</vt:lpstr>
      <vt:lpstr>'326'!OSRRefE21_1_0x</vt:lpstr>
      <vt:lpstr>'330'!OSRRefE21_1_0x</vt:lpstr>
      <vt:lpstr>'331'!OSRRefE21_1_0x</vt:lpstr>
      <vt:lpstr>'332'!OSRRefE21_1_0x</vt:lpstr>
      <vt:lpstr>'405'!OSRRefE21_1_0x</vt:lpstr>
      <vt:lpstr>'406'!OSRRefE21_1_0x</vt:lpstr>
      <vt:lpstr>'411'!OSRRefE21_1_0x</vt:lpstr>
      <vt:lpstr>'412'!OSRRefE21_1_0x</vt:lpstr>
      <vt:lpstr>'413'!OSRRefE21_1_0x</vt:lpstr>
      <vt:lpstr>'414'!OSRRefE21_1_0x</vt:lpstr>
      <vt:lpstr>'415'!OSRRefE21_1_0x</vt:lpstr>
      <vt:lpstr>'418'!OSRRefE21_1_0x</vt:lpstr>
      <vt:lpstr>'423'!OSRRefE21_1_0x</vt:lpstr>
      <vt:lpstr>'424'!OSRRefE21_1_0x</vt:lpstr>
      <vt:lpstr>'425'!OSRRefE21_1_0x</vt:lpstr>
      <vt:lpstr>'430'!OSRRefE21_1_0x</vt:lpstr>
      <vt:lpstr>'433'!OSRRefE21_1_0x</vt:lpstr>
      <vt:lpstr>'444'!OSRRefE21_1_0x</vt:lpstr>
      <vt:lpstr>'450'!OSRRefE21_1_0x</vt:lpstr>
      <vt:lpstr>'491'!OSRRefE21_1_0x</vt:lpstr>
      <vt:lpstr>'492'!OSRRefE21_1_0x</vt:lpstr>
      <vt:lpstr>'501'!OSRRefE21_1_0x</vt:lpstr>
      <vt:lpstr>'Div 2'!OSRRefE21_1_0x</vt:lpstr>
      <vt:lpstr>'Div 3'!OSRRefE21_1_0x</vt:lpstr>
      <vt:lpstr>'Div 4'!OSRRefE21_1_0x</vt:lpstr>
      <vt:lpstr>'Div 5'!OSRRefE21_1_0x</vt:lpstr>
      <vt:lpstr>'Div 6'!OSRRefE21_1_0x</vt:lpstr>
      <vt:lpstr>Summary!OSRRefE21_1_0x</vt:lpstr>
      <vt:lpstr>'201'!OSRRefE21_1_1x</vt:lpstr>
      <vt:lpstr>'202'!OSRRefE21_1_1x</vt:lpstr>
      <vt:lpstr>'203'!OSRRefE21_1_1x</vt:lpstr>
      <vt:lpstr>'204'!OSRRefE21_1_1x</vt:lpstr>
      <vt:lpstr>'205'!OSRRefE21_1_1x</vt:lpstr>
      <vt:lpstr>'206'!OSRRefE21_1_1x</vt:lpstr>
      <vt:lpstr>'300'!OSRRefE21_1_1x</vt:lpstr>
      <vt:lpstr>'300 &amp; 317'!OSRRefE21_1_1x</vt:lpstr>
      <vt:lpstr>'301'!OSRRefE21_1_1x</vt:lpstr>
      <vt:lpstr>'307'!OSRRefE21_1_1x</vt:lpstr>
      <vt:lpstr>'308'!OSRRefE21_1_1x</vt:lpstr>
      <vt:lpstr>'309'!OSRRefE21_1_1x</vt:lpstr>
      <vt:lpstr>'310'!OSRRefE21_1_1x</vt:lpstr>
      <vt:lpstr>'310 &amp; 491'!OSRRefE21_1_1x</vt:lpstr>
      <vt:lpstr>'311'!OSRRefE21_1_1x</vt:lpstr>
      <vt:lpstr>'313'!OSRRefE21_1_1x</vt:lpstr>
      <vt:lpstr>'315'!OSRRefE21_1_1x</vt:lpstr>
      <vt:lpstr>'316'!OSRRefE21_1_1x</vt:lpstr>
      <vt:lpstr>'317'!OSRRefE21_1_1x</vt:lpstr>
      <vt:lpstr>'321'!OSRRefE21_1_1x</vt:lpstr>
      <vt:lpstr>'322'!OSRRefE21_1_1x</vt:lpstr>
      <vt:lpstr>'324'!OSRRefE21_1_1x</vt:lpstr>
      <vt:lpstr>'325'!OSRRefE21_1_1x</vt:lpstr>
      <vt:lpstr>'326'!OSRRefE21_1_1x</vt:lpstr>
      <vt:lpstr>'330'!OSRRefE21_1_1x</vt:lpstr>
      <vt:lpstr>'331'!OSRRefE21_1_1x</vt:lpstr>
      <vt:lpstr>'332'!OSRRefE21_1_1x</vt:lpstr>
      <vt:lpstr>'405'!OSRRefE21_1_1x</vt:lpstr>
      <vt:lpstr>'411'!OSRRefE21_1_1x</vt:lpstr>
      <vt:lpstr>'412'!OSRRefE21_1_1x</vt:lpstr>
      <vt:lpstr>'413'!OSRRefE21_1_1x</vt:lpstr>
      <vt:lpstr>'414'!OSRRefE21_1_1x</vt:lpstr>
      <vt:lpstr>'415'!OSRRefE21_1_1x</vt:lpstr>
      <vt:lpstr>'418'!OSRRefE21_1_1x</vt:lpstr>
      <vt:lpstr>'423'!OSRRefE21_1_1x</vt:lpstr>
      <vt:lpstr>'430'!OSRRefE21_1_1x</vt:lpstr>
      <vt:lpstr>'433'!OSRRefE21_1_1x</vt:lpstr>
      <vt:lpstr>'444'!OSRRefE21_1_1x</vt:lpstr>
      <vt:lpstr>'450'!OSRRefE21_1_1x</vt:lpstr>
      <vt:lpstr>'491'!OSRRefE21_1_1x</vt:lpstr>
      <vt:lpstr>'492'!OSRRefE21_1_1x</vt:lpstr>
      <vt:lpstr>'501'!OSRRefE21_1_1x</vt:lpstr>
      <vt:lpstr>'Div 2'!OSRRefE21_1_1x</vt:lpstr>
      <vt:lpstr>'Div 3'!OSRRefE21_1_1x</vt:lpstr>
      <vt:lpstr>'Div 4'!OSRRefE21_1_1x</vt:lpstr>
      <vt:lpstr>'Div 5'!OSRRefE21_1_1x</vt:lpstr>
      <vt:lpstr>'Div 6'!OSRRefE21_1_1x</vt:lpstr>
      <vt:lpstr>Summary!OSRRefE21_1_1x</vt:lpstr>
      <vt:lpstr>'201'!OSRRefE21_1_2x</vt:lpstr>
      <vt:lpstr>'202'!OSRRefE21_1_2x</vt:lpstr>
      <vt:lpstr>'203'!OSRRefE21_1_2x</vt:lpstr>
      <vt:lpstr>'204'!OSRRefE21_1_2x</vt:lpstr>
      <vt:lpstr>'205'!OSRRefE21_1_2x</vt:lpstr>
      <vt:lpstr>'206'!OSRRefE21_1_2x</vt:lpstr>
      <vt:lpstr>'300'!OSRRefE21_1_2x</vt:lpstr>
      <vt:lpstr>'300 &amp; 317'!OSRRefE21_1_2x</vt:lpstr>
      <vt:lpstr>'301'!OSRRefE21_1_2x</vt:lpstr>
      <vt:lpstr>'307'!OSRRefE21_1_2x</vt:lpstr>
      <vt:lpstr>'308'!OSRRefE21_1_2x</vt:lpstr>
      <vt:lpstr>'309'!OSRRefE21_1_2x</vt:lpstr>
      <vt:lpstr>'310'!OSRRefE21_1_2x</vt:lpstr>
      <vt:lpstr>'310 &amp; 491'!OSRRefE21_1_2x</vt:lpstr>
      <vt:lpstr>'311'!OSRRefE21_1_2x</vt:lpstr>
      <vt:lpstr>'313'!OSRRefE21_1_2x</vt:lpstr>
      <vt:lpstr>'315'!OSRRefE21_1_2x</vt:lpstr>
      <vt:lpstr>'316'!OSRRefE21_1_2x</vt:lpstr>
      <vt:lpstr>'317'!OSRRefE21_1_2x</vt:lpstr>
      <vt:lpstr>'321'!OSRRefE21_1_2x</vt:lpstr>
      <vt:lpstr>'322'!OSRRefE21_1_2x</vt:lpstr>
      <vt:lpstr>'324'!OSRRefE21_1_2x</vt:lpstr>
      <vt:lpstr>'325'!OSRRefE21_1_2x</vt:lpstr>
      <vt:lpstr>'326'!OSRRefE21_1_2x</vt:lpstr>
      <vt:lpstr>'330'!OSRRefE21_1_2x</vt:lpstr>
      <vt:lpstr>'331'!OSRRefE21_1_2x</vt:lpstr>
      <vt:lpstr>'332'!OSRRefE21_1_2x</vt:lpstr>
      <vt:lpstr>'405'!OSRRefE21_1_2x</vt:lpstr>
      <vt:lpstr>'411'!OSRRefE21_1_2x</vt:lpstr>
      <vt:lpstr>'412'!OSRRefE21_1_2x</vt:lpstr>
      <vt:lpstr>'413'!OSRRefE21_1_2x</vt:lpstr>
      <vt:lpstr>'414'!OSRRefE21_1_2x</vt:lpstr>
      <vt:lpstr>'415'!OSRRefE21_1_2x</vt:lpstr>
      <vt:lpstr>'418'!OSRRefE21_1_2x</vt:lpstr>
      <vt:lpstr>'423'!OSRRefE21_1_2x</vt:lpstr>
      <vt:lpstr>'430'!OSRRefE21_1_2x</vt:lpstr>
      <vt:lpstr>'433'!OSRRefE21_1_2x</vt:lpstr>
      <vt:lpstr>'444'!OSRRefE21_1_2x</vt:lpstr>
      <vt:lpstr>'450'!OSRRefE21_1_2x</vt:lpstr>
      <vt:lpstr>'491'!OSRRefE21_1_2x</vt:lpstr>
      <vt:lpstr>'492'!OSRRefE21_1_2x</vt:lpstr>
      <vt:lpstr>'501'!OSRRefE21_1_2x</vt:lpstr>
      <vt:lpstr>'Div 2'!OSRRefE21_1_2x</vt:lpstr>
      <vt:lpstr>'Div 3'!OSRRefE21_1_2x</vt:lpstr>
      <vt:lpstr>'Div 4'!OSRRefE21_1_2x</vt:lpstr>
      <vt:lpstr>'Div 5'!OSRRefE21_1_2x</vt:lpstr>
      <vt:lpstr>'Div 6'!OSRRefE21_1_2x</vt:lpstr>
      <vt:lpstr>Summary!OSRRefE21_1_2x</vt:lpstr>
      <vt:lpstr>'201'!OSRRefE21_1_3x</vt:lpstr>
      <vt:lpstr>'202'!OSRRefE21_1_3x</vt:lpstr>
      <vt:lpstr>'203'!OSRRefE21_1_3x</vt:lpstr>
      <vt:lpstr>'204'!OSRRefE21_1_3x</vt:lpstr>
      <vt:lpstr>'205'!OSRRefE21_1_3x</vt:lpstr>
      <vt:lpstr>'206'!OSRRefE21_1_3x</vt:lpstr>
      <vt:lpstr>'300'!OSRRefE21_1_3x</vt:lpstr>
      <vt:lpstr>'300 &amp; 317'!OSRRefE21_1_3x</vt:lpstr>
      <vt:lpstr>'301'!OSRRefE21_1_3x</vt:lpstr>
      <vt:lpstr>'307'!OSRRefE21_1_3x</vt:lpstr>
      <vt:lpstr>'308'!OSRRefE21_1_3x</vt:lpstr>
      <vt:lpstr>'309'!OSRRefE21_1_3x</vt:lpstr>
      <vt:lpstr>'310'!OSRRefE21_1_3x</vt:lpstr>
      <vt:lpstr>'310 &amp; 491'!OSRRefE21_1_3x</vt:lpstr>
      <vt:lpstr>'311'!OSRRefE21_1_3x</vt:lpstr>
      <vt:lpstr>'313'!OSRRefE21_1_3x</vt:lpstr>
      <vt:lpstr>'315'!OSRRefE21_1_3x</vt:lpstr>
      <vt:lpstr>'316'!OSRRefE21_1_3x</vt:lpstr>
      <vt:lpstr>'317'!OSRRefE21_1_3x</vt:lpstr>
      <vt:lpstr>'321'!OSRRefE21_1_3x</vt:lpstr>
      <vt:lpstr>'322'!OSRRefE21_1_3x</vt:lpstr>
      <vt:lpstr>'324'!OSRRefE21_1_3x</vt:lpstr>
      <vt:lpstr>'325'!OSRRefE21_1_3x</vt:lpstr>
      <vt:lpstr>'326'!OSRRefE21_1_3x</vt:lpstr>
      <vt:lpstr>'330'!OSRRefE21_1_3x</vt:lpstr>
      <vt:lpstr>'331'!OSRRefE21_1_3x</vt:lpstr>
      <vt:lpstr>'332'!OSRRefE21_1_3x</vt:lpstr>
      <vt:lpstr>'405'!OSRRefE21_1_3x</vt:lpstr>
      <vt:lpstr>'411'!OSRRefE21_1_3x</vt:lpstr>
      <vt:lpstr>'412'!OSRRefE21_1_3x</vt:lpstr>
      <vt:lpstr>'413'!OSRRefE21_1_3x</vt:lpstr>
      <vt:lpstr>'414'!OSRRefE21_1_3x</vt:lpstr>
      <vt:lpstr>'415'!OSRRefE21_1_3x</vt:lpstr>
      <vt:lpstr>'418'!OSRRefE21_1_3x</vt:lpstr>
      <vt:lpstr>'423'!OSRRefE21_1_3x</vt:lpstr>
      <vt:lpstr>'430'!OSRRefE21_1_3x</vt:lpstr>
      <vt:lpstr>'433'!OSRRefE21_1_3x</vt:lpstr>
      <vt:lpstr>'444'!OSRRefE21_1_3x</vt:lpstr>
      <vt:lpstr>'450'!OSRRefE21_1_3x</vt:lpstr>
      <vt:lpstr>'491'!OSRRefE21_1_3x</vt:lpstr>
      <vt:lpstr>'492'!OSRRefE21_1_3x</vt:lpstr>
      <vt:lpstr>'501'!OSRRefE21_1_3x</vt:lpstr>
      <vt:lpstr>'Div 2'!OSRRefE21_1_3x</vt:lpstr>
      <vt:lpstr>'Div 3'!OSRRefE21_1_3x</vt:lpstr>
      <vt:lpstr>'Div 4'!OSRRefE21_1_3x</vt:lpstr>
      <vt:lpstr>'Div 5'!OSRRefE21_1_3x</vt:lpstr>
      <vt:lpstr>'Div 6'!OSRRefE21_1_3x</vt:lpstr>
      <vt:lpstr>Summary!OSRRefE21_1_3x</vt:lpstr>
      <vt:lpstr>'201'!OSRRefE21_1_4x</vt:lpstr>
      <vt:lpstr>'202'!OSRRefE21_1_4x</vt:lpstr>
      <vt:lpstr>'203'!OSRRefE21_1_4x</vt:lpstr>
      <vt:lpstr>'204'!OSRRefE21_1_4x</vt:lpstr>
      <vt:lpstr>'205'!OSRRefE21_1_4x</vt:lpstr>
      <vt:lpstr>'206'!OSRRefE21_1_4x</vt:lpstr>
      <vt:lpstr>'300'!OSRRefE21_1_4x</vt:lpstr>
      <vt:lpstr>'300 &amp; 317'!OSRRefE21_1_4x</vt:lpstr>
      <vt:lpstr>'301'!OSRRefE21_1_4x</vt:lpstr>
      <vt:lpstr>'307'!OSRRefE21_1_4x</vt:lpstr>
      <vt:lpstr>'308'!OSRRefE21_1_4x</vt:lpstr>
      <vt:lpstr>'309'!OSRRefE21_1_4x</vt:lpstr>
      <vt:lpstr>'310'!OSRRefE21_1_4x</vt:lpstr>
      <vt:lpstr>'310 &amp; 491'!OSRRefE21_1_4x</vt:lpstr>
      <vt:lpstr>'311'!OSRRefE21_1_4x</vt:lpstr>
      <vt:lpstr>'313'!OSRRefE21_1_4x</vt:lpstr>
      <vt:lpstr>'315'!OSRRefE21_1_4x</vt:lpstr>
      <vt:lpstr>'316'!OSRRefE21_1_4x</vt:lpstr>
      <vt:lpstr>'317'!OSRRefE21_1_4x</vt:lpstr>
      <vt:lpstr>'321'!OSRRefE21_1_4x</vt:lpstr>
      <vt:lpstr>'322'!OSRRefE21_1_4x</vt:lpstr>
      <vt:lpstr>'324'!OSRRefE21_1_4x</vt:lpstr>
      <vt:lpstr>'325'!OSRRefE21_1_4x</vt:lpstr>
      <vt:lpstr>'326'!OSRRefE21_1_4x</vt:lpstr>
      <vt:lpstr>'330'!OSRRefE21_1_4x</vt:lpstr>
      <vt:lpstr>'331'!OSRRefE21_1_4x</vt:lpstr>
      <vt:lpstr>'332'!OSRRefE21_1_4x</vt:lpstr>
      <vt:lpstr>'405'!OSRRefE21_1_4x</vt:lpstr>
      <vt:lpstr>'411'!OSRRefE21_1_4x</vt:lpstr>
      <vt:lpstr>'412'!OSRRefE21_1_4x</vt:lpstr>
      <vt:lpstr>'413'!OSRRefE21_1_4x</vt:lpstr>
      <vt:lpstr>'414'!OSRRefE21_1_4x</vt:lpstr>
      <vt:lpstr>'415'!OSRRefE21_1_4x</vt:lpstr>
      <vt:lpstr>'418'!OSRRefE21_1_4x</vt:lpstr>
      <vt:lpstr>'423'!OSRRefE21_1_4x</vt:lpstr>
      <vt:lpstr>'430'!OSRRefE21_1_4x</vt:lpstr>
      <vt:lpstr>'433'!OSRRefE21_1_4x</vt:lpstr>
      <vt:lpstr>'444'!OSRRefE21_1_4x</vt:lpstr>
      <vt:lpstr>'450'!OSRRefE21_1_4x</vt:lpstr>
      <vt:lpstr>'491'!OSRRefE21_1_4x</vt:lpstr>
      <vt:lpstr>'492'!OSRRefE21_1_4x</vt:lpstr>
      <vt:lpstr>'501'!OSRRefE21_1_4x</vt:lpstr>
      <vt:lpstr>'Div 2'!OSRRefE21_1_4x</vt:lpstr>
      <vt:lpstr>'Div 3'!OSRRefE21_1_4x</vt:lpstr>
      <vt:lpstr>'Div 4'!OSRRefE21_1_4x</vt:lpstr>
      <vt:lpstr>'Div 5'!OSRRefE21_1_4x</vt:lpstr>
      <vt:lpstr>'Div 6'!OSRRefE21_1_4x</vt:lpstr>
      <vt:lpstr>Summary!OSRRefE21_1_4x</vt:lpstr>
      <vt:lpstr>'201'!OSRRefE21_1_5x</vt:lpstr>
      <vt:lpstr>'202'!OSRRefE21_1_5x</vt:lpstr>
      <vt:lpstr>'203'!OSRRefE21_1_5x</vt:lpstr>
      <vt:lpstr>'204'!OSRRefE21_1_5x</vt:lpstr>
      <vt:lpstr>'205'!OSRRefE21_1_5x</vt:lpstr>
      <vt:lpstr>'206'!OSRRefE21_1_5x</vt:lpstr>
      <vt:lpstr>'300'!OSRRefE21_1_5x</vt:lpstr>
      <vt:lpstr>'300 &amp; 317'!OSRRefE21_1_5x</vt:lpstr>
      <vt:lpstr>'301'!OSRRefE21_1_5x</vt:lpstr>
      <vt:lpstr>'307'!OSRRefE21_1_5x</vt:lpstr>
      <vt:lpstr>'308'!OSRRefE21_1_5x</vt:lpstr>
      <vt:lpstr>'309'!OSRRefE21_1_5x</vt:lpstr>
      <vt:lpstr>'310'!OSRRefE21_1_5x</vt:lpstr>
      <vt:lpstr>'310 &amp; 491'!OSRRefE21_1_5x</vt:lpstr>
      <vt:lpstr>'311'!OSRRefE21_1_5x</vt:lpstr>
      <vt:lpstr>'313'!OSRRefE21_1_5x</vt:lpstr>
      <vt:lpstr>'315'!OSRRefE21_1_5x</vt:lpstr>
      <vt:lpstr>'316'!OSRRefE21_1_5x</vt:lpstr>
      <vt:lpstr>'317'!OSRRefE21_1_5x</vt:lpstr>
      <vt:lpstr>'321'!OSRRefE21_1_5x</vt:lpstr>
      <vt:lpstr>'322'!OSRRefE21_1_5x</vt:lpstr>
      <vt:lpstr>'324'!OSRRefE21_1_5x</vt:lpstr>
      <vt:lpstr>'325'!OSRRefE21_1_5x</vt:lpstr>
      <vt:lpstr>'326'!OSRRefE21_1_5x</vt:lpstr>
      <vt:lpstr>'330'!OSRRefE21_1_5x</vt:lpstr>
      <vt:lpstr>'331'!OSRRefE21_1_5x</vt:lpstr>
      <vt:lpstr>'332'!OSRRefE21_1_5x</vt:lpstr>
      <vt:lpstr>'405'!OSRRefE21_1_5x</vt:lpstr>
      <vt:lpstr>'411'!OSRRefE21_1_5x</vt:lpstr>
      <vt:lpstr>'412'!OSRRefE21_1_5x</vt:lpstr>
      <vt:lpstr>'413'!OSRRefE21_1_5x</vt:lpstr>
      <vt:lpstr>'414'!OSRRefE21_1_5x</vt:lpstr>
      <vt:lpstr>'415'!OSRRefE21_1_5x</vt:lpstr>
      <vt:lpstr>'418'!OSRRefE21_1_5x</vt:lpstr>
      <vt:lpstr>'423'!OSRRefE21_1_5x</vt:lpstr>
      <vt:lpstr>'430'!OSRRefE21_1_5x</vt:lpstr>
      <vt:lpstr>'433'!OSRRefE21_1_5x</vt:lpstr>
      <vt:lpstr>'444'!OSRRefE21_1_5x</vt:lpstr>
      <vt:lpstr>'450'!OSRRefE21_1_5x</vt:lpstr>
      <vt:lpstr>'491'!OSRRefE21_1_5x</vt:lpstr>
      <vt:lpstr>'492'!OSRRefE21_1_5x</vt:lpstr>
      <vt:lpstr>'501'!OSRRefE21_1_5x</vt:lpstr>
      <vt:lpstr>'Div 2'!OSRRefE21_1_5x</vt:lpstr>
      <vt:lpstr>'Div 3'!OSRRefE21_1_5x</vt:lpstr>
      <vt:lpstr>'Div 4'!OSRRefE21_1_5x</vt:lpstr>
      <vt:lpstr>'Div 5'!OSRRefE21_1_5x</vt:lpstr>
      <vt:lpstr>'Div 6'!OSRRefE21_1_5x</vt:lpstr>
      <vt:lpstr>Summary!OSRRefE21_1_5x</vt:lpstr>
      <vt:lpstr>'201'!OSRRefE21_1_6x</vt:lpstr>
      <vt:lpstr>'202'!OSRRefE21_1_6x</vt:lpstr>
      <vt:lpstr>'203'!OSRRefE21_1_6x</vt:lpstr>
      <vt:lpstr>'204'!OSRRefE21_1_6x</vt:lpstr>
      <vt:lpstr>'205'!OSRRefE21_1_6x</vt:lpstr>
      <vt:lpstr>'206'!OSRRefE21_1_6x</vt:lpstr>
      <vt:lpstr>'300'!OSRRefE21_1_6x</vt:lpstr>
      <vt:lpstr>'300 &amp; 317'!OSRRefE21_1_6x</vt:lpstr>
      <vt:lpstr>'301'!OSRRefE21_1_6x</vt:lpstr>
      <vt:lpstr>'307'!OSRRefE21_1_6x</vt:lpstr>
      <vt:lpstr>'308'!OSRRefE21_1_6x</vt:lpstr>
      <vt:lpstr>'309'!OSRRefE21_1_6x</vt:lpstr>
      <vt:lpstr>'310'!OSRRefE21_1_6x</vt:lpstr>
      <vt:lpstr>'310 &amp; 491'!OSRRefE21_1_6x</vt:lpstr>
      <vt:lpstr>'311'!OSRRefE21_1_6x</vt:lpstr>
      <vt:lpstr>'313'!OSRRefE21_1_6x</vt:lpstr>
      <vt:lpstr>'315'!OSRRefE21_1_6x</vt:lpstr>
      <vt:lpstr>'316'!OSRRefE21_1_6x</vt:lpstr>
      <vt:lpstr>'317'!OSRRefE21_1_6x</vt:lpstr>
      <vt:lpstr>'321'!OSRRefE21_1_6x</vt:lpstr>
      <vt:lpstr>'322'!OSRRefE21_1_6x</vt:lpstr>
      <vt:lpstr>'324'!OSRRefE21_1_6x</vt:lpstr>
      <vt:lpstr>'325'!OSRRefE21_1_6x</vt:lpstr>
      <vt:lpstr>'326'!OSRRefE21_1_6x</vt:lpstr>
      <vt:lpstr>'330'!OSRRefE21_1_6x</vt:lpstr>
      <vt:lpstr>'331'!OSRRefE21_1_6x</vt:lpstr>
      <vt:lpstr>'332'!OSRRefE21_1_6x</vt:lpstr>
      <vt:lpstr>'405'!OSRRefE21_1_6x</vt:lpstr>
      <vt:lpstr>'411'!OSRRefE21_1_6x</vt:lpstr>
      <vt:lpstr>'412'!OSRRefE21_1_6x</vt:lpstr>
      <vt:lpstr>'413'!OSRRefE21_1_6x</vt:lpstr>
      <vt:lpstr>'414'!OSRRefE21_1_6x</vt:lpstr>
      <vt:lpstr>'415'!OSRRefE21_1_6x</vt:lpstr>
      <vt:lpstr>'418'!OSRRefE21_1_6x</vt:lpstr>
      <vt:lpstr>'423'!OSRRefE21_1_6x</vt:lpstr>
      <vt:lpstr>'430'!OSRRefE21_1_6x</vt:lpstr>
      <vt:lpstr>'433'!OSRRefE21_1_6x</vt:lpstr>
      <vt:lpstr>'444'!OSRRefE21_1_6x</vt:lpstr>
      <vt:lpstr>'450'!OSRRefE21_1_6x</vt:lpstr>
      <vt:lpstr>'491'!OSRRefE21_1_6x</vt:lpstr>
      <vt:lpstr>'492'!OSRRefE21_1_6x</vt:lpstr>
      <vt:lpstr>'501'!OSRRefE21_1_6x</vt:lpstr>
      <vt:lpstr>'Div 2'!OSRRefE21_1_6x</vt:lpstr>
      <vt:lpstr>'Div 3'!OSRRefE21_1_6x</vt:lpstr>
      <vt:lpstr>'Div 4'!OSRRefE21_1_6x</vt:lpstr>
      <vt:lpstr>'Div 5'!OSRRefE21_1_6x</vt:lpstr>
      <vt:lpstr>'Div 6'!OSRRefE21_1_6x</vt:lpstr>
      <vt:lpstr>Summary!OSRRefE21_1_6x</vt:lpstr>
      <vt:lpstr>'201'!OSRRefE21_1_7x</vt:lpstr>
      <vt:lpstr>'202'!OSRRefE21_1_7x</vt:lpstr>
      <vt:lpstr>'203'!OSRRefE21_1_7x</vt:lpstr>
      <vt:lpstr>'204'!OSRRefE21_1_7x</vt:lpstr>
      <vt:lpstr>'205'!OSRRefE21_1_7x</vt:lpstr>
      <vt:lpstr>'206'!OSRRefE21_1_7x</vt:lpstr>
      <vt:lpstr>'300'!OSRRefE21_1_7x</vt:lpstr>
      <vt:lpstr>'300 &amp; 317'!OSRRefE21_1_7x</vt:lpstr>
      <vt:lpstr>'301'!OSRRefE21_1_7x</vt:lpstr>
      <vt:lpstr>'307'!OSRRefE21_1_7x</vt:lpstr>
      <vt:lpstr>'308'!OSRRefE21_1_7x</vt:lpstr>
      <vt:lpstr>'309'!OSRRefE21_1_7x</vt:lpstr>
      <vt:lpstr>'310'!OSRRefE21_1_7x</vt:lpstr>
      <vt:lpstr>'310 &amp; 491'!OSRRefE21_1_7x</vt:lpstr>
      <vt:lpstr>'311'!OSRRefE21_1_7x</vt:lpstr>
      <vt:lpstr>'313'!OSRRefE21_1_7x</vt:lpstr>
      <vt:lpstr>'315'!OSRRefE21_1_7x</vt:lpstr>
      <vt:lpstr>'316'!OSRRefE21_1_7x</vt:lpstr>
      <vt:lpstr>'317'!OSRRefE21_1_7x</vt:lpstr>
      <vt:lpstr>'321'!OSRRefE21_1_7x</vt:lpstr>
      <vt:lpstr>'322'!OSRRefE21_1_7x</vt:lpstr>
      <vt:lpstr>'324'!OSRRefE21_1_7x</vt:lpstr>
      <vt:lpstr>'325'!OSRRefE21_1_7x</vt:lpstr>
      <vt:lpstr>'326'!OSRRefE21_1_7x</vt:lpstr>
      <vt:lpstr>'330'!OSRRefE21_1_7x</vt:lpstr>
      <vt:lpstr>'331'!OSRRefE21_1_7x</vt:lpstr>
      <vt:lpstr>'332'!OSRRefE21_1_7x</vt:lpstr>
      <vt:lpstr>'405'!OSRRefE21_1_7x</vt:lpstr>
      <vt:lpstr>'411'!OSRRefE21_1_7x</vt:lpstr>
      <vt:lpstr>'412'!OSRRefE21_1_7x</vt:lpstr>
      <vt:lpstr>'413'!OSRRefE21_1_7x</vt:lpstr>
      <vt:lpstr>'414'!OSRRefE21_1_7x</vt:lpstr>
      <vt:lpstr>'415'!OSRRefE21_1_7x</vt:lpstr>
      <vt:lpstr>'418'!OSRRefE21_1_7x</vt:lpstr>
      <vt:lpstr>'423'!OSRRefE21_1_7x</vt:lpstr>
      <vt:lpstr>'430'!OSRRefE21_1_7x</vt:lpstr>
      <vt:lpstr>'433'!OSRRefE21_1_7x</vt:lpstr>
      <vt:lpstr>'444'!OSRRefE21_1_7x</vt:lpstr>
      <vt:lpstr>'450'!OSRRefE21_1_7x</vt:lpstr>
      <vt:lpstr>'491'!OSRRefE21_1_7x</vt:lpstr>
      <vt:lpstr>'492'!OSRRefE21_1_7x</vt:lpstr>
      <vt:lpstr>'501'!OSRRefE21_1_7x</vt:lpstr>
      <vt:lpstr>'Div 2'!OSRRefE21_1_7x</vt:lpstr>
      <vt:lpstr>'Div 3'!OSRRefE21_1_7x</vt:lpstr>
      <vt:lpstr>'Div 4'!OSRRefE21_1_7x</vt:lpstr>
      <vt:lpstr>'Div 5'!OSRRefE21_1_7x</vt:lpstr>
      <vt:lpstr>'Div 6'!OSRRefE21_1_7x</vt:lpstr>
      <vt:lpstr>Summary!OSRRefE21_1_7x</vt:lpstr>
      <vt:lpstr>'201'!OSRRefE21_1_8x</vt:lpstr>
      <vt:lpstr>'202'!OSRRefE21_1_8x</vt:lpstr>
      <vt:lpstr>'203'!OSRRefE21_1_8x</vt:lpstr>
      <vt:lpstr>'204'!OSRRefE21_1_8x</vt:lpstr>
      <vt:lpstr>'205'!OSRRefE21_1_8x</vt:lpstr>
      <vt:lpstr>'206'!OSRRefE21_1_8x</vt:lpstr>
      <vt:lpstr>'300'!OSRRefE21_1_8x</vt:lpstr>
      <vt:lpstr>'300 &amp; 317'!OSRRefE21_1_8x</vt:lpstr>
      <vt:lpstr>'301'!OSRRefE21_1_8x</vt:lpstr>
      <vt:lpstr>'307'!OSRRefE21_1_8x</vt:lpstr>
      <vt:lpstr>'308'!OSRRefE21_1_8x</vt:lpstr>
      <vt:lpstr>'309'!OSRRefE21_1_8x</vt:lpstr>
      <vt:lpstr>'310'!OSRRefE21_1_8x</vt:lpstr>
      <vt:lpstr>'310 &amp; 491'!OSRRefE21_1_8x</vt:lpstr>
      <vt:lpstr>'311'!OSRRefE21_1_8x</vt:lpstr>
      <vt:lpstr>'313'!OSRRefE21_1_8x</vt:lpstr>
      <vt:lpstr>'315'!OSRRefE21_1_8x</vt:lpstr>
      <vt:lpstr>'316'!OSRRefE21_1_8x</vt:lpstr>
      <vt:lpstr>'317'!OSRRefE21_1_8x</vt:lpstr>
      <vt:lpstr>'321'!OSRRefE21_1_8x</vt:lpstr>
      <vt:lpstr>'322'!OSRRefE21_1_8x</vt:lpstr>
      <vt:lpstr>'324'!OSRRefE21_1_8x</vt:lpstr>
      <vt:lpstr>'325'!OSRRefE21_1_8x</vt:lpstr>
      <vt:lpstr>'326'!OSRRefE21_1_8x</vt:lpstr>
      <vt:lpstr>'330'!OSRRefE21_1_8x</vt:lpstr>
      <vt:lpstr>'331'!OSRRefE21_1_8x</vt:lpstr>
      <vt:lpstr>'332'!OSRRefE21_1_8x</vt:lpstr>
      <vt:lpstr>'405'!OSRRefE21_1_8x</vt:lpstr>
      <vt:lpstr>'411'!OSRRefE21_1_8x</vt:lpstr>
      <vt:lpstr>'412'!OSRRefE21_1_8x</vt:lpstr>
      <vt:lpstr>'413'!OSRRefE21_1_8x</vt:lpstr>
      <vt:lpstr>'414'!OSRRefE21_1_8x</vt:lpstr>
      <vt:lpstr>'415'!OSRRefE21_1_8x</vt:lpstr>
      <vt:lpstr>'418'!OSRRefE21_1_8x</vt:lpstr>
      <vt:lpstr>'423'!OSRRefE21_1_8x</vt:lpstr>
      <vt:lpstr>'430'!OSRRefE21_1_8x</vt:lpstr>
      <vt:lpstr>'433'!OSRRefE21_1_8x</vt:lpstr>
      <vt:lpstr>'444'!OSRRefE21_1_8x</vt:lpstr>
      <vt:lpstr>'450'!OSRRefE21_1_8x</vt:lpstr>
      <vt:lpstr>'491'!OSRRefE21_1_8x</vt:lpstr>
      <vt:lpstr>'492'!OSRRefE21_1_8x</vt:lpstr>
      <vt:lpstr>'501'!OSRRefE21_1_8x</vt:lpstr>
      <vt:lpstr>'Div 2'!OSRRefE21_1_8x</vt:lpstr>
      <vt:lpstr>'Div 3'!OSRRefE21_1_8x</vt:lpstr>
      <vt:lpstr>'Div 4'!OSRRefE21_1_8x</vt:lpstr>
      <vt:lpstr>'Div 5'!OSRRefE21_1_8x</vt:lpstr>
      <vt:lpstr>'Div 6'!OSRRefE21_1_8x</vt:lpstr>
      <vt:lpstr>Summary!OSRRefE21_1_8x</vt:lpstr>
      <vt:lpstr>'201'!OSRRefE21_1_9x</vt:lpstr>
      <vt:lpstr>'202'!OSRRefE21_1_9x</vt:lpstr>
      <vt:lpstr>'203'!OSRRefE21_1_9x</vt:lpstr>
      <vt:lpstr>'204'!OSRRefE21_1_9x</vt:lpstr>
      <vt:lpstr>'205'!OSRRefE21_1_9x</vt:lpstr>
      <vt:lpstr>'206'!OSRRefE21_1_9x</vt:lpstr>
      <vt:lpstr>'300'!OSRRefE21_1_9x</vt:lpstr>
      <vt:lpstr>'300 &amp; 317'!OSRRefE21_1_9x</vt:lpstr>
      <vt:lpstr>'301'!OSRRefE21_1_9x</vt:lpstr>
      <vt:lpstr>'307'!OSRRefE21_1_9x</vt:lpstr>
      <vt:lpstr>'308'!OSRRefE21_1_9x</vt:lpstr>
      <vt:lpstr>'309'!OSRRefE21_1_9x</vt:lpstr>
      <vt:lpstr>'310'!OSRRefE21_1_9x</vt:lpstr>
      <vt:lpstr>'310 &amp; 491'!OSRRefE21_1_9x</vt:lpstr>
      <vt:lpstr>'311'!OSRRefE21_1_9x</vt:lpstr>
      <vt:lpstr>'313'!OSRRefE21_1_9x</vt:lpstr>
      <vt:lpstr>'315'!OSRRefE21_1_9x</vt:lpstr>
      <vt:lpstr>'316'!OSRRefE21_1_9x</vt:lpstr>
      <vt:lpstr>'317'!OSRRefE21_1_9x</vt:lpstr>
      <vt:lpstr>'321'!OSRRefE21_1_9x</vt:lpstr>
      <vt:lpstr>'322'!OSRRefE21_1_9x</vt:lpstr>
      <vt:lpstr>'324'!OSRRefE21_1_9x</vt:lpstr>
      <vt:lpstr>'325'!OSRRefE21_1_9x</vt:lpstr>
      <vt:lpstr>'326'!OSRRefE21_1_9x</vt:lpstr>
      <vt:lpstr>'330'!OSRRefE21_1_9x</vt:lpstr>
      <vt:lpstr>'331'!OSRRefE21_1_9x</vt:lpstr>
      <vt:lpstr>'332'!OSRRefE21_1_9x</vt:lpstr>
      <vt:lpstr>'405'!OSRRefE21_1_9x</vt:lpstr>
      <vt:lpstr>'411'!OSRRefE21_1_9x</vt:lpstr>
      <vt:lpstr>'412'!OSRRefE21_1_9x</vt:lpstr>
      <vt:lpstr>'413'!OSRRefE21_1_9x</vt:lpstr>
      <vt:lpstr>'414'!OSRRefE21_1_9x</vt:lpstr>
      <vt:lpstr>'415'!OSRRefE21_1_9x</vt:lpstr>
      <vt:lpstr>'418'!OSRRefE21_1_9x</vt:lpstr>
      <vt:lpstr>'423'!OSRRefE21_1_9x</vt:lpstr>
      <vt:lpstr>'430'!OSRRefE21_1_9x</vt:lpstr>
      <vt:lpstr>'433'!OSRRefE21_1_9x</vt:lpstr>
      <vt:lpstr>'444'!OSRRefE21_1_9x</vt:lpstr>
      <vt:lpstr>'450'!OSRRefE21_1_9x</vt:lpstr>
      <vt:lpstr>'491'!OSRRefE21_1_9x</vt:lpstr>
      <vt:lpstr>'492'!OSRRefE21_1_9x</vt:lpstr>
      <vt:lpstr>'501'!OSRRefE21_1_9x</vt:lpstr>
      <vt:lpstr>'Div 2'!OSRRefE21_1_9x</vt:lpstr>
      <vt:lpstr>'Div 3'!OSRRefE21_1_9x</vt:lpstr>
      <vt:lpstr>'Div 4'!OSRRefE21_1_9x</vt:lpstr>
      <vt:lpstr>'Div 5'!OSRRefE21_1_9x</vt:lpstr>
      <vt:lpstr>'Div 6'!OSRRefE21_1_9x</vt:lpstr>
      <vt:lpstr>Summary!OSRRefE21_1_9x</vt:lpstr>
      <vt:lpstr>'201'!OSRRefE21_10_0x</vt:lpstr>
      <vt:lpstr>'202'!OSRRefE21_10_0x</vt:lpstr>
      <vt:lpstr>'203'!OSRRefE21_10_0x</vt:lpstr>
      <vt:lpstr>'300'!OSRRefE21_10_0x</vt:lpstr>
      <vt:lpstr>'300 &amp; 317'!OSRRefE21_10_0x</vt:lpstr>
      <vt:lpstr>'301'!OSRRefE21_10_0x</vt:lpstr>
      <vt:lpstr>'307'!OSRRefE21_10_0x</vt:lpstr>
      <vt:lpstr>'308'!OSRRefE21_10_0x</vt:lpstr>
      <vt:lpstr>'310'!OSRRefE21_10_0x</vt:lpstr>
      <vt:lpstr>'310 &amp; 491'!OSRRefE21_10_0x</vt:lpstr>
      <vt:lpstr>'311'!OSRRefE21_10_0x</vt:lpstr>
      <vt:lpstr>'315'!OSRRefE21_10_0x</vt:lpstr>
      <vt:lpstr>'316'!OSRRefE21_10_0x</vt:lpstr>
      <vt:lpstr>'317'!OSRRefE21_10_0x</vt:lpstr>
      <vt:lpstr>'321'!OSRRefE21_10_0x</vt:lpstr>
      <vt:lpstr>'322'!OSRRefE21_10_0x</vt:lpstr>
      <vt:lpstr>'325'!OSRRefE21_10_0x</vt:lpstr>
      <vt:lpstr>'326'!OSRRefE21_10_0x</vt:lpstr>
      <vt:lpstr>'330'!OSRRefE21_10_0x</vt:lpstr>
      <vt:lpstr>'331'!OSRRefE21_10_0x</vt:lpstr>
      <vt:lpstr>'332'!OSRRefE21_10_0x</vt:lpstr>
      <vt:lpstr>'405'!OSRRefE21_10_0x</vt:lpstr>
      <vt:lpstr>'411'!OSRRefE21_10_0x</vt:lpstr>
      <vt:lpstr>'412'!OSRRefE21_10_0x</vt:lpstr>
      <vt:lpstr>'413'!OSRRefE21_10_0x</vt:lpstr>
      <vt:lpstr>'414'!OSRRefE21_10_0x</vt:lpstr>
      <vt:lpstr>'415'!OSRRefE21_10_0x</vt:lpstr>
      <vt:lpstr>'418'!OSRRefE21_10_0x</vt:lpstr>
      <vt:lpstr>'433'!OSRRefE21_10_0x</vt:lpstr>
      <vt:lpstr>'444'!OSRRefE21_10_0x</vt:lpstr>
      <vt:lpstr>'450'!OSRRefE21_10_0x</vt:lpstr>
      <vt:lpstr>'491'!OSRRefE21_10_0x</vt:lpstr>
      <vt:lpstr>'492'!OSRRefE21_10_0x</vt:lpstr>
      <vt:lpstr>'501'!OSRRefE21_10_0x</vt:lpstr>
      <vt:lpstr>'Div 2'!OSRRefE21_10_0x</vt:lpstr>
      <vt:lpstr>'Div 3'!OSRRefE21_10_0x</vt:lpstr>
      <vt:lpstr>'Div 4'!OSRRefE21_10_0x</vt:lpstr>
      <vt:lpstr>'Div 5'!OSRRefE21_10_0x</vt:lpstr>
      <vt:lpstr>'Div 6'!OSRRefE21_10_0x</vt:lpstr>
      <vt:lpstr>Summary!OSRRefE21_10_0x</vt:lpstr>
      <vt:lpstr>'201'!OSRRefE21_10_1x</vt:lpstr>
      <vt:lpstr>'300'!OSRRefE21_10_1x</vt:lpstr>
      <vt:lpstr>'300 &amp; 317'!OSRRefE21_10_1x</vt:lpstr>
      <vt:lpstr>'307'!OSRRefE21_10_1x</vt:lpstr>
      <vt:lpstr>'308'!OSRRefE21_10_1x</vt:lpstr>
      <vt:lpstr>'311'!OSRRefE21_10_1x</vt:lpstr>
      <vt:lpstr>'317'!OSRRefE21_10_1x</vt:lpstr>
      <vt:lpstr>'321'!OSRRefE21_10_1x</vt:lpstr>
      <vt:lpstr>'330'!OSRRefE21_10_1x</vt:lpstr>
      <vt:lpstr>'411'!OSRRefE21_10_1x</vt:lpstr>
      <vt:lpstr>'412'!OSRRefE21_10_1x</vt:lpstr>
      <vt:lpstr>'413'!OSRRefE21_10_1x</vt:lpstr>
      <vt:lpstr>'418'!OSRRefE21_10_1x</vt:lpstr>
      <vt:lpstr>'Div 3'!OSRRefE21_10_1x</vt:lpstr>
      <vt:lpstr>'Div 6'!OSRRefE21_10_1x</vt:lpstr>
      <vt:lpstr>Summary!OSRRefE21_10_1x</vt:lpstr>
      <vt:lpstr>'201'!OSRRefE21_10_2x</vt:lpstr>
      <vt:lpstr>'307'!OSRRefE21_10_2x</vt:lpstr>
      <vt:lpstr>'317'!OSRRefE21_10_2x</vt:lpstr>
      <vt:lpstr>'330'!OSRRefE21_10_2x</vt:lpstr>
      <vt:lpstr>'411'!OSRRefE21_10_2x</vt:lpstr>
      <vt:lpstr>'412'!OSRRefE21_10_2x</vt:lpstr>
      <vt:lpstr>'413'!OSRRefE21_10_2x</vt:lpstr>
      <vt:lpstr>'Div 6'!OSRRefE21_10_2x</vt:lpstr>
      <vt:lpstr>'307'!OSRRefE21_10_3x</vt:lpstr>
      <vt:lpstr>'330'!OSRRefE21_10_3x</vt:lpstr>
      <vt:lpstr>'411'!OSRRefE21_10_3x</vt:lpstr>
      <vt:lpstr>'412'!OSRRefE21_10_3x</vt:lpstr>
      <vt:lpstr>'413'!OSRRefE21_10_3x</vt:lpstr>
      <vt:lpstr>'413'!OSRRefE21_10_4x</vt:lpstr>
      <vt:lpstr>'413'!OSRRefE21_10_5x</vt:lpstr>
      <vt:lpstr>'413'!OSRRefE21_10_6x</vt:lpstr>
      <vt:lpstr>'201'!OSRRefE21_10x_0</vt:lpstr>
      <vt:lpstr>'202'!OSRRefE21_10x_0</vt:lpstr>
      <vt:lpstr>'203'!OSRRefE21_10x_0</vt:lpstr>
      <vt:lpstr>'300'!OSRRefE21_10x_0</vt:lpstr>
      <vt:lpstr>'300 &amp; 317'!OSRRefE21_10x_0</vt:lpstr>
      <vt:lpstr>'301'!OSRRefE21_10x_0</vt:lpstr>
      <vt:lpstr>'307'!OSRRefE21_10x_0</vt:lpstr>
      <vt:lpstr>'308'!OSRRefE21_10x_0</vt:lpstr>
      <vt:lpstr>'310'!OSRRefE21_10x_0</vt:lpstr>
      <vt:lpstr>'310 &amp; 491'!OSRRefE21_10x_0</vt:lpstr>
      <vt:lpstr>'311'!OSRRefE21_10x_0</vt:lpstr>
      <vt:lpstr>'315'!OSRRefE21_10x_0</vt:lpstr>
      <vt:lpstr>'316'!OSRRefE21_10x_0</vt:lpstr>
      <vt:lpstr>'317'!OSRRefE21_10x_0</vt:lpstr>
      <vt:lpstr>'321'!OSRRefE21_10x_0</vt:lpstr>
      <vt:lpstr>'322'!OSRRefE21_10x_0</vt:lpstr>
      <vt:lpstr>'325'!OSRRefE21_10x_0</vt:lpstr>
      <vt:lpstr>'326'!OSRRefE21_10x_0</vt:lpstr>
      <vt:lpstr>'330'!OSRRefE21_10x_0</vt:lpstr>
      <vt:lpstr>'331'!OSRRefE21_10x_0</vt:lpstr>
      <vt:lpstr>'332'!OSRRefE21_10x_0</vt:lpstr>
      <vt:lpstr>'405'!OSRRefE21_10x_0</vt:lpstr>
      <vt:lpstr>'411'!OSRRefE21_10x_0</vt:lpstr>
      <vt:lpstr>'412'!OSRRefE21_10x_0</vt:lpstr>
      <vt:lpstr>'413'!OSRRefE21_10x_0</vt:lpstr>
      <vt:lpstr>'414'!OSRRefE21_10x_0</vt:lpstr>
      <vt:lpstr>'415'!OSRRefE21_10x_0</vt:lpstr>
      <vt:lpstr>'418'!OSRRefE21_10x_0</vt:lpstr>
      <vt:lpstr>'433'!OSRRefE21_10x_0</vt:lpstr>
      <vt:lpstr>'444'!OSRRefE21_10x_0</vt:lpstr>
      <vt:lpstr>'450'!OSRRefE21_10x_0</vt:lpstr>
      <vt:lpstr>'491'!OSRRefE21_10x_0</vt:lpstr>
      <vt:lpstr>'492'!OSRRefE21_10x_0</vt:lpstr>
      <vt:lpstr>'501'!OSRRefE21_10x_0</vt:lpstr>
      <vt:lpstr>'Div 2'!OSRRefE21_10x_0</vt:lpstr>
      <vt:lpstr>'Div 3'!OSRRefE21_10x_0</vt:lpstr>
      <vt:lpstr>'Div 4'!OSRRefE21_10x_0</vt:lpstr>
      <vt:lpstr>'Div 5'!OSRRefE21_10x_0</vt:lpstr>
      <vt:lpstr>'Div 6'!OSRRefE21_10x_0</vt:lpstr>
      <vt:lpstr>Summary!OSRRefE21_10x_0</vt:lpstr>
      <vt:lpstr>'201'!OSRRefE21_10x_1</vt:lpstr>
      <vt:lpstr>'202'!OSRRefE21_10x_1</vt:lpstr>
      <vt:lpstr>'203'!OSRRefE21_10x_1</vt:lpstr>
      <vt:lpstr>'300'!OSRRefE21_10x_1</vt:lpstr>
      <vt:lpstr>'300 &amp; 317'!OSRRefE21_10x_1</vt:lpstr>
      <vt:lpstr>'301'!OSRRefE21_10x_1</vt:lpstr>
      <vt:lpstr>'307'!OSRRefE21_10x_1</vt:lpstr>
      <vt:lpstr>'308'!OSRRefE21_10x_1</vt:lpstr>
      <vt:lpstr>'310'!OSRRefE21_10x_1</vt:lpstr>
      <vt:lpstr>'310 &amp; 491'!OSRRefE21_10x_1</vt:lpstr>
      <vt:lpstr>'311'!OSRRefE21_10x_1</vt:lpstr>
      <vt:lpstr>'315'!OSRRefE21_10x_1</vt:lpstr>
      <vt:lpstr>'316'!OSRRefE21_10x_1</vt:lpstr>
      <vt:lpstr>'317'!OSRRefE21_10x_1</vt:lpstr>
      <vt:lpstr>'321'!OSRRefE21_10x_1</vt:lpstr>
      <vt:lpstr>'322'!OSRRefE21_10x_1</vt:lpstr>
      <vt:lpstr>'325'!OSRRefE21_10x_1</vt:lpstr>
      <vt:lpstr>'326'!OSRRefE21_10x_1</vt:lpstr>
      <vt:lpstr>'330'!OSRRefE21_10x_1</vt:lpstr>
      <vt:lpstr>'331'!OSRRefE21_10x_1</vt:lpstr>
      <vt:lpstr>'332'!OSRRefE21_10x_1</vt:lpstr>
      <vt:lpstr>'405'!OSRRefE21_10x_1</vt:lpstr>
      <vt:lpstr>'411'!OSRRefE21_10x_1</vt:lpstr>
      <vt:lpstr>'412'!OSRRefE21_10x_1</vt:lpstr>
      <vt:lpstr>'413'!OSRRefE21_10x_1</vt:lpstr>
      <vt:lpstr>'414'!OSRRefE21_10x_1</vt:lpstr>
      <vt:lpstr>'415'!OSRRefE21_10x_1</vt:lpstr>
      <vt:lpstr>'418'!OSRRefE21_10x_1</vt:lpstr>
      <vt:lpstr>'433'!OSRRefE21_10x_1</vt:lpstr>
      <vt:lpstr>'444'!OSRRefE21_10x_1</vt:lpstr>
      <vt:lpstr>'450'!OSRRefE21_10x_1</vt:lpstr>
      <vt:lpstr>'491'!OSRRefE21_10x_1</vt:lpstr>
      <vt:lpstr>'492'!OSRRefE21_10x_1</vt:lpstr>
      <vt:lpstr>'501'!OSRRefE21_10x_1</vt:lpstr>
      <vt:lpstr>'Div 2'!OSRRefE21_10x_1</vt:lpstr>
      <vt:lpstr>'Div 3'!OSRRefE21_10x_1</vt:lpstr>
      <vt:lpstr>'Div 4'!OSRRefE21_10x_1</vt:lpstr>
      <vt:lpstr>'Div 5'!OSRRefE21_10x_1</vt:lpstr>
      <vt:lpstr>'Div 6'!OSRRefE21_10x_1</vt:lpstr>
      <vt:lpstr>Summary!OSRRefE21_10x_1</vt:lpstr>
      <vt:lpstr>'201'!OSRRefE21_10x_2</vt:lpstr>
      <vt:lpstr>'202'!OSRRefE21_10x_2</vt:lpstr>
      <vt:lpstr>'203'!OSRRefE21_10x_2</vt:lpstr>
      <vt:lpstr>'300'!OSRRefE21_10x_2</vt:lpstr>
      <vt:lpstr>'300 &amp; 317'!OSRRefE21_10x_2</vt:lpstr>
      <vt:lpstr>'301'!OSRRefE21_10x_2</vt:lpstr>
      <vt:lpstr>'307'!OSRRefE21_10x_2</vt:lpstr>
      <vt:lpstr>'308'!OSRRefE21_10x_2</vt:lpstr>
      <vt:lpstr>'310'!OSRRefE21_10x_2</vt:lpstr>
      <vt:lpstr>'310 &amp; 491'!OSRRefE21_10x_2</vt:lpstr>
      <vt:lpstr>'311'!OSRRefE21_10x_2</vt:lpstr>
      <vt:lpstr>'315'!OSRRefE21_10x_2</vt:lpstr>
      <vt:lpstr>'316'!OSRRefE21_10x_2</vt:lpstr>
      <vt:lpstr>'317'!OSRRefE21_10x_2</vt:lpstr>
      <vt:lpstr>'321'!OSRRefE21_10x_2</vt:lpstr>
      <vt:lpstr>'322'!OSRRefE21_10x_2</vt:lpstr>
      <vt:lpstr>'325'!OSRRefE21_10x_2</vt:lpstr>
      <vt:lpstr>'326'!OSRRefE21_10x_2</vt:lpstr>
      <vt:lpstr>'330'!OSRRefE21_10x_2</vt:lpstr>
      <vt:lpstr>'331'!OSRRefE21_10x_2</vt:lpstr>
      <vt:lpstr>'332'!OSRRefE21_10x_2</vt:lpstr>
      <vt:lpstr>'405'!OSRRefE21_10x_2</vt:lpstr>
      <vt:lpstr>'411'!OSRRefE21_10x_2</vt:lpstr>
      <vt:lpstr>'412'!OSRRefE21_10x_2</vt:lpstr>
      <vt:lpstr>'413'!OSRRefE21_10x_2</vt:lpstr>
      <vt:lpstr>'414'!OSRRefE21_10x_2</vt:lpstr>
      <vt:lpstr>'415'!OSRRefE21_10x_2</vt:lpstr>
      <vt:lpstr>'418'!OSRRefE21_10x_2</vt:lpstr>
      <vt:lpstr>'433'!OSRRefE21_10x_2</vt:lpstr>
      <vt:lpstr>'444'!OSRRefE21_10x_2</vt:lpstr>
      <vt:lpstr>'450'!OSRRefE21_10x_2</vt:lpstr>
      <vt:lpstr>'491'!OSRRefE21_10x_2</vt:lpstr>
      <vt:lpstr>'492'!OSRRefE21_10x_2</vt:lpstr>
      <vt:lpstr>'501'!OSRRefE21_10x_2</vt:lpstr>
      <vt:lpstr>'Div 2'!OSRRefE21_10x_2</vt:lpstr>
      <vt:lpstr>'Div 3'!OSRRefE21_10x_2</vt:lpstr>
      <vt:lpstr>'Div 4'!OSRRefE21_10x_2</vt:lpstr>
      <vt:lpstr>'Div 5'!OSRRefE21_10x_2</vt:lpstr>
      <vt:lpstr>'Div 6'!OSRRefE21_10x_2</vt:lpstr>
      <vt:lpstr>Summary!OSRRefE21_10x_2</vt:lpstr>
      <vt:lpstr>'201'!OSRRefE21_10x_3</vt:lpstr>
      <vt:lpstr>'202'!OSRRefE21_10x_3</vt:lpstr>
      <vt:lpstr>'203'!OSRRefE21_10x_3</vt:lpstr>
      <vt:lpstr>'300'!OSRRefE21_10x_3</vt:lpstr>
      <vt:lpstr>'300 &amp; 317'!OSRRefE21_10x_3</vt:lpstr>
      <vt:lpstr>'301'!OSRRefE21_10x_3</vt:lpstr>
      <vt:lpstr>'307'!OSRRefE21_10x_3</vt:lpstr>
      <vt:lpstr>'308'!OSRRefE21_10x_3</vt:lpstr>
      <vt:lpstr>'310'!OSRRefE21_10x_3</vt:lpstr>
      <vt:lpstr>'310 &amp; 491'!OSRRefE21_10x_3</vt:lpstr>
      <vt:lpstr>'311'!OSRRefE21_10x_3</vt:lpstr>
      <vt:lpstr>'315'!OSRRefE21_10x_3</vt:lpstr>
      <vt:lpstr>'316'!OSRRefE21_10x_3</vt:lpstr>
      <vt:lpstr>'317'!OSRRefE21_10x_3</vt:lpstr>
      <vt:lpstr>'321'!OSRRefE21_10x_3</vt:lpstr>
      <vt:lpstr>'322'!OSRRefE21_10x_3</vt:lpstr>
      <vt:lpstr>'325'!OSRRefE21_10x_3</vt:lpstr>
      <vt:lpstr>'326'!OSRRefE21_10x_3</vt:lpstr>
      <vt:lpstr>'330'!OSRRefE21_10x_3</vt:lpstr>
      <vt:lpstr>'331'!OSRRefE21_10x_3</vt:lpstr>
      <vt:lpstr>'332'!OSRRefE21_10x_3</vt:lpstr>
      <vt:lpstr>'405'!OSRRefE21_10x_3</vt:lpstr>
      <vt:lpstr>'411'!OSRRefE21_10x_3</vt:lpstr>
      <vt:lpstr>'412'!OSRRefE21_10x_3</vt:lpstr>
      <vt:lpstr>'413'!OSRRefE21_10x_3</vt:lpstr>
      <vt:lpstr>'414'!OSRRefE21_10x_3</vt:lpstr>
      <vt:lpstr>'415'!OSRRefE21_10x_3</vt:lpstr>
      <vt:lpstr>'418'!OSRRefE21_10x_3</vt:lpstr>
      <vt:lpstr>'433'!OSRRefE21_10x_3</vt:lpstr>
      <vt:lpstr>'444'!OSRRefE21_10x_3</vt:lpstr>
      <vt:lpstr>'450'!OSRRefE21_10x_3</vt:lpstr>
      <vt:lpstr>'491'!OSRRefE21_10x_3</vt:lpstr>
      <vt:lpstr>'492'!OSRRefE21_10x_3</vt:lpstr>
      <vt:lpstr>'501'!OSRRefE21_10x_3</vt:lpstr>
      <vt:lpstr>'Div 2'!OSRRefE21_10x_3</vt:lpstr>
      <vt:lpstr>'Div 3'!OSRRefE21_10x_3</vt:lpstr>
      <vt:lpstr>'Div 4'!OSRRefE21_10x_3</vt:lpstr>
      <vt:lpstr>'Div 5'!OSRRefE21_10x_3</vt:lpstr>
      <vt:lpstr>'Div 6'!OSRRefE21_10x_3</vt:lpstr>
      <vt:lpstr>Summary!OSRRefE21_10x_3</vt:lpstr>
      <vt:lpstr>'201'!OSRRefE21_10x_4</vt:lpstr>
      <vt:lpstr>'202'!OSRRefE21_10x_4</vt:lpstr>
      <vt:lpstr>'203'!OSRRefE21_10x_4</vt:lpstr>
      <vt:lpstr>'300'!OSRRefE21_10x_4</vt:lpstr>
      <vt:lpstr>'300 &amp; 317'!OSRRefE21_10x_4</vt:lpstr>
      <vt:lpstr>'301'!OSRRefE21_10x_4</vt:lpstr>
      <vt:lpstr>'307'!OSRRefE21_10x_4</vt:lpstr>
      <vt:lpstr>'308'!OSRRefE21_10x_4</vt:lpstr>
      <vt:lpstr>'310'!OSRRefE21_10x_4</vt:lpstr>
      <vt:lpstr>'310 &amp; 491'!OSRRefE21_10x_4</vt:lpstr>
      <vt:lpstr>'311'!OSRRefE21_10x_4</vt:lpstr>
      <vt:lpstr>'315'!OSRRefE21_10x_4</vt:lpstr>
      <vt:lpstr>'316'!OSRRefE21_10x_4</vt:lpstr>
      <vt:lpstr>'317'!OSRRefE21_10x_4</vt:lpstr>
      <vt:lpstr>'321'!OSRRefE21_10x_4</vt:lpstr>
      <vt:lpstr>'322'!OSRRefE21_10x_4</vt:lpstr>
      <vt:lpstr>'325'!OSRRefE21_10x_4</vt:lpstr>
      <vt:lpstr>'326'!OSRRefE21_10x_4</vt:lpstr>
      <vt:lpstr>'330'!OSRRefE21_10x_4</vt:lpstr>
      <vt:lpstr>'331'!OSRRefE21_10x_4</vt:lpstr>
      <vt:lpstr>'332'!OSRRefE21_10x_4</vt:lpstr>
      <vt:lpstr>'405'!OSRRefE21_10x_4</vt:lpstr>
      <vt:lpstr>'411'!OSRRefE21_10x_4</vt:lpstr>
      <vt:lpstr>'412'!OSRRefE21_10x_4</vt:lpstr>
      <vt:lpstr>'413'!OSRRefE21_10x_4</vt:lpstr>
      <vt:lpstr>'414'!OSRRefE21_10x_4</vt:lpstr>
      <vt:lpstr>'415'!OSRRefE21_10x_4</vt:lpstr>
      <vt:lpstr>'418'!OSRRefE21_10x_4</vt:lpstr>
      <vt:lpstr>'433'!OSRRefE21_10x_4</vt:lpstr>
      <vt:lpstr>'444'!OSRRefE21_10x_4</vt:lpstr>
      <vt:lpstr>'450'!OSRRefE21_10x_4</vt:lpstr>
      <vt:lpstr>'491'!OSRRefE21_10x_4</vt:lpstr>
      <vt:lpstr>'492'!OSRRefE21_10x_4</vt:lpstr>
      <vt:lpstr>'501'!OSRRefE21_10x_4</vt:lpstr>
      <vt:lpstr>'Div 2'!OSRRefE21_10x_4</vt:lpstr>
      <vt:lpstr>'Div 3'!OSRRefE21_10x_4</vt:lpstr>
      <vt:lpstr>'Div 4'!OSRRefE21_10x_4</vt:lpstr>
      <vt:lpstr>'Div 5'!OSRRefE21_10x_4</vt:lpstr>
      <vt:lpstr>'Div 6'!OSRRefE21_10x_4</vt:lpstr>
      <vt:lpstr>Summary!OSRRefE21_10x_4</vt:lpstr>
      <vt:lpstr>'201'!OSRRefE21_10x_5</vt:lpstr>
      <vt:lpstr>'202'!OSRRefE21_10x_5</vt:lpstr>
      <vt:lpstr>'203'!OSRRefE21_10x_5</vt:lpstr>
      <vt:lpstr>'300'!OSRRefE21_10x_5</vt:lpstr>
      <vt:lpstr>'300 &amp; 317'!OSRRefE21_10x_5</vt:lpstr>
      <vt:lpstr>'301'!OSRRefE21_10x_5</vt:lpstr>
      <vt:lpstr>'307'!OSRRefE21_10x_5</vt:lpstr>
      <vt:lpstr>'308'!OSRRefE21_10x_5</vt:lpstr>
      <vt:lpstr>'310'!OSRRefE21_10x_5</vt:lpstr>
      <vt:lpstr>'310 &amp; 491'!OSRRefE21_10x_5</vt:lpstr>
      <vt:lpstr>'311'!OSRRefE21_10x_5</vt:lpstr>
      <vt:lpstr>'315'!OSRRefE21_10x_5</vt:lpstr>
      <vt:lpstr>'316'!OSRRefE21_10x_5</vt:lpstr>
      <vt:lpstr>'317'!OSRRefE21_10x_5</vt:lpstr>
      <vt:lpstr>'321'!OSRRefE21_10x_5</vt:lpstr>
      <vt:lpstr>'322'!OSRRefE21_10x_5</vt:lpstr>
      <vt:lpstr>'325'!OSRRefE21_10x_5</vt:lpstr>
      <vt:lpstr>'326'!OSRRefE21_10x_5</vt:lpstr>
      <vt:lpstr>'330'!OSRRefE21_10x_5</vt:lpstr>
      <vt:lpstr>'331'!OSRRefE21_10x_5</vt:lpstr>
      <vt:lpstr>'332'!OSRRefE21_10x_5</vt:lpstr>
      <vt:lpstr>'405'!OSRRefE21_10x_5</vt:lpstr>
      <vt:lpstr>'411'!OSRRefE21_10x_5</vt:lpstr>
      <vt:lpstr>'412'!OSRRefE21_10x_5</vt:lpstr>
      <vt:lpstr>'413'!OSRRefE21_10x_5</vt:lpstr>
      <vt:lpstr>'414'!OSRRefE21_10x_5</vt:lpstr>
      <vt:lpstr>'415'!OSRRefE21_10x_5</vt:lpstr>
      <vt:lpstr>'418'!OSRRefE21_10x_5</vt:lpstr>
      <vt:lpstr>'433'!OSRRefE21_10x_5</vt:lpstr>
      <vt:lpstr>'444'!OSRRefE21_10x_5</vt:lpstr>
      <vt:lpstr>'450'!OSRRefE21_10x_5</vt:lpstr>
      <vt:lpstr>'491'!OSRRefE21_10x_5</vt:lpstr>
      <vt:lpstr>'492'!OSRRefE21_10x_5</vt:lpstr>
      <vt:lpstr>'501'!OSRRefE21_10x_5</vt:lpstr>
      <vt:lpstr>'Div 2'!OSRRefE21_10x_5</vt:lpstr>
      <vt:lpstr>'Div 3'!OSRRefE21_10x_5</vt:lpstr>
      <vt:lpstr>'Div 4'!OSRRefE21_10x_5</vt:lpstr>
      <vt:lpstr>'Div 5'!OSRRefE21_10x_5</vt:lpstr>
      <vt:lpstr>'Div 6'!OSRRefE21_10x_5</vt:lpstr>
      <vt:lpstr>Summary!OSRRefE21_10x_5</vt:lpstr>
      <vt:lpstr>'201'!OSRRefE21_10x_6</vt:lpstr>
      <vt:lpstr>'202'!OSRRefE21_10x_6</vt:lpstr>
      <vt:lpstr>'203'!OSRRefE21_10x_6</vt:lpstr>
      <vt:lpstr>'300'!OSRRefE21_10x_6</vt:lpstr>
      <vt:lpstr>'300 &amp; 317'!OSRRefE21_10x_6</vt:lpstr>
      <vt:lpstr>'301'!OSRRefE21_10x_6</vt:lpstr>
      <vt:lpstr>'307'!OSRRefE21_10x_6</vt:lpstr>
      <vt:lpstr>'308'!OSRRefE21_10x_6</vt:lpstr>
      <vt:lpstr>'310'!OSRRefE21_10x_6</vt:lpstr>
      <vt:lpstr>'310 &amp; 491'!OSRRefE21_10x_6</vt:lpstr>
      <vt:lpstr>'311'!OSRRefE21_10x_6</vt:lpstr>
      <vt:lpstr>'315'!OSRRefE21_10x_6</vt:lpstr>
      <vt:lpstr>'316'!OSRRefE21_10x_6</vt:lpstr>
      <vt:lpstr>'317'!OSRRefE21_10x_6</vt:lpstr>
      <vt:lpstr>'321'!OSRRefE21_10x_6</vt:lpstr>
      <vt:lpstr>'322'!OSRRefE21_10x_6</vt:lpstr>
      <vt:lpstr>'325'!OSRRefE21_10x_6</vt:lpstr>
      <vt:lpstr>'326'!OSRRefE21_10x_6</vt:lpstr>
      <vt:lpstr>'330'!OSRRefE21_10x_6</vt:lpstr>
      <vt:lpstr>'331'!OSRRefE21_10x_6</vt:lpstr>
      <vt:lpstr>'332'!OSRRefE21_10x_6</vt:lpstr>
      <vt:lpstr>'405'!OSRRefE21_10x_6</vt:lpstr>
      <vt:lpstr>'411'!OSRRefE21_10x_6</vt:lpstr>
      <vt:lpstr>'412'!OSRRefE21_10x_6</vt:lpstr>
      <vt:lpstr>'413'!OSRRefE21_10x_6</vt:lpstr>
      <vt:lpstr>'414'!OSRRefE21_10x_6</vt:lpstr>
      <vt:lpstr>'415'!OSRRefE21_10x_6</vt:lpstr>
      <vt:lpstr>'418'!OSRRefE21_10x_6</vt:lpstr>
      <vt:lpstr>'433'!OSRRefE21_10x_6</vt:lpstr>
      <vt:lpstr>'444'!OSRRefE21_10x_6</vt:lpstr>
      <vt:lpstr>'450'!OSRRefE21_10x_6</vt:lpstr>
      <vt:lpstr>'491'!OSRRefE21_10x_6</vt:lpstr>
      <vt:lpstr>'492'!OSRRefE21_10x_6</vt:lpstr>
      <vt:lpstr>'501'!OSRRefE21_10x_6</vt:lpstr>
      <vt:lpstr>'Div 2'!OSRRefE21_10x_6</vt:lpstr>
      <vt:lpstr>'Div 3'!OSRRefE21_10x_6</vt:lpstr>
      <vt:lpstr>'Div 4'!OSRRefE21_10x_6</vt:lpstr>
      <vt:lpstr>'Div 5'!OSRRefE21_10x_6</vt:lpstr>
      <vt:lpstr>'Div 6'!OSRRefE21_10x_6</vt:lpstr>
      <vt:lpstr>Summary!OSRRefE21_10x_6</vt:lpstr>
      <vt:lpstr>'201'!OSRRefE21_10x_7</vt:lpstr>
      <vt:lpstr>'202'!OSRRefE21_10x_7</vt:lpstr>
      <vt:lpstr>'203'!OSRRefE21_10x_7</vt:lpstr>
      <vt:lpstr>'300'!OSRRefE21_10x_7</vt:lpstr>
      <vt:lpstr>'300 &amp; 317'!OSRRefE21_10x_7</vt:lpstr>
      <vt:lpstr>'301'!OSRRefE21_10x_7</vt:lpstr>
      <vt:lpstr>'307'!OSRRefE21_10x_7</vt:lpstr>
      <vt:lpstr>'308'!OSRRefE21_10x_7</vt:lpstr>
      <vt:lpstr>'310'!OSRRefE21_10x_7</vt:lpstr>
      <vt:lpstr>'310 &amp; 491'!OSRRefE21_10x_7</vt:lpstr>
      <vt:lpstr>'311'!OSRRefE21_10x_7</vt:lpstr>
      <vt:lpstr>'315'!OSRRefE21_10x_7</vt:lpstr>
      <vt:lpstr>'316'!OSRRefE21_10x_7</vt:lpstr>
      <vt:lpstr>'317'!OSRRefE21_10x_7</vt:lpstr>
      <vt:lpstr>'321'!OSRRefE21_10x_7</vt:lpstr>
      <vt:lpstr>'322'!OSRRefE21_10x_7</vt:lpstr>
      <vt:lpstr>'325'!OSRRefE21_10x_7</vt:lpstr>
      <vt:lpstr>'326'!OSRRefE21_10x_7</vt:lpstr>
      <vt:lpstr>'330'!OSRRefE21_10x_7</vt:lpstr>
      <vt:lpstr>'331'!OSRRefE21_10x_7</vt:lpstr>
      <vt:lpstr>'332'!OSRRefE21_10x_7</vt:lpstr>
      <vt:lpstr>'405'!OSRRefE21_10x_7</vt:lpstr>
      <vt:lpstr>'411'!OSRRefE21_10x_7</vt:lpstr>
      <vt:lpstr>'412'!OSRRefE21_10x_7</vt:lpstr>
      <vt:lpstr>'413'!OSRRefE21_10x_7</vt:lpstr>
      <vt:lpstr>'414'!OSRRefE21_10x_7</vt:lpstr>
      <vt:lpstr>'415'!OSRRefE21_10x_7</vt:lpstr>
      <vt:lpstr>'418'!OSRRefE21_10x_7</vt:lpstr>
      <vt:lpstr>'433'!OSRRefE21_10x_7</vt:lpstr>
      <vt:lpstr>'444'!OSRRefE21_10x_7</vt:lpstr>
      <vt:lpstr>'450'!OSRRefE21_10x_7</vt:lpstr>
      <vt:lpstr>'491'!OSRRefE21_10x_7</vt:lpstr>
      <vt:lpstr>'492'!OSRRefE21_10x_7</vt:lpstr>
      <vt:lpstr>'501'!OSRRefE21_10x_7</vt:lpstr>
      <vt:lpstr>'Div 2'!OSRRefE21_10x_7</vt:lpstr>
      <vt:lpstr>'Div 3'!OSRRefE21_10x_7</vt:lpstr>
      <vt:lpstr>'Div 4'!OSRRefE21_10x_7</vt:lpstr>
      <vt:lpstr>'Div 5'!OSRRefE21_10x_7</vt:lpstr>
      <vt:lpstr>'Div 6'!OSRRefE21_10x_7</vt:lpstr>
      <vt:lpstr>Summary!OSRRefE21_10x_7</vt:lpstr>
      <vt:lpstr>'201'!OSRRefE21_11_0x</vt:lpstr>
      <vt:lpstr>'202'!OSRRefE21_11_0x</vt:lpstr>
      <vt:lpstr>'203'!OSRRefE21_11_0x</vt:lpstr>
      <vt:lpstr>'300'!OSRRefE21_11_0x</vt:lpstr>
      <vt:lpstr>'300 &amp; 317'!OSRRefE21_11_0x</vt:lpstr>
      <vt:lpstr>'301'!OSRRefE21_11_0x</vt:lpstr>
      <vt:lpstr>'307'!OSRRefE21_11_0x</vt:lpstr>
      <vt:lpstr>'308'!OSRRefE21_11_0x</vt:lpstr>
      <vt:lpstr>'310'!OSRRefE21_11_0x</vt:lpstr>
      <vt:lpstr>'310 &amp; 491'!OSRRefE21_11_0x</vt:lpstr>
      <vt:lpstr>'311'!OSRRefE21_11_0x</vt:lpstr>
      <vt:lpstr>'315'!OSRRefE21_11_0x</vt:lpstr>
      <vt:lpstr>'316'!OSRRefE21_11_0x</vt:lpstr>
      <vt:lpstr>'317'!OSRRefE21_11_0x</vt:lpstr>
      <vt:lpstr>'321'!OSRRefE21_11_0x</vt:lpstr>
      <vt:lpstr>'325'!OSRRefE21_11_0x</vt:lpstr>
      <vt:lpstr>'326'!OSRRefE21_11_0x</vt:lpstr>
      <vt:lpstr>'330'!OSRRefE21_11_0x</vt:lpstr>
      <vt:lpstr>'331'!OSRRefE21_11_0x</vt:lpstr>
      <vt:lpstr>'332'!OSRRefE21_11_0x</vt:lpstr>
      <vt:lpstr>'405'!OSRRefE21_11_0x</vt:lpstr>
      <vt:lpstr>'411'!OSRRefE21_11_0x</vt:lpstr>
      <vt:lpstr>'412'!OSRRefE21_11_0x</vt:lpstr>
      <vt:lpstr>'413'!OSRRefE21_11_0x</vt:lpstr>
      <vt:lpstr>'414'!OSRRefE21_11_0x</vt:lpstr>
      <vt:lpstr>'415'!OSRRefE21_11_0x</vt:lpstr>
      <vt:lpstr>'418'!OSRRefE21_11_0x</vt:lpstr>
      <vt:lpstr>'433'!OSRRefE21_11_0x</vt:lpstr>
      <vt:lpstr>'444'!OSRRefE21_11_0x</vt:lpstr>
      <vt:lpstr>'450'!OSRRefE21_11_0x</vt:lpstr>
      <vt:lpstr>'491'!OSRRefE21_11_0x</vt:lpstr>
      <vt:lpstr>'492'!OSRRefE21_11_0x</vt:lpstr>
      <vt:lpstr>'501'!OSRRefE21_11_0x</vt:lpstr>
      <vt:lpstr>'Div 2'!OSRRefE21_11_0x</vt:lpstr>
      <vt:lpstr>'Div 3'!OSRRefE21_11_0x</vt:lpstr>
      <vt:lpstr>'Div 4'!OSRRefE21_11_0x</vt:lpstr>
      <vt:lpstr>'Div 5'!OSRRefE21_11_0x</vt:lpstr>
      <vt:lpstr>'Div 6'!OSRRefE21_11_0x</vt:lpstr>
      <vt:lpstr>Summary!OSRRefE21_11_0x</vt:lpstr>
      <vt:lpstr>'203'!OSRRefE21_11_1x</vt:lpstr>
      <vt:lpstr>'300'!OSRRefE21_11_1x</vt:lpstr>
      <vt:lpstr>'300 &amp; 317'!OSRRefE21_11_1x</vt:lpstr>
      <vt:lpstr>'307'!OSRRefE21_11_1x</vt:lpstr>
      <vt:lpstr>'308'!OSRRefE21_11_1x</vt:lpstr>
      <vt:lpstr>'311'!OSRRefE21_11_1x</vt:lpstr>
      <vt:lpstr>'330'!OSRRefE21_11_1x</vt:lpstr>
      <vt:lpstr>'405'!OSRRefE21_11_1x</vt:lpstr>
      <vt:lpstr>'412'!OSRRefE21_11_1x</vt:lpstr>
      <vt:lpstr>'413'!OSRRefE21_11_1x</vt:lpstr>
      <vt:lpstr>'415'!OSRRefE21_11_1x</vt:lpstr>
      <vt:lpstr>'418'!OSRRefE21_11_1x</vt:lpstr>
      <vt:lpstr>'433'!OSRRefE21_11_1x</vt:lpstr>
      <vt:lpstr>'444'!OSRRefE21_11_1x</vt:lpstr>
      <vt:lpstr>'501'!OSRRefE21_11_1x</vt:lpstr>
      <vt:lpstr>'Div 3'!OSRRefE21_11_1x</vt:lpstr>
      <vt:lpstr>'Div 5'!OSRRefE21_11_1x</vt:lpstr>
      <vt:lpstr>Summary!OSRRefE21_11_1x</vt:lpstr>
      <vt:lpstr>'203'!OSRRefE21_11_2x</vt:lpstr>
      <vt:lpstr>'308'!OSRRefE21_11_2x</vt:lpstr>
      <vt:lpstr>'311'!OSRRefE21_11_2x</vt:lpstr>
      <vt:lpstr>'405'!OSRRefE21_11_2x</vt:lpstr>
      <vt:lpstr>'412'!OSRRefE21_11_2x</vt:lpstr>
      <vt:lpstr>'418'!OSRRefE21_11_2x</vt:lpstr>
      <vt:lpstr>'433'!OSRRefE21_11_2x</vt:lpstr>
      <vt:lpstr>'444'!OSRRefE21_11_2x</vt:lpstr>
      <vt:lpstr>'405'!OSRRefE21_11_3x</vt:lpstr>
      <vt:lpstr>'412'!OSRRefE21_11_3x</vt:lpstr>
      <vt:lpstr>'418'!OSRRefE21_11_3x</vt:lpstr>
      <vt:lpstr>'412'!OSRRefE21_11_4x</vt:lpstr>
      <vt:lpstr>'418'!OSRRefE21_11_4x</vt:lpstr>
      <vt:lpstr>'418'!OSRRefE21_11_5x</vt:lpstr>
      <vt:lpstr>'418'!OSRRefE21_11_6x</vt:lpstr>
      <vt:lpstr>'418'!OSRRefE21_11_7x</vt:lpstr>
      <vt:lpstr>'418'!OSRRefE21_11_8x</vt:lpstr>
      <vt:lpstr>'201'!OSRRefE21_11x_0</vt:lpstr>
      <vt:lpstr>'202'!OSRRefE21_11x_0</vt:lpstr>
      <vt:lpstr>'203'!OSRRefE21_11x_0</vt:lpstr>
      <vt:lpstr>'300'!OSRRefE21_11x_0</vt:lpstr>
      <vt:lpstr>'300 &amp; 317'!OSRRefE21_11x_0</vt:lpstr>
      <vt:lpstr>'301'!OSRRefE21_11x_0</vt:lpstr>
      <vt:lpstr>'307'!OSRRefE21_11x_0</vt:lpstr>
      <vt:lpstr>'308'!OSRRefE21_11x_0</vt:lpstr>
      <vt:lpstr>'310'!OSRRefE21_11x_0</vt:lpstr>
      <vt:lpstr>'310 &amp; 491'!OSRRefE21_11x_0</vt:lpstr>
      <vt:lpstr>'311'!OSRRefE21_11x_0</vt:lpstr>
      <vt:lpstr>'315'!OSRRefE21_11x_0</vt:lpstr>
      <vt:lpstr>'316'!OSRRefE21_11x_0</vt:lpstr>
      <vt:lpstr>'317'!OSRRefE21_11x_0</vt:lpstr>
      <vt:lpstr>'321'!OSRRefE21_11x_0</vt:lpstr>
      <vt:lpstr>'325'!OSRRefE21_11x_0</vt:lpstr>
      <vt:lpstr>'326'!OSRRefE21_11x_0</vt:lpstr>
      <vt:lpstr>'330'!OSRRefE21_11x_0</vt:lpstr>
      <vt:lpstr>'331'!OSRRefE21_11x_0</vt:lpstr>
      <vt:lpstr>'332'!OSRRefE21_11x_0</vt:lpstr>
      <vt:lpstr>'405'!OSRRefE21_11x_0</vt:lpstr>
      <vt:lpstr>'411'!OSRRefE21_11x_0</vt:lpstr>
      <vt:lpstr>'412'!OSRRefE21_11x_0</vt:lpstr>
      <vt:lpstr>'413'!OSRRefE21_11x_0</vt:lpstr>
      <vt:lpstr>'414'!OSRRefE21_11x_0</vt:lpstr>
      <vt:lpstr>'415'!OSRRefE21_11x_0</vt:lpstr>
      <vt:lpstr>'418'!OSRRefE21_11x_0</vt:lpstr>
      <vt:lpstr>'433'!OSRRefE21_11x_0</vt:lpstr>
      <vt:lpstr>'444'!OSRRefE21_11x_0</vt:lpstr>
      <vt:lpstr>'450'!OSRRefE21_11x_0</vt:lpstr>
      <vt:lpstr>'491'!OSRRefE21_11x_0</vt:lpstr>
      <vt:lpstr>'492'!OSRRefE21_11x_0</vt:lpstr>
      <vt:lpstr>'501'!OSRRefE21_11x_0</vt:lpstr>
      <vt:lpstr>'Div 2'!OSRRefE21_11x_0</vt:lpstr>
      <vt:lpstr>'Div 3'!OSRRefE21_11x_0</vt:lpstr>
      <vt:lpstr>'Div 4'!OSRRefE21_11x_0</vt:lpstr>
      <vt:lpstr>'Div 5'!OSRRefE21_11x_0</vt:lpstr>
      <vt:lpstr>'Div 6'!OSRRefE21_11x_0</vt:lpstr>
      <vt:lpstr>Summary!OSRRefE21_11x_0</vt:lpstr>
      <vt:lpstr>'201'!OSRRefE21_11x_1</vt:lpstr>
      <vt:lpstr>'202'!OSRRefE21_11x_1</vt:lpstr>
      <vt:lpstr>'203'!OSRRefE21_11x_1</vt:lpstr>
      <vt:lpstr>'300'!OSRRefE21_11x_1</vt:lpstr>
      <vt:lpstr>'300 &amp; 317'!OSRRefE21_11x_1</vt:lpstr>
      <vt:lpstr>'301'!OSRRefE21_11x_1</vt:lpstr>
      <vt:lpstr>'307'!OSRRefE21_11x_1</vt:lpstr>
      <vt:lpstr>'308'!OSRRefE21_11x_1</vt:lpstr>
      <vt:lpstr>'310'!OSRRefE21_11x_1</vt:lpstr>
      <vt:lpstr>'310 &amp; 491'!OSRRefE21_11x_1</vt:lpstr>
      <vt:lpstr>'311'!OSRRefE21_11x_1</vt:lpstr>
      <vt:lpstr>'315'!OSRRefE21_11x_1</vt:lpstr>
      <vt:lpstr>'316'!OSRRefE21_11x_1</vt:lpstr>
      <vt:lpstr>'317'!OSRRefE21_11x_1</vt:lpstr>
      <vt:lpstr>'321'!OSRRefE21_11x_1</vt:lpstr>
      <vt:lpstr>'325'!OSRRefE21_11x_1</vt:lpstr>
      <vt:lpstr>'326'!OSRRefE21_11x_1</vt:lpstr>
      <vt:lpstr>'330'!OSRRefE21_11x_1</vt:lpstr>
      <vt:lpstr>'331'!OSRRefE21_11x_1</vt:lpstr>
      <vt:lpstr>'332'!OSRRefE21_11x_1</vt:lpstr>
      <vt:lpstr>'405'!OSRRefE21_11x_1</vt:lpstr>
      <vt:lpstr>'411'!OSRRefE21_11x_1</vt:lpstr>
      <vt:lpstr>'412'!OSRRefE21_11x_1</vt:lpstr>
      <vt:lpstr>'413'!OSRRefE21_11x_1</vt:lpstr>
      <vt:lpstr>'414'!OSRRefE21_11x_1</vt:lpstr>
      <vt:lpstr>'415'!OSRRefE21_11x_1</vt:lpstr>
      <vt:lpstr>'418'!OSRRefE21_11x_1</vt:lpstr>
      <vt:lpstr>'433'!OSRRefE21_11x_1</vt:lpstr>
      <vt:lpstr>'444'!OSRRefE21_11x_1</vt:lpstr>
      <vt:lpstr>'450'!OSRRefE21_11x_1</vt:lpstr>
      <vt:lpstr>'491'!OSRRefE21_11x_1</vt:lpstr>
      <vt:lpstr>'492'!OSRRefE21_11x_1</vt:lpstr>
      <vt:lpstr>'501'!OSRRefE21_11x_1</vt:lpstr>
      <vt:lpstr>'Div 2'!OSRRefE21_11x_1</vt:lpstr>
      <vt:lpstr>'Div 3'!OSRRefE21_11x_1</vt:lpstr>
      <vt:lpstr>'Div 4'!OSRRefE21_11x_1</vt:lpstr>
      <vt:lpstr>'Div 5'!OSRRefE21_11x_1</vt:lpstr>
      <vt:lpstr>'Div 6'!OSRRefE21_11x_1</vt:lpstr>
      <vt:lpstr>Summary!OSRRefE21_11x_1</vt:lpstr>
      <vt:lpstr>'201'!OSRRefE21_11x_2</vt:lpstr>
      <vt:lpstr>'202'!OSRRefE21_11x_2</vt:lpstr>
      <vt:lpstr>'203'!OSRRefE21_11x_2</vt:lpstr>
      <vt:lpstr>'300'!OSRRefE21_11x_2</vt:lpstr>
      <vt:lpstr>'300 &amp; 317'!OSRRefE21_11x_2</vt:lpstr>
      <vt:lpstr>'301'!OSRRefE21_11x_2</vt:lpstr>
      <vt:lpstr>'307'!OSRRefE21_11x_2</vt:lpstr>
      <vt:lpstr>'308'!OSRRefE21_11x_2</vt:lpstr>
      <vt:lpstr>'310'!OSRRefE21_11x_2</vt:lpstr>
      <vt:lpstr>'310 &amp; 491'!OSRRefE21_11x_2</vt:lpstr>
      <vt:lpstr>'311'!OSRRefE21_11x_2</vt:lpstr>
      <vt:lpstr>'315'!OSRRefE21_11x_2</vt:lpstr>
      <vt:lpstr>'316'!OSRRefE21_11x_2</vt:lpstr>
      <vt:lpstr>'317'!OSRRefE21_11x_2</vt:lpstr>
      <vt:lpstr>'321'!OSRRefE21_11x_2</vt:lpstr>
      <vt:lpstr>'325'!OSRRefE21_11x_2</vt:lpstr>
      <vt:lpstr>'326'!OSRRefE21_11x_2</vt:lpstr>
      <vt:lpstr>'330'!OSRRefE21_11x_2</vt:lpstr>
      <vt:lpstr>'331'!OSRRefE21_11x_2</vt:lpstr>
      <vt:lpstr>'332'!OSRRefE21_11x_2</vt:lpstr>
      <vt:lpstr>'405'!OSRRefE21_11x_2</vt:lpstr>
      <vt:lpstr>'411'!OSRRefE21_11x_2</vt:lpstr>
      <vt:lpstr>'412'!OSRRefE21_11x_2</vt:lpstr>
      <vt:lpstr>'413'!OSRRefE21_11x_2</vt:lpstr>
      <vt:lpstr>'414'!OSRRefE21_11x_2</vt:lpstr>
      <vt:lpstr>'415'!OSRRefE21_11x_2</vt:lpstr>
      <vt:lpstr>'418'!OSRRefE21_11x_2</vt:lpstr>
      <vt:lpstr>'433'!OSRRefE21_11x_2</vt:lpstr>
      <vt:lpstr>'444'!OSRRefE21_11x_2</vt:lpstr>
      <vt:lpstr>'450'!OSRRefE21_11x_2</vt:lpstr>
      <vt:lpstr>'491'!OSRRefE21_11x_2</vt:lpstr>
      <vt:lpstr>'492'!OSRRefE21_11x_2</vt:lpstr>
      <vt:lpstr>'501'!OSRRefE21_11x_2</vt:lpstr>
      <vt:lpstr>'Div 2'!OSRRefE21_11x_2</vt:lpstr>
      <vt:lpstr>'Div 3'!OSRRefE21_11x_2</vt:lpstr>
      <vt:lpstr>'Div 4'!OSRRefE21_11x_2</vt:lpstr>
      <vt:lpstr>'Div 5'!OSRRefE21_11x_2</vt:lpstr>
      <vt:lpstr>'Div 6'!OSRRefE21_11x_2</vt:lpstr>
      <vt:lpstr>Summary!OSRRefE21_11x_2</vt:lpstr>
      <vt:lpstr>'201'!OSRRefE21_11x_3</vt:lpstr>
      <vt:lpstr>'202'!OSRRefE21_11x_3</vt:lpstr>
      <vt:lpstr>'203'!OSRRefE21_11x_3</vt:lpstr>
      <vt:lpstr>'300'!OSRRefE21_11x_3</vt:lpstr>
      <vt:lpstr>'300 &amp; 317'!OSRRefE21_11x_3</vt:lpstr>
      <vt:lpstr>'301'!OSRRefE21_11x_3</vt:lpstr>
      <vt:lpstr>'307'!OSRRefE21_11x_3</vt:lpstr>
      <vt:lpstr>'308'!OSRRefE21_11x_3</vt:lpstr>
      <vt:lpstr>'310'!OSRRefE21_11x_3</vt:lpstr>
      <vt:lpstr>'310 &amp; 491'!OSRRefE21_11x_3</vt:lpstr>
      <vt:lpstr>'311'!OSRRefE21_11x_3</vt:lpstr>
      <vt:lpstr>'315'!OSRRefE21_11x_3</vt:lpstr>
      <vt:lpstr>'316'!OSRRefE21_11x_3</vt:lpstr>
      <vt:lpstr>'317'!OSRRefE21_11x_3</vt:lpstr>
      <vt:lpstr>'321'!OSRRefE21_11x_3</vt:lpstr>
      <vt:lpstr>'325'!OSRRefE21_11x_3</vt:lpstr>
      <vt:lpstr>'326'!OSRRefE21_11x_3</vt:lpstr>
      <vt:lpstr>'330'!OSRRefE21_11x_3</vt:lpstr>
      <vt:lpstr>'331'!OSRRefE21_11x_3</vt:lpstr>
      <vt:lpstr>'332'!OSRRefE21_11x_3</vt:lpstr>
      <vt:lpstr>'405'!OSRRefE21_11x_3</vt:lpstr>
      <vt:lpstr>'411'!OSRRefE21_11x_3</vt:lpstr>
      <vt:lpstr>'412'!OSRRefE21_11x_3</vt:lpstr>
      <vt:lpstr>'413'!OSRRefE21_11x_3</vt:lpstr>
      <vt:lpstr>'414'!OSRRefE21_11x_3</vt:lpstr>
      <vt:lpstr>'415'!OSRRefE21_11x_3</vt:lpstr>
      <vt:lpstr>'418'!OSRRefE21_11x_3</vt:lpstr>
      <vt:lpstr>'433'!OSRRefE21_11x_3</vt:lpstr>
      <vt:lpstr>'444'!OSRRefE21_11x_3</vt:lpstr>
      <vt:lpstr>'450'!OSRRefE21_11x_3</vt:lpstr>
      <vt:lpstr>'491'!OSRRefE21_11x_3</vt:lpstr>
      <vt:lpstr>'492'!OSRRefE21_11x_3</vt:lpstr>
      <vt:lpstr>'501'!OSRRefE21_11x_3</vt:lpstr>
      <vt:lpstr>'Div 2'!OSRRefE21_11x_3</vt:lpstr>
      <vt:lpstr>'Div 3'!OSRRefE21_11x_3</vt:lpstr>
      <vt:lpstr>'Div 4'!OSRRefE21_11x_3</vt:lpstr>
      <vt:lpstr>'Div 5'!OSRRefE21_11x_3</vt:lpstr>
      <vt:lpstr>'Div 6'!OSRRefE21_11x_3</vt:lpstr>
      <vt:lpstr>Summary!OSRRefE21_11x_3</vt:lpstr>
      <vt:lpstr>'201'!OSRRefE21_11x_4</vt:lpstr>
      <vt:lpstr>'202'!OSRRefE21_11x_4</vt:lpstr>
      <vt:lpstr>'203'!OSRRefE21_11x_4</vt:lpstr>
      <vt:lpstr>'300'!OSRRefE21_11x_4</vt:lpstr>
      <vt:lpstr>'300 &amp; 317'!OSRRefE21_11x_4</vt:lpstr>
      <vt:lpstr>'301'!OSRRefE21_11x_4</vt:lpstr>
      <vt:lpstr>'307'!OSRRefE21_11x_4</vt:lpstr>
      <vt:lpstr>'308'!OSRRefE21_11x_4</vt:lpstr>
      <vt:lpstr>'310'!OSRRefE21_11x_4</vt:lpstr>
      <vt:lpstr>'310 &amp; 491'!OSRRefE21_11x_4</vt:lpstr>
      <vt:lpstr>'311'!OSRRefE21_11x_4</vt:lpstr>
      <vt:lpstr>'315'!OSRRefE21_11x_4</vt:lpstr>
      <vt:lpstr>'316'!OSRRefE21_11x_4</vt:lpstr>
      <vt:lpstr>'317'!OSRRefE21_11x_4</vt:lpstr>
      <vt:lpstr>'321'!OSRRefE21_11x_4</vt:lpstr>
      <vt:lpstr>'325'!OSRRefE21_11x_4</vt:lpstr>
      <vt:lpstr>'326'!OSRRefE21_11x_4</vt:lpstr>
      <vt:lpstr>'330'!OSRRefE21_11x_4</vt:lpstr>
      <vt:lpstr>'331'!OSRRefE21_11x_4</vt:lpstr>
      <vt:lpstr>'332'!OSRRefE21_11x_4</vt:lpstr>
      <vt:lpstr>'405'!OSRRefE21_11x_4</vt:lpstr>
      <vt:lpstr>'411'!OSRRefE21_11x_4</vt:lpstr>
      <vt:lpstr>'412'!OSRRefE21_11x_4</vt:lpstr>
      <vt:lpstr>'413'!OSRRefE21_11x_4</vt:lpstr>
      <vt:lpstr>'414'!OSRRefE21_11x_4</vt:lpstr>
      <vt:lpstr>'415'!OSRRefE21_11x_4</vt:lpstr>
      <vt:lpstr>'418'!OSRRefE21_11x_4</vt:lpstr>
      <vt:lpstr>'433'!OSRRefE21_11x_4</vt:lpstr>
      <vt:lpstr>'444'!OSRRefE21_11x_4</vt:lpstr>
      <vt:lpstr>'450'!OSRRefE21_11x_4</vt:lpstr>
      <vt:lpstr>'491'!OSRRefE21_11x_4</vt:lpstr>
      <vt:lpstr>'492'!OSRRefE21_11x_4</vt:lpstr>
      <vt:lpstr>'501'!OSRRefE21_11x_4</vt:lpstr>
      <vt:lpstr>'Div 2'!OSRRefE21_11x_4</vt:lpstr>
      <vt:lpstr>'Div 3'!OSRRefE21_11x_4</vt:lpstr>
      <vt:lpstr>'Div 4'!OSRRefE21_11x_4</vt:lpstr>
      <vt:lpstr>'Div 5'!OSRRefE21_11x_4</vt:lpstr>
      <vt:lpstr>'Div 6'!OSRRefE21_11x_4</vt:lpstr>
      <vt:lpstr>Summary!OSRRefE21_11x_4</vt:lpstr>
      <vt:lpstr>'201'!OSRRefE21_11x_5</vt:lpstr>
      <vt:lpstr>'202'!OSRRefE21_11x_5</vt:lpstr>
      <vt:lpstr>'203'!OSRRefE21_11x_5</vt:lpstr>
      <vt:lpstr>'300'!OSRRefE21_11x_5</vt:lpstr>
      <vt:lpstr>'300 &amp; 317'!OSRRefE21_11x_5</vt:lpstr>
      <vt:lpstr>'301'!OSRRefE21_11x_5</vt:lpstr>
      <vt:lpstr>'307'!OSRRefE21_11x_5</vt:lpstr>
      <vt:lpstr>'308'!OSRRefE21_11x_5</vt:lpstr>
      <vt:lpstr>'310'!OSRRefE21_11x_5</vt:lpstr>
      <vt:lpstr>'310 &amp; 491'!OSRRefE21_11x_5</vt:lpstr>
      <vt:lpstr>'311'!OSRRefE21_11x_5</vt:lpstr>
      <vt:lpstr>'315'!OSRRefE21_11x_5</vt:lpstr>
      <vt:lpstr>'316'!OSRRefE21_11x_5</vt:lpstr>
      <vt:lpstr>'317'!OSRRefE21_11x_5</vt:lpstr>
      <vt:lpstr>'321'!OSRRefE21_11x_5</vt:lpstr>
      <vt:lpstr>'325'!OSRRefE21_11x_5</vt:lpstr>
      <vt:lpstr>'326'!OSRRefE21_11x_5</vt:lpstr>
      <vt:lpstr>'330'!OSRRefE21_11x_5</vt:lpstr>
      <vt:lpstr>'331'!OSRRefE21_11x_5</vt:lpstr>
      <vt:lpstr>'332'!OSRRefE21_11x_5</vt:lpstr>
      <vt:lpstr>'405'!OSRRefE21_11x_5</vt:lpstr>
      <vt:lpstr>'411'!OSRRefE21_11x_5</vt:lpstr>
      <vt:lpstr>'412'!OSRRefE21_11x_5</vt:lpstr>
      <vt:lpstr>'413'!OSRRefE21_11x_5</vt:lpstr>
      <vt:lpstr>'414'!OSRRefE21_11x_5</vt:lpstr>
      <vt:lpstr>'415'!OSRRefE21_11x_5</vt:lpstr>
      <vt:lpstr>'418'!OSRRefE21_11x_5</vt:lpstr>
      <vt:lpstr>'433'!OSRRefE21_11x_5</vt:lpstr>
      <vt:lpstr>'444'!OSRRefE21_11x_5</vt:lpstr>
      <vt:lpstr>'450'!OSRRefE21_11x_5</vt:lpstr>
      <vt:lpstr>'491'!OSRRefE21_11x_5</vt:lpstr>
      <vt:lpstr>'492'!OSRRefE21_11x_5</vt:lpstr>
      <vt:lpstr>'501'!OSRRefE21_11x_5</vt:lpstr>
      <vt:lpstr>'Div 2'!OSRRefE21_11x_5</vt:lpstr>
      <vt:lpstr>'Div 3'!OSRRefE21_11x_5</vt:lpstr>
      <vt:lpstr>'Div 4'!OSRRefE21_11x_5</vt:lpstr>
      <vt:lpstr>'Div 5'!OSRRefE21_11x_5</vt:lpstr>
      <vt:lpstr>'Div 6'!OSRRefE21_11x_5</vt:lpstr>
      <vt:lpstr>Summary!OSRRefE21_11x_5</vt:lpstr>
      <vt:lpstr>'201'!OSRRefE21_11x_6</vt:lpstr>
      <vt:lpstr>'202'!OSRRefE21_11x_6</vt:lpstr>
      <vt:lpstr>'203'!OSRRefE21_11x_6</vt:lpstr>
      <vt:lpstr>'300'!OSRRefE21_11x_6</vt:lpstr>
      <vt:lpstr>'300 &amp; 317'!OSRRefE21_11x_6</vt:lpstr>
      <vt:lpstr>'301'!OSRRefE21_11x_6</vt:lpstr>
      <vt:lpstr>'307'!OSRRefE21_11x_6</vt:lpstr>
      <vt:lpstr>'308'!OSRRefE21_11x_6</vt:lpstr>
      <vt:lpstr>'310'!OSRRefE21_11x_6</vt:lpstr>
      <vt:lpstr>'310 &amp; 491'!OSRRefE21_11x_6</vt:lpstr>
      <vt:lpstr>'311'!OSRRefE21_11x_6</vt:lpstr>
      <vt:lpstr>'315'!OSRRefE21_11x_6</vt:lpstr>
      <vt:lpstr>'316'!OSRRefE21_11x_6</vt:lpstr>
      <vt:lpstr>'317'!OSRRefE21_11x_6</vt:lpstr>
      <vt:lpstr>'321'!OSRRefE21_11x_6</vt:lpstr>
      <vt:lpstr>'325'!OSRRefE21_11x_6</vt:lpstr>
      <vt:lpstr>'326'!OSRRefE21_11x_6</vt:lpstr>
      <vt:lpstr>'330'!OSRRefE21_11x_6</vt:lpstr>
      <vt:lpstr>'331'!OSRRefE21_11x_6</vt:lpstr>
      <vt:lpstr>'332'!OSRRefE21_11x_6</vt:lpstr>
      <vt:lpstr>'405'!OSRRefE21_11x_6</vt:lpstr>
      <vt:lpstr>'411'!OSRRefE21_11x_6</vt:lpstr>
      <vt:lpstr>'412'!OSRRefE21_11x_6</vt:lpstr>
      <vt:lpstr>'413'!OSRRefE21_11x_6</vt:lpstr>
      <vt:lpstr>'414'!OSRRefE21_11x_6</vt:lpstr>
      <vt:lpstr>'415'!OSRRefE21_11x_6</vt:lpstr>
      <vt:lpstr>'418'!OSRRefE21_11x_6</vt:lpstr>
      <vt:lpstr>'433'!OSRRefE21_11x_6</vt:lpstr>
      <vt:lpstr>'444'!OSRRefE21_11x_6</vt:lpstr>
      <vt:lpstr>'450'!OSRRefE21_11x_6</vt:lpstr>
      <vt:lpstr>'491'!OSRRefE21_11x_6</vt:lpstr>
      <vt:lpstr>'492'!OSRRefE21_11x_6</vt:lpstr>
      <vt:lpstr>'501'!OSRRefE21_11x_6</vt:lpstr>
      <vt:lpstr>'Div 2'!OSRRefE21_11x_6</vt:lpstr>
      <vt:lpstr>'Div 3'!OSRRefE21_11x_6</vt:lpstr>
      <vt:lpstr>'Div 4'!OSRRefE21_11x_6</vt:lpstr>
      <vt:lpstr>'Div 5'!OSRRefE21_11x_6</vt:lpstr>
      <vt:lpstr>'Div 6'!OSRRefE21_11x_6</vt:lpstr>
      <vt:lpstr>Summary!OSRRefE21_11x_6</vt:lpstr>
      <vt:lpstr>'201'!OSRRefE21_11x_7</vt:lpstr>
      <vt:lpstr>'202'!OSRRefE21_11x_7</vt:lpstr>
      <vt:lpstr>'203'!OSRRefE21_11x_7</vt:lpstr>
      <vt:lpstr>'300'!OSRRefE21_11x_7</vt:lpstr>
      <vt:lpstr>'300 &amp; 317'!OSRRefE21_11x_7</vt:lpstr>
      <vt:lpstr>'301'!OSRRefE21_11x_7</vt:lpstr>
      <vt:lpstr>'307'!OSRRefE21_11x_7</vt:lpstr>
      <vt:lpstr>'308'!OSRRefE21_11x_7</vt:lpstr>
      <vt:lpstr>'310'!OSRRefE21_11x_7</vt:lpstr>
      <vt:lpstr>'310 &amp; 491'!OSRRefE21_11x_7</vt:lpstr>
      <vt:lpstr>'311'!OSRRefE21_11x_7</vt:lpstr>
      <vt:lpstr>'315'!OSRRefE21_11x_7</vt:lpstr>
      <vt:lpstr>'316'!OSRRefE21_11x_7</vt:lpstr>
      <vt:lpstr>'317'!OSRRefE21_11x_7</vt:lpstr>
      <vt:lpstr>'321'!OSRRefE21_11x_7</vt:lpstr>
      <vt:lpstr>'325'!OSRRefE21_11x_7</vt:lpstr>
      <vt:lpstr>'326'!OSRRefE21_11x_7</vt:lpstr>
      <vt:lpstr>'330'!OSRRefE21_11x_7</vt:lpstr>
      <vt:lpstr>'331'!OSRRefE21_11x_7</vt:lpstr>
      <vt:lpstr>'332'!OSRRefE21_11x_7</vt:lpstr>
      <vt:lpstr>'405'!OSRRefE21_11x_7</vt:lpstr>
      <vt:lpstr>'411'!OSRRefE21_11x_7</vt:lpstr>
      <vt:lpstr>'412'!OSRRefE21_11x_7</vt:lpstr>
      <vt:lpstr>'413'!OSRRefE21_11x_7</vt:lpstr>
      <vt:lpstr>'414'!OSRRefE21_11x_7</vt:lpstr>
      <vt:lpstr>'415'!OSRRefE21_11x_7</vt:lpstr>
      <vt:lpstr>'418'!OSRRefE21_11x_7</vt:lpstr>
      <vt:lpstr>'433'!OSRRefE21_11x_7</vt:lpstr>
      <vt:lpstr>'444'!OSRRefE21_11x_7</vt:lpstr>
      <vt:lpstr>'450'!OSRRefE21_11x_7</vt:lpstr>
      <vt:lpstr>'491'!OSRRefE21_11x_7</vt:lpstr>
      <vt:lpstr>'492'!OSRRefE21_11x_7</vt:lpstr>
      <vt:lpstr>'501'!OSRRefE21_11x_7</vt:lpstr>
      <vt:lpstr>'Div 2'!OSRRefE21_11x_7</vt:lpstr>
      <vt:lpstr>'Div 3'!OSRRefE21_11x_7</vt:lpstr>
      <vt:lpstr>'Div 4'!OSRRefE21_11x_7</vt:lpstr>
      <vt:lpstr>'Div 5'!OSRRefE21_11x_7</vt:lpstr>
      <vt:lpstr>'Div 6'!OSRRefE21_11x_7</vt:lpstr>
      <vt:lpstr>Summary!OSRRefE21_11x_7</vt:lpstr>
      <vt:lpstr>'201'!OSRRefE21_12_0x</vt:lpstr>
      <vt:lpstr>'202'!OSRRefE21_12_0x</vt:lpstr>
      <vt:lpstr>'203'!OSRRefE21_12_0x</vt:lpstr>
      <vt:lpstr>'300'!OSRRefE21_12_0x</vt:lpstr>
      <vt:lpstr>'300 &amp; 317'!OSRRefE21_12_0x</vt:lpstr>
      <vt:lpstr>'301'!OSRRefE21_12_0x</vt:lpstr>
      <vt:lpstr>'307'!OSRRefE21_12_0x</vt:lpstr>
      <vt:lpstr>'308'!OSRRefE21_12_0x</vt:lpstr>
      <vt:lpstr>'310'!OSRRefE21_12_0x</vt:lpstr>
      <vt:lpstr>'310 &amp; 491'!OSRRefE21_12_0x</vt:lpstr>
      <vt:lpstr>'311'!OSRRefE21_12_0x</vt:lpstr>
      <vt:lpstr>'315'!OSRRefE21_12_0x</vt:lpstr>
      <vt:lpstr>'317'!OSRRefE21_12_0x</vt:lpstr>
      <vt:lpstr>'321'!OSRRefE21_12_0x</vt:lpstr>
      <vt:lpstr>'325'!OSRRefE21_12_0x</vt:lpstr>
      <vt:lpstr>'326'!OSRRefE21_12_0x</vt:lpstr>
      <vt:lpstr>'330'!OSRRefE21_12_0x</vt:lpstr>
      <vt:lpstr>'331'!OSRRefE21_12_0x</vt:lpstr>
      <vt:lpstr>'405'!OSRRefE21_12_0x</vt:lpstr>
      <vt:lpstr>'411'!OSRRefE21_12_0x</vt:lpstr>
      <vt:lpstr>'412'!OSRRefE21_12_0x</vt:lpstr>
      <vt:lpstr>'414'!OSRRefE21_12_0x</vt:lpstr>
      <vt:lpstr>'415'!OSRRefE21_12_0x</vt:lpstr>
      <vt:lpstr>'418'!OSRRefE21_12_0x</vt:lpstr>
      <vt:lpstr>'433'!OSRRefE21_12_0x</vt:lpstr>
      <vt:lpstr>'444'!OSRRefE21_12_0x</vt:lpstr>
      <vt:lpstr>'450'!OSRRefE21_12_0x</vt:lpstr>
      <vt:lpstr>'491'!OSRRefE21_12_0x</vt:lpstr>
      <vt:lpstr>'492'!OSRRefE21_12_0x</vt:lpstr>
      <vt:lpstr>'501'!OSRRefE21_12_0x</vt:lpstr>
      <vt:lpstr>'Div 2'!OSRRefE21_12_0x</vt:lpstr>
      <vt:lpstr>'Div 3'!OSRRefE21_12_0x</vt:lpstr>
      <vt:lpstr>'Div 4'!OSRRefE21_12_0x</vt:lpstr>
      <vt:lpstr>'Div 5'!OSRRefE21_12_0x</vt:lpstr>
      <vt:lpstr>'Div 6'!OSRRefE21_12_0x</vt:lpstr>
      <vt:lpstr>Summary!OSRRefE21_12_0x</vt:lpstr>
      <vt:lpstr>'308'!OSRRefE21_12_1x</vt:lpstr>
      <vt:lpstr>'311'!OSRRefE21_12_1x</vt:lpstr>
      <vt:lpstr>'315'!OSRRefE21_12_1x</vt:lpstr>
      <vt:lpstr>'325'!OSRRefE21_12_1x</vt:lpstr>
      <vt:lpstr>'326'!OSRRefE21_12_1x</vt:lpstr>
      <vt:lpstr>'411'!OSRRefE21_12_1x</vt:lpstr>
      <vt:lpstr>'412'!OSRRefE21_12_1x</vt:lpstr>
      <vt:lpstr>'414'!OSRRefE21_12_1x</vt:lpstr>
      <vt:lpstr>'415'!OSRRefE21_12_1x</vt:lpstr>
      <vt:lpstr>'418'!OSRRefE21_12_1x</vt:lpstr>
      <vt:lpstr>'433'!OSRRefE21_12_1x</vt:lpstr>
      <vt:lpstr>'444'!OSRRefE21_12_1x</vt:lpstr>
      <vt:lpstr>'492'!OSRRefE21_12_1x</vt:lpstr>
      <vt:lpstr>'Div 2'!OSRRefE21_12_1x</vt:lpstr>
      <vt:lpstr>'315'!OSRRefE21_12_2x</vt:lpstr>
      <vt:lpstr>'325'!OSRRefE21_12_2x</vt:lpstr>
      <vt:lpstr>'411'!OSRRefE21_12_2x</vt:lpstr>
      <vt:lpstr>'414'!OSRRefE21_12_2x</vt:lpstr>
      <vt:lpstr>'415'!OSRRefE21_12_2x</vt:lpstr>
      <vt:lpstr>'433'!OSRRefE21_12_2x</vt:lpstr>
      <vt:lpstr>'444'!OSRRefE21_12_2x</vt:lpstr>
      <vt:lpstr>'492'!OSRRefE21_12_2x</vt:lpstr>
      <vt:lpstr>'Div 2'!OSRRefE21_12_2x</vt:lpstr>
      <vt:lpstr>'325'!OSRRefE21_12_3x</vt:lpstr>
      <vt:lpstr>'411'!OSRRefE21_12_3x</vt:lpstr>
      <vt:lpstr>'415'!OSRRefE21_12_3x</vt:lpstr>
      <vt:lpstr>'433'!OSRRefE21_12_3x</vt:lpstr>
      <vt:lpstr>'Div 2'!OSRRefE21_12_3x</vt:lpstr>
      <vt:lpstr>'325'!OSRRefE21_12_4x</vt:lpstr>
      <vt:lpstr>'411'!OSRRefE21_12_4x</vt:lpstr>
      <vt:lpstr>'411'!OSRRefE21_12_5x</vt:lpstr>
      <vt:lpstr>'201'!OSRRefE21_12x_0</vt:lpstr>
      <vt:lpstr>'202'!OSRRefE21_12x_0</vt:lpstr>
      <vt:lpstr>'203'!OSRRefE21_12x_0</vt:lpstr>
      <vt:lpstr>'300'!OSRRefE21_12x_0</vt:lpstr>
      <vt:lpstr>'300 &amp; 317'!OSRRefE21_12x_0</vt:lpstr>
      <vt:lpstr>'301'!OSRRefE21_12x_0</vt:lpstr>
      <vt:lpstr>'307'!OSRRefE21_12x_0</vt:lpstr>
      <vt:lpstr>'308'!OSRRefE21_12x_0</vt:lpstr>
      <vt:lpstr>'310'!OSRRefE21_12x_0</vt:lpstr>
      <vt:lpstr>'310 &amp; 491'!OSRRefE21_12x_0</vt:lpstr>
      <vt:lpstr>'311'!OSRRefE21_12x_0</vt:lpstr>
      <vt:lpstr>'315'!OSRRefE21_12x_0</vt:lpstr>
      <vt:lpstr>'317'!OSRRefE21_12x_0</vt:lpstr>
      <vt:lpstr>'321'!OSRRefE21_12x_0</vt:lpstr>
      <vt:lpstr>'325'!OSRRefE21_12x_0</vt:lpstr>
      <vt:lpstr>'326'!OSRRefE21_12x_0</vt:lpstr>
      <vt:lpstr>'330'!OSRRefE21_12x_0</vt:lpstr>
      <vt:lpstr>'331'!OSRRefE21_12x_0</vt:lpstr>
      <vt:lpstr>'405'!OSRRefE21_12x_0</vt:lpstr>
      <vt:lpstr>'411'!OSRRefE21_12x_0</vt:lpstr>
      <vt:lpstr>'412'!OSRRefE21_12x_0</vt:lpstr>
      <vt:lpstr>'414'!OSRRefE21_12x_0</vt:lpstr>
      <vt:lpstr>'415'!OSRRefE21_12x_0</vt:lpstr>
      <vt:lpstr>'418'!OSRRefE21_12x_0</vt:lpstr>
      <vt:lpstr>'433'!OSRRefE21_12x_0</vt:lpstr>
      <vt:lpstr>'444'!OSRRefE21_12x_0</vt:lpstr>
      <vt:lpstr>'450'!OSRRefE21_12x_0</vt:lpstr>
      <vt:lpstr>'491'!OSRRefE21_12x_0</vt:lpstr>
      <vt:lpstr>'492'!OSRRefE21_12x_0</vt:lpstr>
      <vt:lpstr>'501'!OSRRefE21_12x_0</vt:lpstr>
      <vt:lpstr>'Div 2'!OSRRefE21_12x_0</vt:lpstr>
      <vt:lpstr>'Div 3'!OSRRefE21_12x_0</vt:lpstr>
      <vt:lpstr>'Div 4'!OSRRefE21_12x_0</vt:lpstr>
      <vt:lpstr>'Div 5'!OSRRefE21_12x_0</vt:lpstr>
      <vt:lpstr>'Div 6'!OSRRefE21_12x_0</vt:lpstr>
      <vt:lpstr>Summary!OSRRefE21_12x_0</vt:lpstr>
      <vt:lpstr>'201'!OSRRefE21_12x_1</vt:lpstr>
      <vt:lpstr>'202'!OSRRefE21_12x_1</vt:lpstr>
      <vt:lpstr>'203'!OSRRefE21_12x_1</vt:lpstr>
      <vt:lpstr>'300'!OSRRefE21_12x_1</vt:lpstr>
      <vt:lpstr>'300 &amp; 317'!OSRRefE21_12x_1</vt:lpstr>
      <vt:lpstr>'301'!OSRRefE21_12x_1</vt:lpstr>
      <vt:lpstr>'307'!OSRRefE21_12x_1</vt:lpstr>
      <vt:lpstr>'308'!OSRRefE21_12x_1</vt:lpstr>
      <vt:lpstr>'310'!OSRRefE21_12x_1</vt:lpstr>
      <vt:lpstr>'310 &amp; 491'!OSRRefE21_12x_1</vt:lpstr>
      <vt:lpstr>'311'!OSRRefE21_12x_1</vt:lpstr>
      <vt:lpstr>'315'!OSRRefE21_12x_1</vt:lpstr>
      <vt:lpstr>'317'!OSRRefE21_12x_1</vt:lpstr>
      <vt:lpstr>'321'!OSRRefE21_12x_1</vt:lpstr>
      <vt:lpstr>'325'!OSRRefE21_12x_1</vt:lpstr>
      <vt:lpstr>'326'!OSRRefE21_12x_1</vt:lpstr>
      <vt:lpstr>'330'!OSRRefE21_12x_1</vt:lpstr>
      <vt:lpstr>'331'!OSRRefE21_12x_1</vt:lpstr>
      <vt:lpstr>'405'!OSRRefE21_12x_1</vt:lpstr>
      <vt:lpstr>'411'!OSRRefE21_12x_1</vt:lpstr>
      <vt:lpstr>'412'!OSRRefE21_12x_1</vt:lpstr>
      <vt:lpstr>'414'!OSRRefE21_12x_1</vt:lpstr>
      <vt:lpstr>'415'!OSRRefE21_12x_1</vt:lpstr>
      <vt:lpstr>'418'!OSRRefE21_12x_1</vt:lpstr>
      <vt:lpstr>'433'!OSRRefE21_12x_1</vt:lpstr>
      <vt:lpstr>'444'!OSRRefE21_12x_1</vt:lpstr>
      <vt:lpstr>'450'!OSRRefE21_12x_1</vt:lpstr>
      <vt:lpstr>'491'!OSRRefE21_12x_1</vt:lpstr>
      <vt:lpstr>'492'!OSRRefE21_12x_1</vt:lpstr>
      <vt:lpstr>'501'!OSRRefE21_12x_1</vt:lpstr>
      <vt:lpstr>'Div 2'!OSRRefE21_12x_1</vt:lpstr>
      <vt:lpstr>'Div 3'!OSRRefE21_12x_1</vt:lpstr>
      <vt:lpstr>'Div 4'!OSRRefE21_12x_1</vt:lpstr>
      <vt:lpstr>'Div 5'!OSRRefE21_12x_1</vt:lpstr>
      <vt:lpstr>'Div 6'!OSRRefE21_12x_1</vt:lpstr>
      <vt:lpstr>Summary!OSRRefE21_12x_1</vt:lpstr>
      <vt:lpstr>'201'!OSRRefE21_12x_2</vt:lpstr>
      <vt:lpstr>'202'!OSRRefE21_12x_2</vt:lpstr>
      <vt:lpstr>'203'!OSRRefE21_12x_2</vt:lpstr>
      <vt:lpstr>'300'!OSRRefE21_12x_2</vt:lpstr>
      <vt:lpstr>'300 &amp; 317'!OSRRefE21_12x_2</vt:lpstr>
      <vt:lpstr>'301'!OSRRefE21_12x_2</vt:lpstr>
      <vt:lpstr>'307'!OSRRefE21_12x_2</vt:lpstr>
      <vt:lpstr>'308'!OSRRefE21_12x_2</vt:lpstr>
      <vt:lpstr>'310'!OSRRefE21_12x_2</vt:lpstr>
      <vt:lpstr>'310 &amp; 491'!OSRRefE21_12x_2</vt:lpstr>
      <vt:lpstr>'311'!OSRRefE21_12x_2</vt:lpstr>
      <vt:lpstr>'315'!OSRRefE21_12x_2</vt:lpstr>
      <vt:lpstr>'317'!OSRRefE21_12x_2</vt:lpstr>
      <vt:lpstr>'321'!OSRRefE21_12x_2</vt:lpstr>
      <vt:lpstr>'325'!OSRRefE21_12x_2</vt:lpstr>
      <vt:lpstr>'326'!OSRRefE21_12x_2</vt:lpstr>
      <vt:lpstr>'330'!OSRRefE21_12x_2</vt:lpstr>
      <vt:lpstr>'331'!OSRRefE21_12x_2</vt:lpstr>
      <vt:lpstr>'405'!OSRRefE21_12x_2</vt:lpstr>
      <vt:lpstr>'411'!OSRRefE21_12x_2</vt:lpstr>
      <vt:lpstr>'412'!OSRRefE21_12x_2</vt:lpstr>
      <vt:lpstr>'414'!OSRRefE21_12x_2</vt:lpstr>
      <vt:lpstr>'415'!OSRRefE21_12x_2</vt:lpstr>
      <vt:lpstr>'418'!OSRRefE21_12x_2</vt:lpstr>
      <vt:lpstr>'433'!OSRRefE21_12x_2</vt:lpstr>
      <vt:lpstr>'444'!OSRRefE21_12x_2</vt:lpstr>
      <vt:lpstr>'450'!OSRRefE21_12x_2</vt:lpstr>
      <vt:lpstr>'491'!OSRRefE21_12x_2</vt:lpstr>
      <vt:lpstr>'492'!OSRRefE21_12x_2</vt:lpstr>
      <vt:lpstr>'501'!OSRRefE21_12x_2</vt:lpstr>
      <vt:lpstr>'Div 2'!OSRRefE21_12x_2</vt:lpstr>
      <vt:lpstr>'Div 3'!OSRRefE21_12x_2</vt:lpstr>
      <vt:lpstr>'Div 4'!OSRRefE21_12x_2</vt:lpstr>
      <vt:lpstr>'Div 5'!OSRRefE21_12x_2</vt:lpstr>
      <vt:lpstr>'Div 6'!OSRRefE21_12x_2</vt:lpstr>
      <vt:lpstr>Summary!OSRRefE21_12x_2</vt:lpstr>
      <vt:lpstr>'201'!OSRRefE21_12x_3</vt:lpstr>
      <vt:lpstr>'202'!OSRRefE21_12x_3</vt:lpstr>
      <vt:lpstr>'203'!OSRRefE21_12x_3</vt:lpstr>
      <vt:lpstr>'300'!OSRRefE21_12x_3</vt:lpstr>
      <vt:lpstr>'300 &amp; 317'!OSRRefE21_12x_3</vt:lpstr>
      <vt:lpstr>'301'!OSRRefE21_12x_3</vt:lpstr>
      <vt:lpstr>'307'!OSRRefE21_12x_3</vt:lpstr>
      <vt:lpstr>'308'!OSRRefE21_12x_3</vt:lpstr>
      <vt:lpstr>'310'!OSRRefE21_12x_3</vt:lpstr>
      <vt:lpstr>'310 &amp; 491'!OSRRefE21_12x_3</vt:lpstr>
      <vt:lpstr>'311'!OSRRefE21_12x_3</vt:lpstr>
      <vt:lpstr>'315'!OSRRefE21_12x_3</vt:lpstr>
      <vt:lpstr>'317'!OSRRefE21_12x_3</vt:lpstr>
      <vt:lpstr>'321'!OSRRefE21_12x_3</vt:lpstr>
      <vt:lpstr>'325'!OSRRefE21_12x_3</vt:lpstr>
      <vt:lpstr>'326'!OSRRefE21_12x_3</vt:lpstr>
      <vt:lpstr>'330'!OSRRefE21_12x_3</vt:lpstr>
      <vt:lpstr>'331'!OSRRefE21_12x_3</vt:lpstr>
      <vt:lpstr>'405'!OSRRefE21_12x_3</vt:lpstr>
      <vt:lpstr>'411'!OSRRefE21_12x_3</vt:lpstr>
      <vt:lpstr>'412'!OSRRefE21_12x_3</vt:lpstr>
      <vt:lpstr>'414'!OSRRefE21_12x_3</vt:lpstr>
      <vt:lpstr>'415'!OSRRefE21_12x_3</vt:lpstr>
      <vt:lpstr>'418'!OSRRefE21_12x_3</vt:lpstr>
      <vt:lpstr>'433'!OSRRefE21_12x_3</vt:lpstr>
      <vt:lpstr>'444'!OSRRefE21_12x_3</vt:lpstr>
      <vt:lpstr>'450'!OSRRefE21_12x_3</vt:lpstr>
      <vt:lpstr>'491'!OSRRefE21_12x_3</vt:lpstr>
      <vt:lpstr>'492'!OSRRefE21_12x_3</vt:lpstr>
      <vt:lpstr>'501'!OSRRefE21_12x_3</vt:lpstr>
      <vt:lpstr>'Div 2'!OSRRefE21_12x_3</vt:lpstr>
      <vt:lpstr>'Div 3'!OSRRefE21_12x_3</vt:lpstr>
      <vt:lpstr>'Div 4'!OSRRefE21_12x_3</vt:lpstr>
      <vt:lpstr>'Div 5'!OSRRefE21_12x_3</vt:lpstr>
      <vt:lpstr>'Div 6'!OSRRefE21_12x_3</vt:lpstr>
      <vt:lpstr>Summary!OSRRefE21_12x_3</vt:lpstr>
      <vt:lpstr>'201'!OSRRefE21_12x_4</vt:lpstr>
      <vt:lpstr>'202'!OSRRefE21_12x_4</vt:lpstr>
      <vt:lpstr>'203'!OSRRefE21_12x_4</vt:lpstr>
      <vt:lpstr>'300'!OSRRefE21_12x_4</vt:lpstr>
      <vt:lpstr>'300 &amp; 317'!OSRRefE21_12x_4</vt:lpstr>
      <vt:lpstr>'301'!OSRRefE21_12x_4</vt:lpstr>
      <vt:lpstr>'307'!OSRRefE21_12x_4</vt:lpstr>
      <vt:lpstr>'308'!OSRRefE21_12x_4</vt:lpstr>
      <vt:lpstr>'310'!OSRRefE21_12x_4</vt:lpstr>
      <vt:lpstr>'310 &amp; 491'!OSRRefE21_12x_4</vt:lpstr>
      <vt:lpstr>'311'!OSRRefE21_12x_4</vt:lpstr>
      <vt:lpstr>'315'!OSRRefE21_12x_4</vt:lpstr>
      <vt:lpstr>'317'!OSRRefE21_12x_4</vt:lpstr>
      <vt:lpstr>'321'!OSRRefE21_12x_4</vt:lpstr>
      <vt:lpstr>'325'!OSRRefE21_12x_4</vt:lpstr>
      <vt:lpstr>'326'!OSRRefE21_12x_4</vt:lpstr>
      <vt:lpstr>'330'!OSRRefE21_12x_4</vt:lpstr>
      <vt:lpstr>'331'!OSRRefE21_12x_4</vt:lpstr>
      <vt:lpstr>'405'!OSRRefE21_12x_4</vt:lpstr>
      <vt:lpstr>'411'!OSRRefE21_12x_4</vt:lpstr>
      <vt:lpstr>'412'!OSRRefE21_12x_4</vt:lpstr>
      <vt:lpstr>'414'!OSRRefE21_12x_4</vt:lpstr>
      <vt:lpstr>'415'!OSRRefE21_12x_4</vt:lpstr>
      <vt:lpstr>'418'!OSRRefE21_12x_4</vt:lpstr>
      <vt:lpstr>'433'!OSRRefE21_12x_4</vt:lpstr>
      <vt:lpstr>'444'!OSRRefE21_12x_4</vt:lpstr>
      <vt:lpstr>'450'!OSRRefE21_12x_4</vt:lpstr>
      <vt:lpstr>'491'!OSRRefE21_12x_4</vt:lpstr>
      <vt:lpstr>'492'!OSRRefE21_12x_4</vt:lpstr>
      <vt:lpstr>'501'!OSRRefE21_12x_4</vt:lpstr>
      <vt:lpstr>'Div 2'!OSRRefE21_12x_4</vt:lpstr>
      <vt:lpstr>'Div 3'!OSRRefE21_12x_4</vt:lpstr>
      <vt:lpstr>'Div 4'!OSRRefE21_12x_4</vt:lpstr>
      <vt:lpstr>'Div 5'!OSRRefE21_12x_4</vt:lpstr>
      <vt:lpstr>'Div 6'!OSRRefE21_12x_4</vt:lpstr>
      <vt:lpstr>Summary!OSRRefE21_12x_4</vt:lpstr>
      <vt:lpstr>'201'!OSRRefE21_12x_5</vt:lpstr>
      <vt:lpstr>'202'!OSRRefE21_12x_5</vt:lpstr>
      <vt:lpstr>'203'!OSRRefE21_12x_5</vt:lpstr>
      <vt:lpstr>'300'!OSRRefE21_12x_5</vt:lpstr>
      <vt:lpstr>'300 &amp; 317'!OSRRefE21_12x_5</vt:lpstr>
      <vt:lpstr>'301'!OSRRefE21_12x_5</vt:lpstr>
      <vt:lpstr>'307'!OSRRefE21_12x_5</vt:lpstr>
      <vt:lpstr>'308'!OSRRefE21_12x_5</vt:lpstr>
      <vt:lpstr>'310'!OSRRefE21_12x_5</vt:lpstr>
      <vt:lpstr>'310 &amp; 491'!OSRRefE21_12x_5</vt:lpstr>
      <vt:lpstr>'311'!OSRRefE21_12x_5</vt:lpstr>
      <vt:lpstr>'315'!OSRRefE21_12x_5</vt:lpstr>
      <vt:lpstr>'317'!OSRRefE21_12x_5</vt:lpstr>
      <vt:lpstr>'321'!OSRRefE21_12x_5</vt:lpstr>
      <vt:lpstr>'325'!OSRRefE21_12x_5</vt:lpstr>
      <vt:lpstr>'326'!OSRRefE21_12x_5</vt:lpstr>
      <vt:lpstr>'330'!OSRRefE21_12x_5</vt:lpstr>
      <vt:lpstr>'331'!OSRRefE21_12x_5</vt:lpstr>
      <vt:lpstr>'405'!OSRRefE21_12x_5</vt:lpstr>
      <vt:lpstr>'411'!OSRRefE21_12x_5</vt:lpstr>
      <vt:lpstr>'412'!OSRRefE21_12x_5</vt:lpstr>
      <vt:lpstr>'414'!OSRRefE21_12x_5</vt:lpstr>
      <vt:lpstr>'415'!OSRRefE21_12x_5</vt:lpstr>
      <vt:lpstr>'418'!OSRRefE21_12x_5</vt:lpstr>
      <vt:lpstr>'433'!OSRRefE21_12x_5</vt:lpstr>
      <vt:lpstr>'444'!OSRRefE21_12x_5</vt:lpstr>
      <vt:lpstr>'450'!OSRRefE21_12x_5</vt:lpstr>
      <vt:lpstr>'491'!OSRRefE21_12x_5</vt:lpstr>
      <vt:lpstr>'492'!OSRRefE21_12x_5</vt:lpstr>
      <vt:lpstr>'501'!OSRRefE21_12x_5</vt:lpstr>
      <vt:lpstr>'Div 2'!OSRRefE21_12x_5</vt:lpstr>
      <vt:lpstr>'Div 3'!OSRRefE21_12x_5</vt:lpstr>
      <vt:lpstr>'Div 4'!OSRRefE21_12x_5</vt:lpstr>
      <vt:lpstr>'Div 5'!OSRRefE21_12x_5</vt:lpstr>
      <vt:lpstr>'Div 6'!OSRRefE21_12x_5</vt:lpstr>
      <vt:lpstr>Summary!OSRRefE21_12x_5</vt:lpstr>
      <vt:lpstr>'201'!OSRRefE21_12x_6</vt:lpstr>
      <vt:lpstr>'202'!OSRRefE21_12x_6</vt:lpstr>
      <vt:lpstr>'203'!OSRRefE21_12x_6</vt:lpstr>
      <vt:lpstr>'300'!OSRRefE21_12x_6</vt:lpstr>
      <vt:lpstr>'300 &amp; 317'!OSRRefE21_12x_6</vt:lpstr>
      <vt:lpstr>'301'!OSRRefE21_12x_6</vt:lpstr>
      <vt:lpstr>'307'!OSRRefE21_12x_6</vt:lpstr>
      <vt:lpstr>'308'!OSRRefE21_12x_6</vt:lpstr>
      <vt:lpstr>'310'!OSRRefE21_12x_6</vt:lpstr>
      <vt:lpstr>'310 &amp; 491'!OSRRefE21_12x_6</vt:lpstr>
      <vt:lpstr>'311'!OSRRefE21_12x_6</vt:lpstr>
      <vt:lpstr>'315'!OSRRefE21_12x_6</vt:lpstr>
      <vt:lpstr>'317'!OSRRefE21_12x_6</vt:lpstr>
      <vt:lpstr>'321'!OSRRefE21_12x_6</vt:lpstr>
      <vt:lpstr>'325'!OSRRefE21_12x_6</vt:lpstr>
      <vt:lpstr>'326'!OSRRefE21_12x_6</vt:lpstr>
      <vt:lpstr>'330'!OSRRefE21_12x_6</vt:lpstr>
      <vt:lpstr>'331'!OSRRefE21_12x_6</vt:lpstr>
      <vt:lpstr>'405'!OSRRefE21_12x_6</vt:lpstr>
      <vt:lpstr>'411'!OSRRefE21_12x_6</vt:lpstr>
      <vt:lpstr>'412'!OSRRefE21_12x_6</vt:lpstr>
      <vt:lpstr>'414'!OSRRefE21_12x_6</vt:lpstr>
      <vt:lpstr>'415'!OSRRefE21_12x_6</vt:lpstr>
      <vt:lpstr>'418'!OSRRefE21_12x_6</vt:lpstr>
      <vt:lpstr>'433'!OSRRefE21_12x_6</vt:lpstr>
      <vt:lpstr>'444'!OSRRefE21_12x_6</vt:lpstr>
      <vt:lpstr>'450'!OSRRefE21_12x_6</vt:lpstr>
      <vt:lpstr>'491'!OSRRefE21_12x_6</vt:lpstr>
      <vt:lpstr>'492'!OSRRefE21_12x_6</vt:lpstr>
      <vt:lpstr>'501'!OSRRefE21_12x_6</vt:lpstr>
      <vt:lpstr>'Div 2'!OSRRefE21_12x_6</vt:lpstr>
      <vt:lpstr>'Div 3'!OSRRefE21_12x_6</vt:lpstr>
      <vt:lpstr>'Div 4'!OSRRefE21_12x_6</vt:lpstr>
      <vt:lpstr>'Div 5'!OSRRefE21_12x_6</vt:lpstr>
      <vt:lpstr>'Div 6'!OSRRefE21_12x_6</vt:lpstr>
      <vt:lpstr>Summary!OSRRefE21_12x_6</vt:lpstr>
      <vt:lpstr>'201'!OSRRefE21_12x_7</vt:lpstr>
      <vt:lpstr>'202'!OSRRefE21_12x_7</vt:lpstr>
      <vt:lpstr>'203'!OSRRefE21_12x_7</vt:lpstr>
      <vt:lpstr>'300'!OSRRefE21_12x_7</vt:lpstr>
      <vt:lpstr>'300 &amp; 317'!OSRRefE21_12x_7</vt:lpstr>
      <vt:lpstr>'301'!OSRRefE21_12x_7</vt:lpstr>
      <vt:lpstr>'307'!OSRRefE21_12x_7</vt:lpstr>
      <vt:lpstr>'308'!OSRRefE21_12x_7</vt:lpstr>
      <vt:lpstr>'310'!OSRRefE21_12x_7</vt:lpstr>
      <vt:lpstr>'310 &amp; 491'!OSRRefE21_12x_7</vt:lpstr>
      <vt:lpstr>'311'!OSRRefE21_12x_7</vt:lpstr>
      <vt:lpstr>'315'!OSRRefE21_12x_7</vt:lpstr>
      <vt:lpstr>'317'!OSRRefE21_12x_7</vt:lpstr>
      <vt:lpstr>'321'!OSRRefE21_12x_7</vt:lpstr>
      <vt:lpstr>'325'!OSRRefE21_12x_7</vt:lpstr>
      <vt:lpstr>'326'!OSRRefE21_12x_7</vt:lpstr>
      <vt:lpstr>'330'!OSRRefE21_12x_7</vt:lpstr>
      <vt:lpstr>'331'!OSRRefE21_12x_7</vt:lpstr>
      <vt:lpstr>'405'!OSRRefE21_12x_7</vt:lpstr>
      <vt:lpstr>'411'!OSRRefE21_12x_7</vt:lpstr>
      <vt:lpstr>'412'!OSRRefE21_12x_7</vt:lpstr>
      <vt:lpstr>'414'!OSRRefE21_12x_7</vt:lpstr>
      <vt:lpstr>'415'!OSRRefE21_12x_7</vt:lpstr>
      <vt:lpstr>'418'!OSRRefE21_12x_7</vt:lpstr>
      <vt:lpstr>'433'!OSRRefE21_12x_7</vt:lpstr>
      <vt:lpstr>'444'!OSRRefE21_12x_7</vt:lpstr>
      <vt:lpstr>'450'!OSRRefE21_12x_7</vt:lpstr>
      <vt:lpstr>'491'!OSRRefE21_12x_7</vt:lpstr>
      <vt:lpstr>'492'!OSRRefE21_12x_7</vt:lpstr>
      <vt:lpstr>'501'!OSRRefE21_12x_7</vt:lpstr>
      <vt:lpstr>'Div 2'!OSRRefE21_12x_7</vt:lpstr>
      <vt:lpstr>'Div 3'!OSRRefE21_12x_7</vt:lpstr>
      <vt:lpstr>'Div 4'!OSRRefE21_12x_7</vt:lpstr>
      <vt:lpstr>'Div 5'!OSRRefE21_12x_7</vt:lpstr>
      <vt:lpstr>'Div 6'!OSRRefE21_12x_7</vt:lpstr>
      <vt:lpstr>Summary!OSRRefE21_12x_7</vt:lpstr>
      <vt:lpstr>'201'!OSRRefE21_13_0x</vt:lpstr>
      <vt:lpstr>'203'!OSRRefE21_13_0x</vt:lpstr>
      <vt:lpstr>'300'!OSRRefE21_13_0x</vt:lpstr>
      <vt:lpstr>'300 &amp; 317'!OSRRefE21_13_0x</vt:lpstr>
      <vt:lpstr>'301'!OSRRefE21_13_0x</vt:lpstr>
      <vt:lpstr>'308'!OSRRefE21_13_0x</vt:lpstr>
      <vt:lpstr>'310'!OSRRefE21_13_0x</vt:lpstr>
      <vt:lpstr>'310 &amp; 491'!OSRRefE21_13_0x</vt:lpstr>
      <vt:lpstr>'311'!OSRRefE21_13_0x</vt:lpstr>
      <vt:lpstr>'315'!OSRRefE21_13_0x</vt:lpstr>
      <vt:lpstr>'325'!OSRRefE21_13_0x</vt:lpstr>
      <vt:lpstr>'326'!OSRRefE21_13_0x</vt:lpstr>
      <vt:lpstr>'331'!OSRRefE21_13_0x</vt:lpstr>
      <vt:lpstr>'405'!OSRRefE21_13_0x</vt:lpstr>
      <vt:lpstr>'411'!OSRRefE21_13_0x</vt:lpstr>
      <vt:lpstr>'412'!OSRRefE21_13_0x</vt:lpstr>
      <vt:lpstr>'414'!OSRRefE21_13_0x</vt:lpstr>
      <vt:lpstr>'415'!OSRRefE21_13_0x</vt:lpstr>
      <vt:lpstr>'418'!OSRRefE21_13_0x</vt:lpstr>
      <vt:lpstr>'433'!OSRRefE21_13_0x</vt:lpstr>
      <vt:lpstr>'444'!OSRRefE21_13_0x</vt:lpstr>
      <vt:lpstr>'450'!OSRRefE21_13_0x</vt:lpstr>
      <vt:lpstr>'491'!OSRRefE21_13_0x</vt:lpstr>
      <vt:lpstr>'492'!OSRRefE21_13_0x</vt:lpstr>
      <vt:lpstr>'501'!OSRRefE21_13_0x</vt:lpstr>
      <vt:lpstr>'Div 2'!OSRRefE21_13_0x</vt:lpstr>
      <vt:lpstr>'Div 3'!OSRRefE21_13_0x</vt:lpstr>
      <vt:lpstr>'Div 4'!OSRRefE21_13_0x</vt:lpstr>
      <vt:lpstr>'Div 5'!OSRRefE21_13_0x</vt:lpstr>
      <vt:lpstr>Summary!OSRRefE21_13_0x</vt:lpstr>
      <vt:lpstr>'201'!OSRRefE21_13_1x</vt:lpstr>
      <vt:lpstr>'301'!OSRRefE21_13_1x</vt:lpstr>
      <vt:lpstr>'310'!OSRRefE21_13_1x</vt:lpstr>
      <vt:lpstr>'315'!OSRRefE21_13_1x</vt:lpstr>
      <vt:lpstr>'325'!OSRRefE21_13_1x</vt:lpstr>
      <vt:lpstr>'326'!OSRRefE21_13_1x</vt:lpstr>
      <vt:lpstr>'331'!OSRRefE21_13_1x</vt:lpstr>
      <vt:lpstr>'405'!OSRRefE21_13_1x</vt:lpstr>
      <vt:lpstr>'433'!OSRRefE21_13_1x</vt:lpstr>
      <vt:lpstr>'444'!OSRRefE21_13_1x</vt:lpstr>
      <vt:lpstr>'450'!OSRRefE21_13_1x</vt:lpstr>
      <vt:lpstr>'492'!OSRRefE21_13_1x</vt:lpstr>
      <vt:lpstr>'Div 2'!OSRRefE21_13_1x</vt:lpstr>
      <vt:lpstr>'201'!OSRRefE21_13_2x</vt:lpstr>
      <vt:lpstr>'301'!OSRRefE21_13_2x</vt:lpstr>
      <vt:lpstr>'326'!OSRRefE21_13_2x</vt:lpstr>
      <vt:lpstr>'405'!OSRRefE21_13_2x</vt:lpstr>
      <vt:lpstr>'433'!OSRRefE21_13_2x</vt:lpstr>
      <vt:lpstr>'444'!OSRRefE21_13_2x</vt:lpstr>
      <vt:lpstr>'450'!OSRRefE21_13_2x</vt:lpstr>
      <vt:lpstr>'492'!OSRRefE21_13_2x</vt:lpstr>
      <vt:lpstr>'Div 2'!OSRRefE21_13_2x</vt:lpstr>
      <vt:lpstr>'301'!OSRRefE21_13_3x</vt:lpstr>
      <vt:lpstr>'405'!OSRRefE21_13_3x</vt:lpstr>
      <vt:lpstr>'433'!OSRRefE21_13_3x</vt:lpstr>
      <vt:lpstr>'444'!OSRRefE21_13_3x</vt:lpstr>
      <vt:lpstr>'492'!OSRRefE21_13_3x</vt:lpstr>
      <vt:lpstr>'Div 2'!OSRRefE21_13_3x</vt:lpstr>
      <vt:lpstr>'405'!OSRRefE21_13_4x</vt:lpstr>
      <vt:lpstr>'433'!OSRRefE21_13_4x</vt:lpstr>
      <vt:lpstr>'444'!OSRRefE21_13_4x</vt:lpstr>
      <vt:lpstr>'405'!OSRRefE21_13_5x</vt:lpstr>
      <vt:lpstr>'433'!OSRRefE21_13_5x</vt:lpstr>
      <vt:lpstr>'444'!OSRRefE21_13_5x</vt:lpstr>
      <vt:lpstr>'405'!OSRRefE21_13_6x</vt:lpstr>
      <vt:lpstr>'433'!OSRRefE21_13_6x</vt:lpstr>
      <vt:lpstr>'444'!OSRRefE21_13_6x</vt:lpstr>
      <vt:lpstr>'405'!OSRRefE21_13_7x</vt:lpstr>
      <vt:lpstr>'433'!OSRRefE21_13_7x</vt:lpstr>
      <vt:lpstr>'444'!OSRRefE21_13_7x</vt:lpstr>
      <vt:lpstr>'201'!OSRRefE21_13x_0</vt:lpstr>
      <vt:lpstr>'203'!OSRRefE21_13x_0</vt:lpstr>
      <vt:lpstr>'300'!OSRRefE21_13x_0</vt:lpstr>
      <vt:lpstr>'300 &amp; 317'!OSRRefE21_13x_0</vt:lpstr>
      <vt:lpstr>'301'!OSRRefE21_13x_0</vt:lpstr>
      <vt:lpstr>'308'!OSRRefE21_13x_0</vt:lpstr>
      <vt:lpstr>'310'!OSRRefE21_13x_0</vt:lpstr>
      <vt:lpstr>'310 &amp; 491'!OSRRefE21_13x_0</vt:lpstr>
      <vt:lpstr>'311'!OSRRefE21_13x_0</vt:lpstr>
      <vt:lpstr>'315'!OSRRefE21_13x_0</vt:lpstr>
      <vt:lpstr>'325'!OSRRefE21_13x_0</vt:lpstr>
      <vt:lpstr>'326'!OSRRefE21_13x_0</vt:lpstr>
      <vt:lpstr>'331'!OSRRefE21_13x_0</vt:lpstr>
      <vt:lpstr>'405'!OSRRefE21_13x_0</vt:lpstr>
      <vt:lpstr>'411'!OSRRefE21_13x_0</vt:lpstr>
      <vt:lpstr>'412'!OSRRefE21_13x_0</vt:lpstr>
      <vt:lpstr>'414'!OSRRefE21_13x_0</vt:lpstr>
      <vt:lpstr>'415'!OSRRefE21_13x_0</vt:lpstr>
      <vt:lpstr>'418'!OSRRefE21_13x_0</vt:lpstr>
      <vt:lpstr>'433'!OSRRefE21_13x_0</vt:lpstr>
      <vt:lpstr>'444'!OSRRefE21_13x_0</vt:lpstr>
      <vt:lpstr>'450'!OSRRefE21_13x_0</vt:lpstr>
      <vt:lpstr>'491'!OSRRefE21_13x_0</vt:lpstr>
      <vt:lpstr>'492'!OSRRefE21_13x_0</vt:lpstr>
      <vt:lpstr>'501'!OSRRefE21_13x_0</vt:lpstr>
      <vt:lpstr>'Div 2'!OSRRefE21_13x_0</vt:lpstr>
      <vt:lpstr>'Div 3'!OSRRefE21_13x_0</vt:lpstr>
      <vt:lpstr>'Div 4'!OSRRefE21_13x_0</vt:lpstr>
      <vt:lpstr>'Div 5'!OSRRefE21_13x_0</vt:lpstr>
      <vt:lpstr>Summary!OSRRefE21_13x_0</vt:lpstr>
      <vt:lpstr>'201'!OSRRefE21_13x_1</vt:lpstr>
      <vt:lpstr>'203'!OSRRefE21_13x_1</vt:lpstr>
      <vt:lpstr>'300'!OSRRefE21_13x_1</vt:lpstr>
      <vt:lpstr>'300 &amp; 317'!OSRRefE21_13x_1</vt:lpstr>
      <vt:lpstr>'301'!OSRRefE21_13x_1</vt:lpstr>
      <vt:lpstr>'308'!OSRRefE21_13x_1</vt:lpstr>
      <vt:lpstr>'310'!OSRRefE21_13x_1</vt:lpstr>
      <vt:lpstr>'310 &amp; 491'!OSRRefE21_13x_1</vt:lpstr>
      <vt:lpstr>'311'!OSRRefE21_13x_1</vt:lpstr>
      <vt:lpstr>'315'!OSRRefE21_13x_1</vt:lpstr>
      <vt:lpstr>'325'!OSRRefE21_13x_1</vt:lpstr>
      <vt:lpstr>'326'!OSRRefE21_13x_1</vt:lpstr>
      <vt:lpstr>'331'!OSRRefE21_13x_1</vt:lpstr>
      <vt:lpstr>'405'!OSRRefE21_13x_1</vt:lpstr>
      <vt:lpstr>'411'!OSRRefE21_13x_1</vt:lpstr>
      <vt:lpstr>'412'!OSRRefE21_13x_1</vt:lpstr>
      <vt:lpstr>'414'!OSRRefE21_13x_1</vt:lpstr>
      <vt:lpstr>'415'!OSRRefE21_13x_1</vt:lpstr>
      <vt:lpstr>'418'!OSRRefE21_13x_1</vt:lpstr>
      <vt:lpstr>'433'!OSRRefE21_13x_1</vt:lpstr>
      <vt:lpstr>'444'!OSRRefE21_13x_1</vt:lpstr>
      <vt:lpstr>'450'!OSRRefE21_13x_1</vt:lpstr>
      <vt:lpstr>'491'!OSRRefE21_13x_1</vt:lpstr>
      <vt:lpstr>'492'!OSRRefE21_13x_1</vt:lpstr>
      <vt:lpstr>'501'!OSRRefE21_13x_1</vt:lpstr>
      <vt:lpstr>'Div 2'!OSRRefE21_13x_1</vt:lpstr>
      <vt:lpstr>'Div 3'!OSRRefE21_13x_1</vt:lpstr>
      <vt:lpstr>'Div 4'!OSRRefE21_13x_1</vt:lpstr>
      <vt:lpstr>'Div 5'!OSRRefE21_13x_1</vt:lpstr>
      <vt:lpstr>Summary!OSRRefE21_13x_1</vt:lpstr>
      <vt:lpstr>'201'!OSRRefE21_13x_2</vt:lpstr>
      <vt:lpstr>'203'!OSRRefE21_13x_2</vt:lpstr>
      <vt:lpstr>'300'!OSRRefE21_13x_2</vt:lpstr>
      <vt:lpstr>'300 &amp; 317'!OSRRefE21_13x_2</vt:lpstr>
      <vt:lpstr>'301'!OSRRefE21_13x_2</vt:lpstr>
      <vt:lpstr>'308'!OSRRefE21_13x_2</vt:lpstr>
      <vt:lpstr>'310'!OSRRefE21_13x_2</vt:lpstr>
      <vt:lpstr>'310 &amp; 491'!OSRRefE21_13x_2</vt:lpstr>
      <vt:lpstr>'311'!OSRRefE21_13x_2</vt:lpstr>
      <vt:lpstr>'315'!OSRRefE21_13x_2</vt:lpstr>
      <vt:lpstr>'325'!OSRRefE21_13x_2</vt:lpstr>
      <vt:lpstr>'326'!OSRRefE21_13x_2</vt:lpstr>
      <vt:lpstr>'331'!OSRRefE21_13x_2</vt:lpstr>
      <vt:lpstr>'405'!OSRRefE21_13x_2</vt:lpstr>
      <vt:lpstr>'411'!OSRRefE21_13x_2</vt:lpstr>
      <vt:lpstr>'412'!OSRRefE21_13x_2</vt:lpstr>
      <vt:lpstr>'414'!OSRRefE21_13x_2</vt:lpstr>
      <vt:lpstr>'415'!OSRRefE21_13x_2</vt:lpstr>
      <vt:lpstr>'418'!OSRRefE21_13x_2</vt:lpstr>
      <vt:lpstr>'433'!OSRRefE21_13x_2</vt:lpstr>
      <vt:lpstr>'444'!OSRRefE21_13x_2</vt:lpstr>
      <vt:lpstr>'450'!OSRRefE21_13x_2</vt:lpstr>
      <vt:lpstr>'491'!OSRRefE21_13x_2</vt:lpstr>
      <vt:lpstr>'492'!OSRRefE21_13x_2</vt:lpstr>
      <vt:lpstr>'501'!OSRRefE21_13x_2</vt:lpstr>
      <vt:lpstr>'Div 2'!OSRRefE21_13x_2</vt:lpstr>
      <vt:lpstr>'Div 3'!OSRRefE21_13x_2</vt:lpstr>
      <vt:lpstr>'Div 4'!OSRRefE21_13x_2</vt:lpstr>
      <vt:lpstr>'Div 5'!OSRRefE21_13x_2</vt:lpstr>
      <vt:lpstr>Summary!OSRRefE21_13x_2</vt:lpstr>
      <vt:lpstr>'201'!OSRRefE21_13x_3</vt:lpstr>
      <vt:lpstr>'203'!OSRRefE21_13x_3</vt:lpstr>
      <vt:lpstr>'300'!OSRRefE21_13x_3</vt:lpstr>
      <vt:lpstr>'300 &amp; 317'!OSRRefE21_13x_3</vt:lpstr>
      <vt:lpstr>'301'!OSRRefE21_13x_3</vt:lpstr>
      <vt:lpstr>'308'!OSRRefE21_13x_3</vt:lpstr>
      <vt:lpstr>'310'!OSRRefE21_13x_3</vt:lpstr>
      <vt:lpstr>'310 &amp; 491'!OSRRefE21_13x_3</vt:lpstr>
      <vt:lpstr>'311'!OSRRefE21_13x_3</vt:lpstr>
      <vt:lpstr>'315'!OSRRefE21_13x_3</vt:lpstr>
      <vt:lpstr>'325'!OSRRefE21_13x_3</vt:lpstr>
      <vt:lpstr>'326'!OSRRefE21_13x_3</vt:lpstr>
      <vt:lpstr>'331'!OSRRefE21_13x_3</vt:lpstr>
      <vt:lpstr>'405'!OSRRefE21_13x_3</vt:lpstr>
      <vt:lpstr>'411'!OSRRefE21_13x_3</vt:lpstr>
      <vt:lpstr>'412'!OSRRefE21_13x_3</vt:lpstr>
      <vt:lpstr>'414'!OSRRefE21_13x_3</vt:lpstr>
      <vt:lpstr>'415'!OSRRefE21_13x_3</vt:lpstr>
      <vt:lpstr>'418'!OSRRefE21_13x_3</vt:lpstr>
      <vt:lpstr>'433'!OSRRefE21_13x_3</vt:lpstr>
      <vt:lpstr>'444'!OSRRefE21_13x_3</vt:lpstr>
      <vt:lpstr>'450'!OSRRefE21_13x_3</vt:lpstr>
      <vt:lpstr>'491'!OSRRefE21_13x_3</vt:lpstr>
      <vt:lpstr>'492'!OSRRefE21_13x_3</vt:lpstr>
      <vt:lpstr>'501'!OSRRefE21_13x_3</vt:lpstr>
      <vt:lpstr>'Div 2'!OSRRefE21_13x_3</vt:lpstr>
      <vt:lpstr>'Div 3'!OSRRefE21_13x_3</vt:lpstr>
      <vt:lpstr>'Div 4'!OSRRefE21_13x_3</vt:lpstr>
      <vt:lpstr>'Div 5'!OSRRefE21_13x_3</vt:lpstr>
      <vt:lpstr>Summary!OSRRefE21_13x_3</vt:lpstr>
      <vt:lpstr>'201'!OSRRefE21_13x_4</vt:lpstr>
      <vt:lpstr>'203'!OSRRefE21_13x_4</vt:lpstr>
      <vt:lpstr>'300'!OSRRefE21_13x_4</vt:lpstr>
      <vt:lpstr>'300 &amp; 317'!OSRRefE21_13x_4</vt:lpstr>
      <vt:lpstr>'301'!OSRRefE21_13x_4</vt:lpstr>
      <vt:lpstr>'308'!OSRRefE21_13x_4</vt:lpstr>
      <vt:lpstr>'310'!OSRRefE21_13x_4</vt:lpstr>
      <vt:lpstr>'310 &amp; 491'!OSRRefE21_13x_4</vt:lpstr>
      <vt:lpstr>'311'!OSRRefE21_13x_4</vt:lpstr>
      <vt:lpstr>'315'!OSRRefE21_13x_4</vt:lpstr>
      <vt:lpstr>'325'!OSRRefE21_13x_4</vt:lpstr>
      <vt:lpstr>'326'!OSRRefE21_13x_4</vt:lpstr>
      <vt:lpstr>'331'!OSRRefE21_13x_4</vt:lpstr>
      <vt:lpstr>'405'!OSRRefE21_13x_4</vt:lpstr>
      <vt:lpstr>'411'!OSRRefE21_13x_4</vt:lpstr>
      <vt:lpstr>'412'!OSRRefE21_13x_4</vt:lpstr>
      <vt:lpstr>'414'!OSRRefE21_13x_4</vt:lpstr>
      <vt:lpstr>'415'!OSRRefE21_13x_4</vt:lpstr>
      <vt:lpstr>'418'!OSRRefE21_13x_4</vt:lpstr>
      <vt:lpstr>'433'!OSRRefE21_13x_4</vt:lpstr>
      <vt:lpstr>'444'!OSRRefE21_13x_4</vt:lpstr>
      <vt:lpstr>'450'!OSRRefE21_13x_4</vt:lpstr>
      <vt:lpstr>'491'!OSRRefE21_13x_4</vt:lpstr>
      <vt:lpstr>'492'!OSRRefE21_13x_4</vt:lpstr>
      <vt:lpstr>'501'!OSRRefE21_13x_4</vt:lpstr>
      <vt:lpstr>'Div 2'!OSRRefE21_13x_4</vt:lpstr>
      <vt:lpstr>'Div 3'!OSRRefE21_13x_4</vt:lpstr>
      <vt:lpstr>'Div 4'!OSRRefE21_13x_4</vt:lpstr>
      <vt:lpstr>'Div 5'!OSRRefE21_13x_4</vt:lpstr>
      <vt:lpstr>Summary!OSRRefE21_13x_4</vt:lpstr>
      <vt:lpstr>'201'!OSRRefE21_13x_5</vt:lpstr>
      <vt:lpstr>'203'!OSRRefE21_13x_5</vt:lpstr>
      <vt:lpstr>'300'!OSRRefE21_13x_5</vt:lpstr>
      <vt:lpstr>'300 &amp; 317'!OSRRefE21_13x_5</vt:lpstr>
      <vt:lpstr>'301'!OSRRefE21_13x_5</vt:lpstr>
      <vt:lpstr>'308'!OSRRefE21_13x_5</vt:lpstr>
      <vt:lpstr>'310'!OSRRefE21_13x_5</vt:lpstr>
      <vt:lpstr>'310 &amp; 491'!OSRRefE21_13x_5</vt:lpstr>
      <vt:lpstr>'311'!OSRRefE21_13x_5</vt:lpstr>
      <vt:lpstr>'315'!OSRRefE21_13x_5</vt:lpstr>
      <vt:lpstr>'325'!OSRRefE21_13x_5</vt:lpstr>
      <vt:lpstr>'326'!OSRRefE21_13x_5</vt:lpstr>
      <vt:lpstr>'331'!OSRRefE21_13x_5</vt:lpstr>
      <vt:lpstr>'405'!OSRRefE21_13x_5</vt:lpstr>
      <vt:lpstr>'411'!OSRRefE21_13x_5</vt:lpstr>
      <vt:lpstr>'412'!OSRRefE21_13x_5</vt:lpstr>
      <vt:lpstr>'414'!OSRRefE21_13x_5</vt:lpstr>
      <vt:lpstr>'415'!OSRRefE21_13x_5</vt:lpstr>
      <vt:lpstr>'418'!OSRRefE21_13x_5</vt:lpstr>
      <vt:lpstr>'433'!OSRRefE21_13x_5</vt:lpstr>
      <vt:lpstr>'444'!OSRRefE21_13x_5</vt:lpstr>
      <vt:lpstr>'450'!OSRRefE21_13x_5</vt:lpstr>
      <vt:lpstr>'491'!OSRRefE21_13x_5</vt:lpstr>
      <vt:lpstr>'492'!OSRRefE21_13x_5</vt:lpstr>
      <vt:lpstr>'501'!OSRRefE21_13x_5</vt:lpstr>
      <vt:lpstr>'Div 2'!OSRRefE21_13x_5</vt:lpstr>
      <vt:lpstr>'Div 3'!OSRRefE21_13x_5</vt:lpstr>
      <vt:lpstr>'Div 4'!OSRRefE21_13x_5</vt:lpstr>
      <vt:lpstr>'Div 5'!OSRRefE21_13x_5</vt:lpstr>
      <vt:lpstr>Summary!OSRRefE21_13x_5</vt:lpstr>
      <vt:lpstr>'201'!OSRRefE21_13x_6</vt:lpstr>
      <vt:lpstr>'203'!OSRRefE21_13x_6</vt:lpstr>
      <vt:lpstr>'300'!OSRRefE21_13x_6</vt:lpstr>
      <vt:lpstr>'300 &amp; 317'!OSRRefE21_13x_6</vt:lpstr>
      <vt:lpstr>'301'!OSRRefE21_13x_6</vt:lpstr>
      <vt:lpstr>'308'!OSRRefE21_13x_6</vt:lpstr>
      <vt:lpstr>'310'!OSRRefE21_13x_6</vt:lpstr>
      <vt:lpstr>'310 &amp; 491'!OSRRefE21_13x_6</vt:lpstr>
      <vt:lpstr>'311'!OSRRefE21_13x_6</vt:lpstr>
      <vt:lpstr>'315'!OSRRefE21_13x_6</vt:lpstr>
      <vt:lpstr>'325'!OSRRefE21_13x_6</vt:lpstr>
      <vt:lpstr>'326'!OSRRefE21_13x_6</vt:lpstr>
      <vt:lpstr>'331'!OSRRefE21_13x_6</vt:lpstr>
      <vt:lpstr>'405'!OSRRefE21_13x_6</vt:lpstr>
      <vt:lpstr>'411'!OSRRefE21_13x_6</vt:lpstr>
      <vt:lpstr>'412'!OSRRefE21_13x_6</vt:lpstr>
      <vt:lpstr>'414'!OSRRefE21_13x_6</vt:lpstr>
      <vt:lpstr>'415'!OSRRefE21_13x_6</vt:lpstr>
      <vt:lpstr>'418'!OSRRefE21_13x_6</vt:lpstr>
      <vt:lpstr>'433'!OSRRefE21_13x_6</vt:lpstr>
      <vt:lpstr>'444'!OSRRefE21_13x_6</vt:lpstr>
      <vt:lpstr>'450'!OSRRefE21_13x_6</vt:lpstr>
      <vt:lpstr>'491'!OSRRefE21_13x_6</vt:lpstr>
      <vt:lpstr>'492'!OSRRefE21_13x_6</vt:lpstr>
      <vt:lpstr>'501'!OSRRefE21_13x_6</vt:lpstr>
      <vt:lpstr>'Div 2'!OSRRefE21_13x_6</vt:lpstr>
      <vt:lpstr>'Div 3'!OSRRefE21_13x_6</vt:lpstr>
      <vt:lpstr>'Div 4'!OSRRefE21_13x_6</vt:lpstr>
      <vt:lpstr>'Div 5'!OSRRefE21_13x_6</vt:lpstr>
      <vt:lpstr>Summary!OSRRefE21_13x_6</vt:lpstr>
      <vt:lpstr>'201'!OSRRefE21_13x_7</vt:lpstr>
      <vt:lpstr>'203'!OSRRefE21_13x_7</vt:lpstr>
      <vt:lpstr>'300'!OSRRefE21_13x_7</vt:lpstr>
      <vt:lpstr>'300 &amp; 317'!OSRRefE21_13x_7</vt:lpstr>
      <vt:lpstr>'301'!OSRRefE21_13x_7</vt:lpstr>
      <vt:lpstr>'308'!OSRRefE21_13x_7</vt:lpstr>
      <vt:lpstr>'310'!OSRRefE21_13x_7</vt:lpstr>
      <vt:lpstr>'310 &amp; 491'!OSRRefE21_13x_7</vt:lpstr>
      <vt:lpstr>'311'!OSRRefE21_13x_7</vt:lpstr>
      <vt:lpstr>'315'!OSRRefE21_13x_7</vt:lpstr>
      <vt:lpstr>'325'!OSRRefE21_13x_7</vt:lpstr>
      <vt:lpstr>'326'!OSRRefE21_13x_7</vt:lpstr>
      <vt:lpstr>'331'!OSRRefE21_13x_7</vt:lpstr>
      <vt:lpstr>'405'!OSRRefE21_13x_7</vt:lpstr>
      <vt:lpstr>'411'!OSRRefE21_13x_7</vt:lpstr>
      <vt:lpstr>'412'!OSRRefE21_13x_7</vt:lpstr>
      <vt:lpstr>'414'!OSRRefE21_13x_7</vt:lpstr>
      <vt:lpstr>'415'!OSRRefE21_13x_7</vt:lpstr>
      <vt:lpstr>'418'!OSRRefE21_13x_7</vt:lpstr>
      <vt:lpstr>'433'!OSRRefE21_13x_7</vt:lpstr>
      <vt:lpstr>'444'!OSRRefE21_13x_7</vt:lpstr>
      <vt:lpstr>'450'!OSRRefE21_13x_7</vt:lpstr>
      <vt:lpstr>'491'!OSRRefE21_13x_7</vt:lpstr>
      <vt:lpstr>'492'!OSRRefE21_13x_7</vt:lpstr>
      <vt:lpstr>'501'!OSRRefE21_13x_7</vt:lpstr>
      <vt:lpstr>'Div 2'!OSRRefE21_13x_7</vt:lpstr>
      <vt:lpstr>'Div 3'!OSRRefE21_13x_7</vt:lpstr>
      <vt:lpstr>'Div 4'!OSRRefE21_13x_7</vt:lpstr>
      <vt:lpstr>'Div 5'!OSRRefE21_13x_7</vt:lpstr>
      <vt:lpstr>Summary!OSRRefE21_13x_7</vt:lpstr>
      <vt:lpstr>'201'!OSRRefE21_14_0x</vt:lpstr>
      <vt:lpstr>'300'!OSRRefE21_14_0x</vt:lpstr>
      <vt:lpstr>'300 &amp; 317'!OSRRefE21_14_0x</vt:lpstr>
      <vt:lpstr>'301'!OSRRefE21_14_0x</vt:lpstr>
      <vt:lpstr>'308'!OSRRefE21_14_0x</vt:lpstr>
      <vt:lpstr>'310'!OSRRefE21_14_0x</vt:lpstr>
      <vt:lpstr>'310 &amp; 491'!OSRRefE21_14_0x</vt:lpstr>
      <vt:lpstr>'311'!OSRRefE21_14_0x</vt:lpstr>
      <vt:lpstr>'315'!OSRRefE21_14_0x</vt:lpstr>
      <vt:lpstr>'325'!OSRRefE21_14_0x</vt:lpstr>
      <vt:lpstr>'326'!OSRRefE21_14_0x</vt:lpstr>
      <vt:lpstr>'331'!OSRRefE21_14_0x</vt:lpstr>
      <vt:lpstr>'405'!OSRRefE21_14_0x</vt:lpstr>
      <vt:lpstr>'411'!OSRRefE21_14_0x</vt:lpstr>
      <vt:lpstr>'414'!OSRRefE21_14_0x</vt:lpstr>
      <vt:lpstr>'415'!OSRRefE21_14_0x</vt:lpstr>
      <vt:lpstr>'433'!OSRRefE21_14_0x</vt:lpstr>
      <vt:lpstr>'444'!OSRRefE21_14_0x</vt:lpstr>
      <vt:lpstr>'450'!OSRRefE21_14_0x</vt:lpstr>
      <vt:lpstr>'491'!OSRRefE21_14_0x</vt:lpstr>
      <vt:lpstr>'492'!OSRRefE21_14_0x</vt:lpstr>
      <vt:lpstr>'Div 2'!OSRRefE21_14_0x</vt:lpstr>
      <vt:lpstr>'Div 3'!OSRRefE21_14_0x</vt:lpstr>
      <vt:lpstr>'Div 4'!OSRRefE21_14_0x</vt:lpstr>
      <vt:lpstr>Summary!OSRRefE21_14_0x</vt:lpstr>
      <vt:lpstr>'301'!OSRRefE21_14_1x</vt:lpstr>
      <vt:lpstr>'310 &amp; 491'!OSRRefE21_14_1x</vt:lpstr>
      <vt:lpstr>'315'!OSRRefE21_14_1x</vt:lpstr>
      <vt:lpstr>'326'!OSRRefE21_14_1x</vt:lpstr>
      <vt:lpstr>'331'!OSRRefE21_14_1x</vt:lpstr>
      <vt:lpstr>'415'!OSRRefE21_14_1x</vt:lpstr>
      <vt:lpstr>'444'!OSRRefE21_14_1x</vt:lpstr>
      <vt:lpstr>'450'!OSRRefE21_14_1x</vt:lpstr>
      <vt:lpstr>'491'!OSRRefE21_14_1x</vt:lpstr>
      <vt:lpstr>'492'!OSRRefE21_14_1x</vt:lpstr>
      <vt:lpstr>'Div 2'!OSRRefE21_14_1x</vt:lpstr>
      <vt:lpstr>'301'!OSRRefE21_14_2x</vt:lpstr>
      <vt:lpstr>'310 &amp; 491'!OSRRefE21_14_2x</vt:lpstr>
      <vt:lpstr>'315'!OSRRefE21_14_2x</vt:lpstr>
      <vt:lpstr>'331'!OSRRefE21_14_2x</vt:lpstr>
      <vt:lpstr>'415'!OSRRefE21_14_2x</vt:lpstr>
      <vt:lpstr>'450'!OSRRefE21_14_2x</vt:lpstr>
      <vt:lpstr>'491'!OSRRefE21_14_2x</vt:lpstr>
      <vt:lpstr>'492'!OSRRefE21_14_2x</vt:lpstr>
      <vt:lpstr>'315'!OSRRefE21_14_3x</vt:lpstr>
      <vt:lpstr>'415'!OSRRefE21_14_3x</vt:lpstr>
      <vt:lpstr>'450'!OSRRefE21_14_3x</vt:lpstr>
      <vt:lpstr>'492'!OSRRefE21_14_3x</vt:lpstr>
      <vt:lpstr>'315'!OSRRefE21_14_4x</vt:lpstr>
      <vt:lpstr>'415'!OSRRefE21_14_4x</vt:lpstr>
      <vt:lpstr>'450'!OSRRefE21_14_4x</vt:lpstr>
      <vt:lpstr>'492'!OSRRefE21_14_4x</vt:lpstr>
      <vt:lpstr>'315'!OSRRefE21_14_5x</vt:lpstr>
      <vt:lpstr>'415'!OSRRefE21_14_5x</vt:lpstr>
      <vt:lpstr>'450'!OSRRefE21_14_5x</vt:lpstr>
      <vt:lpstr>'492'!OSRRefE21_14_5x</vt:lpstr>
      <vt:lpstr>'315'!OSRRefE21_14_6x</vt:lpstr>
      <vt:lpstr>'492'!OSRRefE21_14_6x</vt:lpstr>
      <vt:lpstr>'492'!OSRRefE21_14_7x</vt:lpstr>
      <vt:lpstr>'492'!OSRRefE21_14_8x</vt:lpstr>
      <vt:lpstr>'492'!OSRRefE21_14_9x</vt:lpstr>
      <vt:lpstr>'201'!OSRRefE21_14x_0</vt:lpstr>
      <vt:lpstr>'300'!OSRRefE21_14x_0</vt:lpstr>
      <vt:lpstr>'300 &amp; 317'!OSRRefE21_14x_0</vt:lpstr>
      <vt:lpstr>'301'!OSRRefE21_14x_0</vt:lpstr>
      <vt:lpstr>'308'!OSRRefE21_14x_0</vt:lpstr>
      <vt:lpstr>'310'!OSRRefE21_14x_0</vt:lpstr>
      <vt:lpstr>'310 &amp; 491'!OSRRefE21_14x_0</vt:lpstr>
      <vt:lpstr>'311'!OSRRefE21_14x_0</vt:lpstr>
      <vt:lpstr>'315'!OSRRefE21_14x_0</vt:lpstr>
      <vt:lpstr>'325'!OSRRefE21_14x_0</vt:lpstr>
      <vt:lpstr>'326'!OSRRefE21_14x_0</vt:lpstr>
      <vt:lpstr>'331'!OSRRefE21_14x_0</vt:lpstr>
      <vt:lpstr>'405'!OSRRefE21_14x_0</vt:lpstr>
      <vt:lpstr>'411'!OSRRefE21_14x_0</vt:lpstr>
      <vt:lpstr>'414'!OSRRefE21_14x_0</vt:lpstr>
      <vt:lpstr>'415'!OSRRefE21_14x_0</vt:lpstr>
      <vt:lpstr>'433'!OSRRefE21_14x_0</vt:lpstr>
      <vt:lpstr>'444'!OSRRefE21_14x_0</vt:lpstr>
      <vt:lpstr>'450'!OSRRefE21_14x_0</vt:lpstr>
      <vt:lpstr>'491'!OSRRefE21_14x_0</vt:lpstr>
      <vt:lpstr>'492'!OSRRefE21_14x_0</vt:lpstr>
      <vt:lpstr>'Div 2'!OSRRefE21_14x_0</vt:lpstr>
      <vt:lpstr>'Div 3'!OSRRefE21_14x_0</vt:lpstr>
      <vt:lpstr>'Div 4'!OSRRefE21_14x_0</vt:lpstr>
      <vt:lpstr>Summary!OSRRefE21_14x_0</vt:lpstr>
      <vt:lpstr>'201'!OSRRefE21_14x_1</vt:lpstr>
      <vt:lpstr>'300'!OSRRefE21_14x_1</vt:lpstr>
      <vt:lpstr>'300 &amp; 317'!OSRRefE21_14x_1</vt:lpstr>
      <vt:lpstr>'301'!OSRRefE21_14x_1</vt:lpstr>
      <vt:lpstr>'308'!OSRRefE21_14x_1</vt:lpstr>
      <vt:lpstr>'310'!OSRRefE21_14x_1</vt:lpstr>
      <vt:lpstr>'310 &amp; 491'!OSRRefE21_14x_1</vt:lpstr>
      <vt:lpstr>'311'!OSRRefE21_14x_1</vt:lpstr>
      <vt:lpstr>'315'!OSRRefE21_14x_1</vt:lpstr>
      <vt:lpstr>'325'!OSRRefE21_14x_1</vt:lpstr>
      <vt:lpstr>'326'!OSRRefE21_14x_1</vt:lpstr>
      <vt:lpstr>'331'!OSRRefE21_14x_1</vt:lpstr>
      <vt:lpstr>'405'!OSRRefE21_14x_1</vt:lpstr>
      <vt:lpstr>'411'!OSRRefE21_14x_1</vt:lpstr>
      <vt:lpstr>'414'!OSRRefE21_14x_1</vt:lpstr>
      <vt:lpstr>'415'!OSRRefE21_14x_1</vt:lpstr>
      <vt:lpstr>'433'!OSRRefE21_14x_1</vt:lpstr>
      <vt:lpstr>'444'!OSRRefE21_14x_1</vt:lpstr>
      <vt:lpstr>'450'!OSRRefE21_14x_1</vt:lpstr>
      <vt:lpstr>'491'!OSRRefE21_14x_1</vt:lpstr>
      <vt:lpstr>'492'!OSRRefE21_14x_1</vt:lpstr>
      <vt:lpstr>'Div 2'!OSRRefE21_14x_1</vt:lpstr>
      <vt:lpstr>'Div 3'!OSRRefE21_14x_1</vt:lpstr>
      <vt:lpstr>'Div 4'!OSRRefE21_14x_1</vt:lpstr>
      <vt:lpstr>Summary!OSRRefE21_14x_1</vt:lpstr>
      <vt:lpstr>'201'!OSRRefE21_14x_2</vt:lpstr>
      <vt:lpstr>'300'!OSRRefE21_14x_2</vt:lpstr>
      <vt:lpstr>'300 &amp; 317'!OSRRefE21_14x_2</vt:lpstr>
      <vt:lpstr>'301'!OSRRefE21_14x_2</vt:lpstr>
      <vt:lpstr>'308'!OSRRefE21_14x_2</vt:lpstr>
      <vt:lpstr>'310'!OSRRefE21_14x_2</vt:lpstr>
      <vt:lpstr>'310 &amp; 491'!OSRRefE21_14x_2</vt:lpstr>
      <vt:lpstr>'311'!OSRRefE21_14x_2</vt:lpstr>
      <vt:lpstr>'315'!OSRRefE21_14x_2</vt:lpstr>
      <vt:lpstr>'325'!OSRRefE21_14x_2</vt:lpstr>
      <vt:lpstr>'326'!OSRRefE21_14x_2</vt:lpstr>
      <vt:lpstr>'331'!OSRRefE21_14x_2</vt:lpstr>
      <vt:lpstr>'405'!OSRRefE21_14x_2</vt:lpstr>
      <vt:lpstr>'411'!OSRRefE21_14x_2</vt:lpstr>
      <vt:lpstr>'414'!OSRRefE21_14x_2</vt:lpstr>
      <vt:lpstr>'415'!OSRRefE21_14x_2</vt:lpstr>
      <vt:lpstr>'433'!OSRRefE21_14x_2</vt:lpstr>
      <vt:lpstr>'444'!OSRRefE21_14x_2</vt:lpstr>
      <vt:lpstr>'450'!OSRRefE21_14x_2</vt:lpstr>
      <vt:lpstr>'491'!OSRRefE21_14x_2</vt:lpstr>
      <vt:lpstr>'492'!OSRRefE21_14x_2</vt:lpstr>
      <vt:lpstr>'Div 2'!OSRRefE21_14x_2</vt:lpstr>
      <vt:lpstr>'Div 3'!OSRRefE21_14x_2</vt:lpstr>
      <vt:lpstr>'Div 4'!OSRRefE21_14x_2</vt:lpstr>
      <vt:lpstr>Summary!OSRRefE21_14x_2</vt:lpstr>
      <vt:lpstr>'201'!OSRRefE21_14x_3</vt:lpstr>
      <vt:lpstr>'300'!OSRRefE21_14x_3</vt:lpstr>
      <vt:lpstr>'300 &amp; 317'!OSRRefE21_14x_3</vt:lpstr>
      <vt:lpstr>'301'!OSRRefE21_14x_3</vt:lpstr>
      <vt:lpstr>'308'!OSRRefE21_14x_3</vt:lpstr>
      <vt:lpstr>'310'!OSRRefE21_14x_3</vt:lpstr>
      <vt:lpstr>'310 &amp; 491'!OSRRefE21_14x_3</vt:lpstr>
      <vt:lpstr>'311'!OSRRefE21_14x_3</vt:lpstr>
      <vt:lpstr>'315'!OSRRefE21_14x_3</vt:lpstr>
      <vt:lpstr>'325'!OSRRefE21_14x_3</vt:lpstr>
      <vt:lpstr>'326'!OSRRefE21_14x_3</vt:lpstr>
      <vt:lpstr>'331'!OSRRefE21_14x_3</vt:lpstr>
      <vt:lpstr>'405'!OSRRefE21_14x_3</vt:lpstr>
      <vt:lpstr>'411'!OSRRefE21_14x_3</vt:lpstr>
      <vt:lpstr>'414'!OSRRefE21_14x_3</vt:lpstr>
      <vt:lpstr>'415'!OSRRefE21_14x_3</vt:lpstr>
      <vt:lpstr>'433'!OSRRefE21_14x_3</vt:lpstr>
      <vt:lpstr>'444'!OSRRefE21_14x_3</vt:lpstr>
      <vt:lpstr>'450'!OSRRefE21_14x_3</vt:lpstr>
      <vt:lpstr>'491'!OSRRefE21_14x_3</vt:lpstr>
      <vt:lpstr>'492'!OSRRefE21_14x_3</vt:lpstr>
      <vt:lpstr>'Div 2'!OSRRefE21_14x_3</vt:lpstr>
      <vt:lpstr>'Div 3'!OSRRefE21_14x_3</vt:lpstr>
      <vt:lpstr>'Div 4'!OSRRefE21_14x_3</vt:lpstr>
      <vt:lpstr>Summary!OSRRefE21_14x_3</vt:lpstr>
      <vt:lpstr>'201'!OSRRefE21_14x_4</vt:lpstr>
      <vt:lpstr>'300'!OSRRefE21_14x_4</vt:lpstr>
      <vt:lpstr>'300 &amp; 317'!OSRRefE21_14x_4</vt:lpstr>
      <vt:lpstr>'301'!OSRRefE21_14x_4</vt:lpstr>
      <vt:lpstr>'308'!OSRRefE21_14x_4</vt:lpstr>
      <vt:lpstr>'310'!OSRRefE21_14x_4</vt:lpstr>
      <vt:lpstr>'310 &amp; 491'!OSRRefE21_14x_4</vt:lpstr>
      <vt:lpstr>'311'!OSRRefE21_14x_4</vt:lpstr>
      <vt:lpstr>'315'!OSRRefE21_14x_4</vt:lpstr>
      <vt:lpstr>'325'!OSRRefE21_14x_4</vt:lpstr>
      <vt:lpstr>'326'!OSRRefE21_14x_4</vt:lpstr>
      <vt:lpstr>'331'!OSRRefE21_14x_4</vt:lpstr>
      <vt:lpstr>'405'!OSRRefE21_14x_4</vt:lpstr>
      <vt:lpstr>'411'!OSRRefE21_14x_4</vt:lpstr>
      <vt:lpstr>'414'!OSRRefE21_14x_4</vt:lpstr>
      <vt:lpstr>'415'!OSRRefE21_14x_4</vt:lpstr>
      <vt:lpstr>'433'!OSRRefE21_14x_4</vt:lpstr>
      <vt:lpstr>'444'!OSRRefE21_14x_4</vt:lpstr>
      <vt:lpstr>'450'!OSRRefE21_14x_4</vt:lpstr>
      <vt:lpstr>'491'!OSRRefE21_14x_4</vt:lpstr>
      <vt:lpstr>'492'!OSRRefE21_14x_4</vt:lpstr>
      <vt:lpstr>'Div 2'!OSRRefE21_14x_4</vt:lpstr>
      <vt:lpstr>'Div 3'!OSRRefE21_14x_4</vt:lpstr>
      <vt:lpstr>'Div 4'!OSRRefE21_14x_4</vt:lpstr>
      <vt:lpstr>Summary!OSRRefE21_14x_4</vt:lpstr>
      <vt:lpstr>'201'!OSRRefE21_14x_5</vt:lpstr>
      <vt:lpstr>'300'!OSRRefE21_14x_5</vt:lpstr>
      <vt:lpstr>'300 &amp; 317'!OSRRefE21_14x_5</vt:lpstr>
      <vt:lpstr>'301'!OSRRefE21_14x_5</vt:lpstr>
      <vt:lpstr>'308'!OSRRefE21_14x_5</vt:lpstr>
      <vt:lpstr>'310'!OSRRefE21_14x_5</vt:lpstr>
      <vt:lpstr>'310 &amp; 491'!OSRRefE21_14x_5</vt:lpstr>
      <vt:lpstr>'311'!OSRRefE21_14x_5</vt:lpstr>
      <vt:lpstr>'315'!OSRRefE21_14x_5</vt:lpstr>
      <vt:lpstr>'325'!OSRRefE21_14x_5</vt:lpstr>
      <vt:lpstr>'326'!OSRRefE21_14x_5</vt:lpstr>
      <vt:lpstr>'331'!OSRRefE21_14x_5</vt:lpstr>
      <vt:lpstr>'405'!OSRRefE21_14x_5</vt:lpstr>
      <vt:lpstr>'411'!OSRRefE21_14x_5</vt:lpstr>
      <vt:lpstr>'414'!OSRRefE21_14x_5</vt:lpstr>
      <vt:lpstr>'415'!OSRRefE21_14x_5</vt:lpstr>
      <vt:lpstr>'433'!OSRRefE21_14x_5</vt:lpstr>
      <vt:lpstr>'444'!OSRRefE21_14x_5</vt:lpstr>
      <vt:lpstr>'450'!OSRRefE21_14x_5</vt:lpstr>
      <vt:lpstr>'491'!OSRRefE21_14x_5</vt:lpstr>
      <vt:lpstr>'492'!OSRRefE21_14x_5</vt:lpstr>
      <vt:lpstr>'Div 2'!OSRRefE21_14x_5</vt:lpstr>
      <vt:lpstr>'Div 3'!OSRRefE21_14x_5</vt:lpstr>
      <vt:lpstr>'Div 4'!OSRRefE21_14x_5</vt:lpstr>
      <vt:lpstr>Summary!OSRRefE21_14x_5</vt:lpstr>
      <vt:lpstr>'201'!OSRRefE21_14x_6</vt:lpstr>
      <vt:lpstr>'300'!OSRRefE21_14x_6</vt:lpstr>
      <vt:lpstr>'300 &amp; 317'!OSRRefE21_14x_6</vt:lpstr>
      <vt:lpstr>'301'!OSRRefE21_14x_6</vt:lpstr>
      <vt:lpstr>'308'!OSRRefE21_14x_6</vt:lpstr>
      <vt:lpstr>'310'!OSRRefE21_14x_6</vt:lpstr>
      <vt:lpstr>'310 &amp; 491'!OSRRefE21_14x_6</vt:lpstr>
      <vt:lpstr>'311'!OSRRefE21_14x_6</vt:lpstr>
      <vt:lpstr>'315'!OSRRefE21_14x_6</vt:lpstr>
      <vt:lpstr>'325'!OSRRefE21_14x_6</vt:lpstr>
      <vt:lpstr>'326'!OSRRefE21_14x_6</vt:lpstr>
      <vt:lpstr>'331'!OSRRefE21_14x_6</vt:lpstr>
      <vt:lpstr>'405'!OSRRefE21_14x_6</vt:lpstr>
      <vt:lpstr>'411'!OSRRefE21_14x_6</vt:lpstr>
      <vt:lpstr>'414'!OSRRefE21_14x_6</vt:lpstr>
      <vt:lpstr>'415'!OSRRefE21_14x_6</vt:lpstr>
      <vt:lpstr>'433'!OSRRefE21_14x_6</vt:lpstr>
      <vt:lpstr>'444'!OSRRefE21_14x_6</vt:lpstr>
      <vt:lpstr>'450'!OSRRefE21_14x_6</vt:lpstr>
      <vt:lpstr>'491'!OSRRefE21_14x_6</vt:lpstr>
      <vt:lpstr>'492'!OSRRefE21_14x_6</vt:lpstr>
      <vt:lpstr>'Div 2'!OSRRefE21_14x_6</vt:lpstr>
      <vt:lpstr>'Div 3'!OSRRefE21_14x_6</vt:lpstr>
      <vt:lpstr>'Div 4'!OSRRefE21_14x_6</vt:lpstr>
      <vt:lpstr>Summary!OSRRefE21_14x_6</vt:lpstr>
      <vt:lpstr>'201'!OSRRefE21_14x_7</vt:lpstr>
      <vt:lpstr>'300'!OSRRefE21_14x_7</vt:lpstr>
      <vt:lpstr>'300 &amp; 317'!OSRRefE21_14x_7</vt:lpstr>
      <vt:lpstr>'301'!OSRRefE21_14x_7</vt:lpstr>
      <vt:lpstr>'308'!OSRRefE21_14x_7</vt:lpstr>
      <vt:lpstr>'310'!OSRRefE21_14x_7</vt:lpstr>
      <vt:lpstr>'310 &amp; 491'!OSRRefE21_14x_7</vt:lpstr>
      <vt:lpstr>'311'!OSRRefE21_14x_7</vt:lpstr>
      <vt:lpstr>'315'!OSRRefE21_14x_7</vt:lpstr>
      <vt:lpstr>'325'!OSRRefE21_14x_7</vt:lpstr>
      <vt:lpstr>'326'!OSRRefE21_14x_7</vt:lpstr>
      <vt:lpstr>'331'!OSRRefE21_14x_7</vt:lpstr>
      <vt:lpstr>'405'!OSRRefE21_14x_7</vt:lpstr>
      <vt:lpstr>'411'!OSRRefE21_14x_7</vt:lpstr>
      <vt:lpstr>'414'!OSRRefE21_14x_7</vt:lpstr>
      <vt:lpstr>'415'!OSRRefE21_14x_7</vt:lpstr>
      <vt:lpstr>'433'!OSRRefE21_14x_7</vt:lpstr>
      <vt:lpstr>'444'!OSRRefE21_14x_7</vt:lpstr>
      <vt:lpstr>'450'!OSRRefE21_14x_7</vt:lpstr>
      <vt:lpstr>'491'!OSRRefE21_14x_7</vt:lpstr>
      <vt:lpstr>'492'!OSRRefE21_14x_7</vt:lpstr>
      <vt:lpstr>'Div 2'!OSRRefE21_14x_7</vt:lpstr>
      <vt:lpstr>'Div 3'!OSRRefE21_14x_7</vt:lpstr>
      <vt:lpstr>'Div 4'!OSRRefE21_14x_7</vt:lpstr>
      <vt:lpstr>Summary!OSRRefE21_14x_7</vt:lpstr>
      <vt:lpstr>'201'!OSRRefE21_15_0x</vt:lpstr>
      <vt:lpstr>'300'!OSRRefE21_15_0x</vt:lpstr>
      <vt:lpstr>'300 &amp; 317'!OSRRefE21_15_0x</vt:lpstr>
      <vt:lpstr>'301'!OSRRefE21_15_0x</vt:lpstr>
      <vt:lpstr>'310'!OSRRefE21_15_0x</vt:lpstr>
      <vt:lpstr>'310 &amp; 491'!OSRRefE21_15_0x</vt:lpstr>
      <vt:lpstr>'315'!OSRRefE21_15_0x</vt:lpstr>
      <vt:lpstr>'326'!OSRRefE21_15_0x</vt:lpstr>
      <vt:lpstr>'331'!OSRRefE21_15_0x</vt:lpstr>
      <vt:lpstr>'405'!OSRRefE21_15_0x</vt:lpstr>
      <vt:lpstr>'411'!OSRRefE21_15_0x</vt:lpstr>
      <vt:lpstr>'415'!OSRRefE21_15_0x</vt:lpstr>
      <vt:lpstr>'433'!OSRRefE21_15_0x</vt:lpstr>
      <vt:lpstr>'444'!OSRRefE21_15_0x</vt:lpstr>
      <vt:lpstr>'450'!OSRRefE21_15_0x</vt:lpstr>
      <vt:lpstr>'491'!OSRRefE21_15_0x</vt:lpstr>
      <vt:lpstr>'492'!OSRRefE21_15_0x</vt:lpstr>
      <vt:lpstr>'Div 2'!OSRRefE21_15_0x</vt:lpstr>
      <vt:lpstr>'Div 3'!OSRRefE21_15_0x</vt:lpstr>
      <vt:lpstr>'Div 4'!OSRRefE21_15_0x</vt:lpstr>
      <vt:lpstr>Summary!OSRRefE21_15_0x</vt:lpstr>
      <vt:lpstr>'310'!OSRRefE21_15_1x</vt:lpstr>
      <vt:lpstr>'310 &amp; 491'!OSRRefE21_15_1x</vt:lpstr>
      <vt:lpstr>'326'!OSRRefE21_15_1x</vt:lpstr>
      <vt:lpstr>'331'!OSRRefE21_15_1x</vt:lpstr>
      <vt:lpstr>'415'!OSRRefE21_15_1x</vt:lpstr>
      <vt:lpstr>'450'!OSRRefE21_15_1x</vt:lpstr>
      <vt:lpstr>'491'!OSRRefE21_15_1x</vt:lpstr>
      <vt:lpstr>'492'!OSRRefE21_15_1x</vt:lpstr>
      <vt:lpstr>'Div 2'!OSRRefE21_15_1x</vt:lpstr>
      <vt:lpstr>'Div 4'!OSRRefE21_15_1x</vt:lpstr>
      <vt:lpstr>'326'!OSRRefE21_15_2x</vt:lpstr>
      <vt:lpstr>'331'!OSRRefE21_15_2x</vt:lpstr>
      <vt:lpstr>'Div 4'!OSRRefE21_15_2x</vt:lpstr>
      <vt:lpstr>'326'!OSRRefE21_15_3x</vt:lpstr>
      <vt:lpstr>'Div 4'!OSRRefE21_15_3x</vt:lpstr>
      <vt:lpstr>'326'!OSRRefE21_15_4x</vt:lpstr>
      <vt:lpstr>'326'!OSRRefE21_15_5x</vt:lpstr>
      <vt:lpstr>'201'!OSRRefE21_15x_0</vt:lpstr>
      <vt:lpstr>'300'!OSRRefE21_15x_0</vt:lpstr>
      <vt:lpstr>'300 &amp; 317'!OSRRefE21_15x_0</vt:lpstr>
      <vt:lpstr>'301'!OSRRefE21_15x_0</vt:lpstr>
      <vt:lpstr>'310'!OSRRefE21_15x_0</vt:lpstr>
      <vt:lpstr>'310 &amp; 491'!OSRRefE21_15x_0</vt:lpstr>
      <vt:lpstr>'315'!OSRRefE21_15x_0</vt:lpstr>
      <vt:lpstr>'326'!OSRRefE21_15x_0</vt:lpstr>
      <vt:lpstr>'331'!OSRRefE21_15x_0</vt:lpstr>
      <vt:lpstr>'405'!OSRRefE21_15x_0</vt:lpstr>
      <vt:lpstr>'411'!OSRRefE21_15x_0</vt:lpstr>
      <vt:lpstr>'415'!OSRRefE21_15x_0</vt:lpstr>
      <vt:lpstr>'433'!OSRRefE21_15x_0</vt:lpstr>
      <vt:lpstr>'444'!OSRRefE21_15x_0</vt:lpstr>
      <vt:lpstr>'450'!OSRRefE21_15x_0</vt:lpstr>
      <vt:lpstr>'491'!OSRRefE21_15x_0</vt:lpstr>
      <vt:lpstr>'492'!OSRRefE21_15x_0</vt:lpstr>
      <vt:lpstr>'Div 2'!OSRRefE21_15x_0</vt:lpstr>
      <vt:lpstr>'Div 3'!OSRRefE21_15x_0</vt:lpstr>
      <vt:lpstr>'Div 4'!OSRRefE21_15x_0</vt:lpstr>
      <vt:lpstr>Summary!OSRRefE21_15x_0</vt:lpstr>
      <vt:lpstr>'201'!OSRRefE21_15x_1</vt:lpstr>
      <vt:lpstr>'300'!OSRRefE21_15x_1</vt:lpstr>
      <vt:lpstr>'300 &amp; 317'!OSRRefE21_15x_1</vt:lpstr>
      <vt:lpstr>'301'!OSRRefE21_15x_1</vt:lpstr>
      <vt:lpstr>'310'!OSRRefE21_15x_1</vt:lpstr>
      <vt:lpstr>'310 &amp; 491'!OSRRefE21_15x_1</vt:lpstr>
      <vt:lpstr>'315'!OSRRefE21_15x_1</vt:lpstr>
      <vt:lpstr>'326'!OSRRefE21_15x_1</vt:lpstr>
      <vt:lpstr>'331'!OSRRefE21_15x_1</vt:lpstr>
      <vt:lpstr>'405'!OSRRefE21_15x_1</vt:lpstr>
      <vt:lpstr>'411'!OSRRefE21_15x_1</vt:lpstr>
      <vt:lpstr>'415'!OSRRefE21_15x_1</vt:lpstr>
      <vt:lpstr>'433'!OSRRefE21_15x_1</vt:lpstr>
      <vt:lpstr>'444'!OSRRefE21_15x_1</vt:lpstr>
      <vt:lpstr>'450'!OSRRefE21_15x_1</vt:lpstr>
      <vt:lpstr>'491'!OSRRefE21_15x_1</vt:lpstr>
      <vt:lpstr>'492'!OSRRefE21_15x_1</vt:lpstr>
      <vt:lpstr>'Div 2'!OSRRefE21_15x_1</vt:lpstr>
      <vt:lpstr>'Div 3'!OSRRefE21_15x_1</vt:lpstr>
      <vt:lpstr>'Div 4'!OSRRefE21_15x_1</vt:lpstr>
      <vt:lpstr>Summary!OSRRefE21_15x_1</vt:lpstr>
      <vt:lpstr>'201'!OSRRefE21_15x_2</vt:lpstr>
      <vt:lpstr>'300'!OSRRefE21_15x_2</vt:lpstr>
      <vt:lpstr>'300 &amp; 317'!OSRRefE21_15x_2</vt:lpstr>
      <vt:lpstr>'301'!OSRRefE21_15x_2</vt:lpstr>
      <vt:lpstr>'310'!OSRRefE21_15x_2</vt:lpstr>
      <vt:lpstr>'310 &amp; 491'!OSRRefE21_15x_2</vt:lpstr>
      <vt:lpstr>'315'!OSRRefE21_15x_2</vt:lpstr>
      <vt:lpstr>'326'!OSRRefE21_15x_2</vt:lpstr>
      <vt:lpstr>'331'!OSRRefE21_15x_2</vt:lpstr>
      <vt:lpstr>'405'!OSRRefE21_15x_2</vt:lpstr>
      <vt:lpstr>'411'!OSRRefE21_15x_2</vt:lpstr>
      <vt:lpstr>'415'!OSRRefE21_15x_2</vt:lpstr>
      <vt:lpstr>'433'!OSRRefE21_15x_2</vt:lpstr>
      <vt:lpstr>'444'!OSRRefE21_15x_2</vt:lpstr>
      <vt:lpstr>'450'!OSRRefE21_15x_2</vt:lpstr>
      <vt:lpstr>'491'!OSRRefE21_15x_2</vt:lpstr>
      <vt:lpstr>'492'!OSRRefE21_15x_2</vt:lpstr>
      <vt:lpstr>'Div 2'!OSRRefE21_15x_2</vt:lpstr>
      <vt:lpstr>'Div 3'!OSRRefE21_15x_2</vt:lpstr>
      <vt:lpstr>'Div 4'!OSRRefE21_15x_2</vt:lpstr>
      <vt:lpstr>Summary!OSRRefE21_15x_2</vt:lpstr>
      <vt:lpstr>'201'!OSRRefE21_15x_3</vt:lpstr>
      <vt:lpstr>'300'!OSRRefE21_15x_3</vt:lpstr>
      <vt:lpstr>'300 &amp; 317'!OSRRefE21_15x_3</vt:lpstr>
      <vt:lpstr>'301'!OSRRefE21_15x_3</vt:lpstr>
      <vt:lpstr>'310'!OSRRefE21_15x_3</vt:lpstr>
      <vt:lpstr>'310 &amp; 491'!OSRRefE21_15x_3</vt:lpstr>
      <vt:lpstr>'315'!OSRRefE21_15x_3</vt:lpstr>
      <vt:lpstr>'326'!OSRRefE21_15x_3</vt:lpstr>
      <vt:lpstr>'331'!OSRRefE21_15x_3</vt:lpstr>
      <vt:lpstr>'405'!OSRRefE21_15x_3</vt:lpstr>
      <vt:lpstr>'411'!OSRRefE21_15x_3</vt:lpstr>
      <vt:lpstr>'415'!OSRRefE21_15x_3</vt:lpstr>
      <vt:lpstr>'433'!OSRRefE21_15x_3</vt:lpstr>
      <vt:lpstr>'444'!OSRRefE21_15x_3</vt:lpstr>
      <vt:lpstr>'450'!OSRRefE21_15x_3</vt:lpstr>
      <vt:lpstr>'491'!OSRRefE21_15x_3</vt:lpstr>
      <vt:lpstr>'492'!OSRRefE21_15x_3</vt:lpstr>
      <vt:lpstr>'Div 2'!OSRRefE21_15x_3</vt:lpstr>
      <vt:lpstr>'Div 3'!OSRRefE21_15x_3</vt:lpstr>
      <vt:lpstr>'Div 4'!OSRRefE21_15x_3</vt:lpstr>
      <vt:lpstr>Summary!OSRRefE21_15x_3</vt:lpstr>
      <vt:lpstr>'201'!OSRRefE21_15x_4</vt:lpstr>
      <vt:lpstr>'300'!OSRRefE21_15x_4</vt:lpstr>
      <vt:lpstr>'300 &amp; 317'!OSRRefE21_15x_4</vt:lpstr>
      <vt:lpstr>'301'!OSRRefE21_15x_4</vt:lpstr>
      <vt:lpstr>'310'!OSRRefE21_15x_4</vt:lpstr>
      <vt:lpstr>'310 &amp; 491'!OSRRefE21_15x_4</vt:lpstr>
      <vt:lpstr>'315'!OSRRefE21_15x_4</vt:lpstr>
      <vt:lpstr>'326'!OSRRefE21_15x_4</vt:lpstr>
      <vt:lpstr>'331'!OSRRefE21_15x_4</vt:lpstr>
      <vt:lpstr>'405'!OSRRefE21_15x_4</vt:lpstr>
      <vt:lpstr>'411'!OSRRefE21_15x_4</vt:lpstr>
      <vt:lpstr>'415'!OSRRefE21_15x_4</vt:lpstr>
      <vt:lpstr>'433'!OSRRefE21_15x_4</vt:lpstr>
      <vt:lpstr>'444'!OSRRefE21_15x_4</vt:lpstr>
      <vt:lpstr>'450'!OSRRefE21_15x_4</vt:lpstr>
      <vt:lpstr>'491'!OSRRefE21_15x_4</vt:lpstr>
      <vt:lpstr>'492'!OSRRefE21_15x_4</vt:lpstr>
      <vt:lpstr>'Div 2'!OSRRefE21_15x_4</vt:lpstr>
      <vt:lpstr>'Div 3'!OSRRefE21_15x_4</vt:lpstr>
      <vt:lpstr>'Div 4'!OSRRefE21_15x_4</vt:lpstr>
      <vt:lpstr>Summary!OSRRefE21_15x_4</vt:lpstr>
      <vt:lpstr>'201'!OSRRefE21_15x_5</vt:lpstr>
      <vt:lpstr>'300'!OSRRefE21_15x_5</vt:lpstr>
      <vt:lpstr>'300 &amp; 317'!OSRRefE21_15x_5</vt:lpstr>
      <vt:lpstr>'301'!OSRRefE21_15x_5</vt:lpstr>
      <vt:lpstr>'310'!OSRRefE21_15x_5</vt:lpstr>
      <vt:lpstr>'310 &amp; 491'!OSRRefE21_15x_5</vt:lpstr>
      <vt:lpstr>'315'!OSRRefE21_15x_5</vt:lpstr>
      <vt:lpstr>'326'!OSRRefE21_15x_5</vt:lpstr>
      <vt:lpstr>'331'!OSRRefE21_15x_5</vt:lpstr>
      <vt:lpstr>'405'!OSRRefE21_15x_5</vt:lpstr>
      <vt:lpstr>'411'!OSRRefE21_15x_5</vt:lpstr>
      <vt:lpstr>'415'!OSRRefE21_15x_5</vt:lpstr>
      <vt:lpstr>'433'!OSRRefE21_15x_5</vt:lpstr>
      <vt:lpstr>'444'!OSRRefE21_15x_5</vt:lpstr>
      <vt:lpstr>'450'!OSRRefE21_15x_5</vt:lpstr>
      <vt:lpstr>'491'!OSRRefE21_15x_5</vt:lpstr>
      <vt:lpstr>'492'!OSRRefE21_15x_5</vt:lpstr>
      <vt:lpstr>'Div 2'!OSRRefE21_15x_5</vt:lpstr>
      <vt:lpstr>'Div 3'!OSRRefE21_15x_5</vt:lpstr>
      <vt:lpstr>'Div 4'!OSRRefE21_15x_5</vt:lpstr>
      <vt:lpstr>Summary!OSRRefE21_15x_5</vt:lpstr>
      <vt:lpstr>'201'!OSRRefE21_15x_6</vt:lpstr>
      <vt:lpstr>'300'!OSRRefE21_15x_6</vt:lpstr>
      <vt:lpstr>'300 &amp; 317'!OSRRefE21_15x_6</vt:lpstr>
      <vt:lpstr>'301'!OSRRefE21_15x_6</vt:lpstr>
      <vt:lpstr>'310'!OSRRefE21_15x_6</vt:lpstr>
      <vt:lpstr>'310 &amp; 491'!OSRRefE21_15x_6</vt:lpstr>
      <vt:lpstr>'315'!OSRRefE21_15x_6</vt:lpstr>
      <vt:lpstr>'326'!OSRRefE21_15x_6</vt:lpstr>
      <vt:lpstr>'331'!OSRRefE21_15x_6</vt:lpstr>
      <vt:lpstr>'405'!OSRRefE21_15x_6</vt:lpstr>
      <vt:lpstr>'411'!OSRRefE21_15x_6</vt:lpstr>
      <vt:lpstr>'415'!OSRRefE21_15x_6</vt:lpstr>
      <vt:lpstr>'433'!OSRRefE21_15x_6</vt:lpstr>
      <vt:lpstr>'444'!OSRRefE21_15x_6</vt:lpstr>
      <vt:lpstr>'450'!OSRRefE21_15x_6</vt:lpstr>
      <vt:lpstr>'491'!OSRRefE21_15x_6</vt:lpstr>
      <vt:lpstr>'492'!OSRRefE21_15x_6</vt:lpstr>
      <vt:lpstr>'Div 2'!OSRRefE21_15x_6</vt:lpstr>
      <vt:lpstr>'Div 3'!OSRRefE21_15x_6</vt:lpstr>
      <vt:lpstr>'Div 4'!OSRRefE21_15x_6</vt:lpstr>
      <vt:lpstr>Summary!OSRRefE21_15x_6</vt:lpstr>
      <vt:lpstr>'201'!OSRRefE21_15x_7</vt:lpstr>
      <vt:lpstr>'300'!OSRRefE21_15x_7</vt:lpstr>
      <vt:lpstr>'300 &amp; 317'!OSRRefE21_15x_7</vt:lpstr>
      <vt:lpstr>'301'!OSRRefE21_15x_7</vt:lpstr>
      <vt:lpstr>'310'!OSRRefE21_15x_7</vt:lpstr>
      <vt:lpstr>'310 &amp; 491'!OSRRefE21_15x_7</vt:lpstr>
      <vt:lpstr>'315'!OSRRefE21_15x_7</vt:lpstr>
      <vt:lpstr>'326'!OSRRefE21_15x_7</vt:lpstr>
      <vt:lpstr>'331'!OSRRefE21_15x_7</vt:lpstr>
      <vt:lpstr>'405'!OSRRefE21_15x_7</vt:lpstr>
      <vt:lpstr>'411'!OSRRefE21_15x_7</vt:lpstr>
      <vt:lpstr>'415'!OSRRefE21_15x_7</vt:lpstr>
      <vt:lpstr>'433'!OSRRefE21_15x_7</vt:lpstr>
      <vt:lpstr>'444'!OSRRefE21_15x_7</vt:lpstr>
      <vt:lpstr>'450'!OSRRefE21_15x_7</vt:lpstr>
      <vt:lpstr>'491'!OSRRefE21_15x_7</vt:lpstr>
      <vt:lpstr>'492'!OSRRefE21_15x_7</vt:lpstr>
      <vt:lpstr>'Div 2'!OSRRefE21_15x_7</vt:lpstr>
      <vt:lpstr>'Div 3'!OSRRefE21_15x_7</vt:lpstr>
      <vt:lpstr>'Div 4'!OSRRefE21_15x_7</vt:lpstr>
      <vt:lpstr>Summary!OSRRefE21_15x_7</vt:lpstr>
      <vt:lpstr>'201'!OSRRefE21_16_0x</vt:lpstr>
      <vt:lpstr>'300'!OSRRefE21_16_0x</vt:lpstr>
      <vt:lpstr>'300 &amp; 317'!OSRRefE21_16_0x</vt:lpstr>
      <vt:lpstr>'301'!OSRRefE21_16_0x</vt:lpstr>
      <vt:lpstr>'310'!OSRRefE21_16_0x</vt:lpstr>
      <vt:lpstr>'310 &amp; 491'!OSRRefE21_16_0x</vt:lpstr>
      <vt:lpstr>'315'!OSRRefE21_16_0x</vt:lpstr>
      <vt:lpstr>'326'!OSRRefE21_16_0x</vt:lpstr>
      <vt:lpstr>'331'!OSRRefE21_16_0x</vt:lpstr>
      <vt:lpstr>'405'!OSRRefE21_16_0x</vt:lpstr>
      <vt:lpstr>'415'!OSRRefE21_16_0x</vt:lpstr>
      <vt:lpstr>'450'!OSRRefE21_16_0x</vt:lpstr>
      <vt:lpstr>'491'!OSRRefE21_16_0x</vt:lpstr>
      <vt:lpstr>'492'!OSRRefE21_16_0x</vt:lpstr>
      <vt:lpstr>'Div 2'!OSRRefE21_16_0x</vt:lpstr>
      <vt:lpstr>'Div 3'!OSRRefE21_16_0x</vt:lpstr>
      <vt:lpstr>'Div 4'!OSRRefE21_16_0x</vt:lpstr>
      <vt:lpstr>Summary!OSRRefE21_16_0x</vt:lpstr>
      <vt:lpstr>'300'!OSRRefE21_16_1x</vt:lpstr>
      <vt:lpstr>'300 &amp; 317'!OSRRefE21_16_1x</vt:lpstr>
      <vt:lpstr>'301'!OSRRefE21_16_1x</vt:lpstr>
      <vt:lpstr>'310'!OSRRefE21_16_1x</vt:lpstr>
      <vt:lpstr>'310 &amp; 491'!OSRRefE21_16_1x</vt:lpstr>
      <vt:lpstr>'326'!OSRRefE21_16_1x</vt:lpstr>
      <vt:lpstr>'331'!OSRRefE21_16_1x</vt:lpstr>
      <vt:lpstr>'491'!OSRRefE21_16_1x</vt:lpstr>
      <vt:lpstr>'Div 2'!OSRRefE21_16_1x</vt:lpstr>
      <vt:lpstr>'Div 4'!OSRRefE21_16_1x</vt:lpstr>
      <vt:lpstr>'300'!OSRRefE21_16_2x</vt:lpstr>
      <vt:lpstr>'300 &amp; 317'!OSRRefE21_16_2x</vt:lpstr>
      <vt:lpstr>'301'!OSRRefE21_16_2x</vt:lpstr>
      <vt:lpstr>'310'!OSRRefE21_16_2x</vt:lpstr>
      <vt:lpstr>'310 &amp; 491'!OSRRefE21_16_2x</vt:lpstr>
      <vt:lpstr>'491'!OSRRefE21_16_2x</vt:lpstr>
      <vt:lpstr>'Div 2'!OSRRefE21_16_2x</vt:lpstr>
      <vt:lpstr>'300'!OSRRefE21_16_3x</vt:lpstr>
      <vt:lpstr>'300 &amp; 317'!OSRRefE21_16_3x</vt:lpstr>
      <vt:lpstr>'301'!OSRRefE21_16_3x</vt:lpstr>
      <vt:lpstr>'310'!OSRRefE21_16_3x</vt:lpstr>
      <vt:lpstr>'310 &amp; 491'!OSRRefE21_16_3x</vt:lpstr>
      <vt:lpstr>'491'!OSRRefE21_16_3x</vt:lpstr>
      <vt:lpstr>'Div 2'!OSRRefE21_16_3x</vt:lpstr>
      <vt:lpstr>'301'!OSRRefE21_16_4x</vt:lpstr>
      <vt:lpstr>'310'!OSRRefE21_16_4x</vt:lpstr>
      <vt:lpstr>'310 &amp; 491'!OSRRefE21_16_4x</vt:lpstr>
      <vt:lpstr>'491'!OSRRefE21_16_4x</vt:lpstr>
      <vt:lpstr>'301'!OSRRefE21_16_5x</vt:lpstr>
      <vt:lpstr>'310'!OSRRefE21_16_5x</vt:lpstr>
      <vt:lpstr>'301'!OSRRefE21_16_6x</vt:lpstr>
      <vt:lpstr>'310'!OSRRefE21_16_6x</vt:lpstr>
      <vt:lpstr>'201'!OSRRefE21_16x_0</vt:lpstr>
      <vt:lpstr>'300'!OSRRefE21_16x_0</vt:lpstr>
      <vt:lpstr>'300 &amp; 317'!OSRRefE21_16x_0</vt:lpstr>
      <vt:lpstr>'301'!OSRRefE21_16x_0</vt:lpstr>
      <vt:lpstr>'310'!OSRRefE21_16x_0</vt:lpstr>
      <vt:lpstr>'310 &amp; 491'!OSRRefE21_16x_0</vt:lpstr>
      <vt:lpstr>'315'!OSRRefE21_16x_0</vt:lpstr>
      <vt:lpstr>'326'!OSRRefE21_16x_0</vt:lpstr>
      <vt:lpstr>'331'!OSRRefE21_16x_0</vt:lpstr>
      <vt:lpstr>'405'!OSRRefE21_16x_0</vt:lpstr>
      <vt:lpstr>'415'!OSRRefE21_16x_0</vt:lpstr>
      <vt:lpstr>'450'!OSRRefE21_16x_0</vt:lpstr>
      <vt:lpstr>'491'!OSRRefE21_16x_0</vt:lpstr>
      <vt:lpstr>'492'!OSRRefE21_16x_0</vt:lpstr>
      <vt:lpstr>'Div 2'!OSRRefE21_16x_0</vt:lpstr>
      <vt:lpstr>'Div 3'!OSRRefE21_16x_0</vt:lpstr>
      <vt:lpstr>'Div 4'!OSRRefE21_16x_0</vt:lpstr>
      <vt:lpstr>Summary!OSRRefE21_16x_0</vt:lpstr>
      <vt:lpstr>'201'!OSRRefE21_16x_1</vt:lpstr>
      <vt:lpstr>'300'!OSRRefE21_16x_1</vt:lpstr>
      <vt:lpstr>'300 &amp; 317'!OSRRefE21_16x_1</vt:lpstr>
      <vt:lpstr>'301'!OSRRefE21_16x_1</vt:lpstr>
      <vt:lpstr>'310'!OSRRefE21_16x_1</vt:lpstr>
      <vt:lpstr>'310 &amp; 491'!OSRRefE21_16x_1</vt:lpstr>
      <vt:lpstr>'315'!OSRRefE21_16x_1</vt:lpstr>
      <vt:lpstr>'326'!OSRRefE21_16x_1</vt:lpstr>
      <vt:lpstr>'331'!OSRRefE21_16x_1</vt:lpstr>
      <vt:lpstr>'405'!OSRRefE21_16x_1</vt:lpstr>
      <vt:lpstr>'415'!OSRRefE21_16x_1</vt:lpstr>
      <vt:lpstr>'450'!OSRRefE21_16x_1</vt:lpstr>
      <vt:lpstr>'491'!OSRRefE21_16x_1</vt:lpstr>
      <vt:lpstr>'492'!OSRRefE21_16x_1</vt:lpstr>
      <vt:lpstr>'Div 2'!OSRRefE21_16x_1</vt:lpstr>
      <vt:lpstr>'Div 3'!OSRRefE21_16x_1</vt:lpstr>
      <vt:lpstr>'Div 4'!OSRRefE21_16x_1</vt:lpstr>
      <vt:lpstr>Summary!OSRRefE21_16x_1</vt:lpstr>
      <vt:lpstr>'201'!OSRRefE21_16x_2</vt:lpstr>
      <vt:lpstr>'300'!OSRRefE21_16x_2</vt:lpstr>
      <vt:lpstr>'300 &amp; 317'!OSRRefE21_16x_2</vt:lpstr>
      <vt:lpstr>'301'!OSRRefE21_16x_2</vt:lpstr>
      <vt:lpstr>'310'!OSRRefE21_16x_2</vt:lpstr>
      <vt:lpstr>'310 &amp; 491'!OSRRefE21_16x_2</vt:lpstr>
      <vt:lpstr>'315'!OSRRefE21_16x_2</vt:lpstr>
      <vt:lpstr>'326'!OSRRefE21_16x_2</vt:lpstr>
      <vt:lpstr>'331'!OSRRefE21_16x_2</vt:lpstr>
      <vt:lpstr>'405'!OSRRefE21_16x_2</vt:lpstr>
      <vt:lpstr>'415'!OSRRefE21_16x_2</vt:lpstr>
      <vt:lpstr>'450'!OSRRefE21_16x_2</vt:lpstr>
      <vt:lpstr>'491'!OSRRefE21_16x_2</vt:lpstr>
      <vt:lpstr>'492'!OSRRefE21_16x_2</vt:lpstr>
      <vt:lpstr>'Div 2'!OSRRefE21_16x_2</vt:lpstr>
      <vt:lpstr>'Div 3'!OSRRefE21_16x_2</vt:lpstr>
      <vt:lpstr>'Div 4'!OSRRefE21_16x_2</vt:lpstr>
      <vt:lpstr>Summary!OSRRefE21_16x_2</vt:lpstr>
      <vt:lpstr>'201'!OSRRefE21_16x_3</vt:lpstr>
      <vt:lpstr>'300'!OSRRefE21_16x_3</vt:lpstr>
      <vt:lpstr>'300 &amp; 317'!OSRRefE21_16x_3</vt:lpstr>
      <vt:lpstr>'301'!OSRRefE21_16x_3</vt:lpstr>
      <vt:lpstr>'310'!OSRRefE21_16x_3</vt:lpstr>
      <vt:lpstr>'310 &amp; 491'!OSRRefE21_16x_3</vt:lpstr>
      <vt:lpstr>'315'!OSRRefE21_16x_3</vt:lpstr>
      <vt:lpstr>'326'!OSRRefE21_16x_3</vt:lpstr>
      <vt:lpstr>'331'!OSRRefE21_16x_3</vt:lpstr>
      <vt:lpstr>'405'!OSRRefE21_16x_3</vt:lpstr>
      <vt:lpstr>'415'!OSRRefE21_16x_3</vt:lpstr>
      <vt:lpstr>'450'!OSRRefE21_16x_3</vt:lpstr>
      <vt:lpstr>'491'!OSRRefE21_16x_3</vt:lpstr>
      <vt:lpstr>'492'!OSRRefE21_16x_3</vt:lpstr>
      <vt:lpstr>'Div 2'!OSRRefE21_16x_3</vt:lpstr>
      <vt:lpstr>'Div 3'!OSRRefE21_16x_3</vt:lpstr>
      <vt:lpstr>'Div 4'!OSRRefE21_16x_3</vt:lpstr>
      <vt:lpstr>Summary!OSRRefE21_16x_3</vt:lpstr>
      <vt:lpstr>'201'!OSRRefE21_16x_4</vt:lpstr>
      <vt:lpstr>'300'!OSRRefE21_16x_4</vt:lpstr>
      <vt:lpstr>'300 &amp; 317'!OSRRefE21_16x_4</vt:lpstr>
      <vt:lpstr>'301'!OSRRefE21_16x_4</vt:lpstr>
      <vt:lpstr>'310'!OSRRefE21_16x_4</vt:lpstr>
      <vt:lpstr>'310 &amp; 491'!OSRRefE21_16x_4</vt:lpstr>
      <vt:lpstr>'315'!OSRRefE21_16x_4</vt:lpstr>
      <vt:lpstr>'326'!OSRRefE21_16x_4</vt:lpstr>
      <vt:lpstr>'331'!OSRRefE21_16x_4</vt:lpstr>
      <vt:lpstr>'405'!OSRRefE21_16x_4</vt:lpstr>
      <vt:lpstr>'415'!OSRRefE21_16x_4</vt:lpstr>
      <vt:lpstr>'450'!OSRRefE21_16x_4</vt:lpstr>
      <vt:lpstr>'491'!OSRRefE21_16x_4</vt:lpstr>
      <vt:lpstr>'492'!OSRRefE21_16x_4</vt:lpstr>
      <vt:lpstr>'Div 2'!OSRRefE21_16x_4</vt:lpstr>
      <vt:lpstr>'Div 3'!OSRRefE21_16x_4</vt:lpstr>
      <vt:lpstr>'Div 4'!OSRRefE21_16x_4</vt:lpstr>
      <vt:lpstr>Summary!OSRRefE21_16x_4</vt:lpstr>
      <vt:lpstr>'201'!OSRRefE21_16x_5</vt:lpstr>
      <vt:lpstr>'300'!OSRRefE21_16x_5</vt:lpstr>
      <vt:lpstr>'300 &amp; 317'!OSRRefE21_16x_5</vt:lpstr>
      <vt:lpstr>'301'!OSRRefE21_16x_5</vt:lpstr>
      <vt:lpstr>'310'!OSRRefE21_16x_5</vt:lpstr>
      <vt:lpstr>'310 &amp; 491'!OSRRefE21_16x_5</vt:lpstr>
      <vt:lpstr>'315'!OSRRefE21_16x_5</vt:lpstr>
      <vt:lpstr>'326'!OSRRefE21_16x_5</vt:lpstr>
      <vt:lpstr>'331'!OSRRefE21_16x_5</vt:lpstr>
      <vt:lpstr>'405'!OSRRefE21_16x_5</vt:lpstr>
      <vt:lpstr>'415'!OSRRefE21_16x_5</vt:lpstr>
      <vt:lpstr>'450'!OSRRefE21_16x_5</vt:lpstr>
      <vt:lpstr>'491'!OSRRefE21_16x_5</vt:lpstr>
      <vt:lpstr>'492'!OSRRefE21_16x_5</vt:lpstr>
      <vt:lpstr>'Div 2'!OSRRefE21_16x_5</vt:lpstr>
      <vt:lpstr>'Div 3'!OSRRefE21_16x_5</vt:lpstr>
      <vt:lpstr>'Div 4'!OSRRefE21_16x_5</vt:lpstr>
      <vt:lpstr>Summary!OSRRefE21_16x_5</vt:lpstr>
      <vt:lpstr>'201'!OSRRefE21_16x_6</vt:lpstr>
      <vt:lpstr>'300'!OSRRefE21_16x_6</vt:lpstr>
      <vt:lpstr>'300 &amp; 317'!OSRRefE21_16x_6</vt:lpstr>
      <vt:lpstr>'301'!OSRRefE21_16x_6</vt:lpstr>
      <vt:lpstr>'310'!OSRRefE21_16x_6</vt:lpstr>
      <vt:lpstr>'310 &amp; 491'!OSRRefE21_16x_6</vt:lpstr>
      <vt:lpstr>'315'!OSRRefE21_16x_6</vt:lpstr>
      <vt:lpstr>'326'!OSRRefE21_16x_6</vt:lpstr>
      <vt:lpstr>'331'!OSRRefE21_16x_6</vt:lpstr>
      <vt:lpstr>'405'!OSRRefE21_16x_6</vt:lpstr>
      <vt:lpstr>'415'!OSRRefE21_16x_6</vt:lpstr>
      <vt:lpstr>'450'!OSRRefE21_16x_6</vt:lpstr>
      <vt:lpstr>'491'!OSRRefE21_16x_6</vt:lpstr>
      <vt:lpstr>'492'!OSRRefE21_16x_6</vt:lpstr>
      <vt:lpstr>'Div 2'!OSRRefE21_16x_6</vt:lpstr>
      <vt:lpstr>'Div 3'!OSRRefE21_16x_6</vt:lpstr>
      <vt:lpstr>'Div 4'!OSRRefE21_16x_6</vt:lpstr>
      <vt:lpstr>Summary!OSRRefE21_16x_6</vt:lpstr>
      <vt:lpstr>'201'!OSRRefE21_16x_7</vt:lpstr>
      <vt:lpstr>'300'!OSRRefE21_16x_7</vt:lpstr>
      <vt:lpstr>'300 &amp; 317'!OSRRefE21_16x_7</vt:lpstr>
      <vt:lpstr>'301'!OSRRefE21_16x_7</vt:lpstr>
      <vt:lpstr>'310'!OSRRefE21_16x_7</vt:lpstr>
      <vt:lpstr>'310 &amp; 491'!OSRRefE21_16x_7</vt:lpstr>
      <vt:lpstr>'315'!OSRRefE21_16x_7</vt:lpstr>
      <vt:lpstr>'326'!OSRRefE21_16x_7</vt:lpstr>
      <vt:lpstr>'331'!OSRRefE21_16x_7</vt:lpstr>
      <vt:lpstr>'405'!OSRRefE21_16x_7</vt:lpstr>
      <vt:lpstr>'415'!OSRRefE21_16x_7</vt:lpstr>
      <vt:lpstr>'450'!OSRRefE21_16x_7</vt:lpstr>
      <vt:lpstr>'491'!OSRRefE21_16x_7</vt:lpstr>
      <vt:lpstr>'492'!OSRRefE21_16x_7</vt:lpstr>
      <vt:lpstr>'Div 2'!OSRRefE21_16x_7</vt:lpstr>
      <vt:lpstr>'Div 3'!OSRRefE21_16x_7</vt:lpstr>
      <vt:lpstr>'Div 4'!OSRRefE21_16x_7</vt:lpstr>
      <vt:lpstr>Summary!OSRRefE21_16x_7</vt:lpstr>
      <vt:lpstr>'300'!OSRRefE21_17_0x</vt:lpstr>
      <vt:lpstr>'300 &amp; 317'!OSRRefE21_17_0x</vt:lpstr>
      <vt:lpstr>'301'!OSRRefE21_17_0x</vt:lpstr>
      <vt:lpstr>'310'!OSRRefE21_17_0x</vt:lpstr>
      <vt:lpstr>'310 &amp; 491'!OSRRefE21_17_0x</vt:lpstr>
      <vt:lpstr>'315'!OSRRefE21_17_0x</vt:lpstr>
      <vt:lpstr>'326'!OSRRefE21_17_0x</vt:lpstr>
      <vt:lpstr>'331'!OSRRefE21_17_0x</vt:lpstr>
      <vt:lpstr>'491'!OSRRefE21_17_0x</vt:lpstr>
      <vt:lpstr>'492'!OSRRefE21_17_0x</vt:lpstr>
      <vt:lpstr>'Div 2'!OSRRefE21_17_0x</vt:lpstr>
      <vt:lpstr>'Div 3'!OSRRefE21_17_0x</vt:lpstr>
      <vt:lpstr>'Div 4'!OSRRefE21_17_0x</vt:lpstr>
      <vt:lpstr>Summary!OSRRefE21_17_0x</vt:lpstr>
      <vt:lpstr>'300'!OSRRefE21_17_1x</vt:lpstr>
      <vt:lpstr>'300 &amp; 317'!OSRRefE21_17_1x</vt:lpstr>
      <vt:lpstr>'310'!OSRRefE21_17_1x</vt:lpstr>
      <vt:lpstr>'310 &amp; 491'!OSRRefE21_17_1x</vt:lpstr>
      <vt:lpstr>'315'!OSRRefE21_17_1x</vt:lpstr>
      <vt:lpstr>'331'!OSRRefE21_17_1x</vt:lpstr>
      <vt:lpstr>'491'!OSRRefE21_17_1x</vt:lpstr>
      <vt:lpstr>'Div 2'!OSRRefE21_17_1x</vt:lpstr>
      <vt:lpstr>'Div 3'!OSRRefE21_17_1x</vt:lpstr>
      <vt:lpstr>'Div 4'!OSRRefE21_17_1x</vt:lpstr>
      <vt:lpstr>'300'!OSRRefE21_17_2x</vt:lpstr>
      <vt:lpstr>'300 &amp; 317'!OSRRefE21_17_2x</vt:lpstr>
      <vt:lpstr>'331'!OSRRefE21_17_2x</vt:lpstr>
      <vt:lpstr>'Div 3'!OSRRefE21_17_2x</vt:lpstr>
      <vt:lpstr>'Div 4'!OSRRefE21_17_2x</vt:lpstr>
      <vt:lpstr>'300'!OSRRefE21_17_3x</vt:lpstr>
      <vt:lpstr>'300 &amp; 317'!OSRRefE21_17_3x</vt:lpstr>
      <vt:lpstr>'331'!OSRRefE21_17_3x</vt:lpstr>
      <vt:lpstr>'Div 3'!OSRRefE21_17_3x</vt:lpstr>
      <vt:lpstr>'Div 4'!OSRRefE21_17_3x</vt:lpstr>
      <vt:lpstr>'331'!OSRRefE21_17_4x</vt:lpstr>
      <vt:lpstr>'Div 4'!OSRRefE21_17_4x</vt:lpstr>
      <vt:lpstr>'331'!OSRRefE21_17_5x</vt:lpstr>
      <vt:lpstr>'331'!OSRRefE21_17_6x</vt:lpstr>
      <vt:lpstr>'331'!OSRRefE21_17_7x</vt:lpstr>
      <vt:lpstr>'300'!OSRRefE21_17x_0</vt:lpstr>
      <vt:lpstr>'300 &amp; 317'!OSRRefE21_17x_0</vt:lpstr>
      <vt:lpstr>'301'!OSRRefE21_17x_0</vt:lpstr>
      <vt:lpstr>'310'!OSRRefE21_17x_0</vt:lpstr>
      <vt:lpstr>'310 &amp; 491'!OSRRefE21_17x_0</vt:lpstr>
      <vt:lpstr>'315'!OSRRefE21_17x_0</vt:lpstr>
      <vt:lpstr>'326'!OSRRefE21_17x_0</vt:lpstr>
      <vt:lpstr>'331'!OSRRefE21_17x_0</vt:lpstr>
      <vt:lpstr>'491'!OSRRefE21_17x_0</vt:lpstr>
      <vt:lpstr>'492'!OSRRefE21_17x_0</vt:lpstr>
      <vt:lpstr>'Div 2'!OSRRefE21_17x_0</vt:lpstr>
      <vt:lpstr>'Div 3'!OSRRefE21_17x_0</vt:lpstr>
      <vt:lpstr>'Div 4'!OSRRefE21_17x_0</vt:lpstr>
      <vt:lpstr>Summary!OSRRefE21_17x_0</vt:lpstr>
      <vt:lpstr>'300'!OSRRefE21_17x_1</vt:lpstr>
      <vt:lpstr>'300 &amp; 317'!OSRRefE21_17x_1</vt:lpstr>
      <vt:lpstr>'301'!OSRRefE21_17x_1</vt:lpstr>
      <vt:lpstr>'310'!OSRRefE21_17x_1</vt:lpstr>
      <vt:lpstr>'310 &amp; 491'!OSRRefE21_17x_1</vt:lpstr>
      <vt:lpstr>'315'!OSRRefE21_17x_1</vt:lpstr>
      <vt:lpstr>'326'!OSRRefE21_17x_1</vt:lpstr>
      <vt:lpstr>'331'!OSRRefE21_17x_1</vt:lpstr>
      <vt:lpstr>'491'!OSRRefE21_17x_1</vt:lpstr>
      <vt:lpstr>'492'!OSRRefE21_17x_1</vt:lpstr>
      <vt:lpstr>'Div 2'!OSRRefE21_17x_1</vt:lpstr>
      <vt:lpstr>'Div 3'!OSRRefE21_17x_1</vt:lpstr>
      <vt:lpstr>'Div 4'!OSRRefE21_17x_1</vt:lpstr>
      <vt:lpstr>Summary!OSRRefE21_17x_1</vt:lpstr>
      <vt:lpstr>'300'!OSRRefE21_17x_2</vt:lpstr>
      <vt:lpstr>'300 &amp; 317'!OSRRefE21_17x_2</vt:lpstr>
      <vt:lpstr>'301'!OSRRefE21_17x_2</vt:lpstr>
      <vt:lpstr>'310'!OSRRefE21_17x_2</vt:lpstr>
      <vt:lpstr>'310 &amp; 491'!OSRRefE21_17x_2</vt:lpstr>
      <vt:lpstr>'315'!OSRRefE21_17x_2</vt:lpstr>
      <vt:lpstr>'326'!OSRRefE21_17x_2</vt:lpstr>
      <vt:lpstr>'331'!OSRRefE21_17x_2</vt:lpstr>
      <vt:lpstr>'491'!OSRRefE21_17x_2</vt:lpstr>
      <vt:lpstr>'492'!OSRRefE21_17x_2</vt:lpstr>
      <vt:lpstr>'Div 2'!OSRRefE21_17x_2</vt:lpstr>
      <vt:lpstr>'Div 3'!OSRRefE21_17x_2</vt:lpstr>
      <vt:lpstr>'Div 4'!OSRRefE21_17x_2</vt:lpstr>
      <vt:lpstr>Summary!OSRRefE21_17x_2</vt:lpstr>
      <vt:lpstr>'300'!OSRRefE21_17x_3</vt:lpstr>
      <vt:lpstr>'300 &amp; 317'!OSRRefE21_17x_3</vt:lpstr>
      <vt:lpstr>'301'!OSRRefE21_17x_3</vt:lpstr>
      <vt:lpstr>'310'!OSRRefE21_17x_3</vt:lpstr>
      <vt:lpstr>'310 &amp; 491'!OSRRefE21_17x_3</vt:lpstr>
      <vt:lpstr>'315'!OSRRefE21_17x_3</vt:lpstr>
      <vt:lpstr>'326'!OSRRefE21_17x_3</vt:lpstr>
      <vt:lpstr>'331'!OSRRefE21_17x_3</vt:lpstr>
      <vt:lpstr>'491'!OSRRefE21_17x_3</vt:lpstr>
      <vt:lpstr>'492'!OSRRefE21_17x_3</vt:lpstr>
      <vt:lpstr>'Div 2'!OSRRefE21_17x_3</vt:lpstr>
      <vt:lpstr>'Div 3'!OSRRefE21_17x_3</vt:lpstr>
      <vt:lpstr>'Div 4'!OSRRefE21_17x_3</vt:lpstr>
      <vt:lpstr>Summary!OSRRefE21_17x_3</vt:lpstr>
      <vt:lpstr>'300'!OSRRefE21_17x_4</vt:lpstr>
      <vt:lpstr>'300 &amp; 317'!OSRRefE21_17x_4</vt:lpstr>
      <vt:lpstr>'301'!OSRRefE21_17x_4</vt:lpstr>
      <vt:lpstr>'310'!OSRRefE21_17x_4</vt:lpstr>
      <vt:lpstr>'310 &amp; 491'!OSRRefE21_17x_4</vt:lpstr>
      <vt:lpstr>'315'!OSRRefE21_17x_4</vt:lpstr>
      <vt:lpstr>'326'!OSRRefE21_17x_4</vt:lpstr>
      <vt:lpstr>'331'!OSRRefE21_17x_4</vt:lpstr>
      <vt:lpstr>'491'!OSRRefE21_17x_4</vt:lpstr>
      <vt:lpstr>'492'!OSRRefE21_17x_4</vt:lpstr>
      <vt:lpstr>'Div 2'!OSRRefE21_17x_4</vt:lpstr>
      <vt:lpstr>'Div 3'!OSRRefE21_17x_4</vt:lpstr>
      <vt:lpstr>'Div 4'!OSRRefE21_17x_4</vt:lpstr>
      <vt:lpstr>Summary!OSRRefE21_17x_4</vt:lpstr>
      <vt:lpstr>'300'!OSRRefE21_17x_5</vt:lpstr>
      <vt:lpstr>'300 &amp; 317'!OSRRefE21_17x_5</vt:lpstr>
      <vt:lpstr>'301'!OSRRefE21_17x_5</vt:lpstr>
      <vt:lpstr>'310'!OSRRefE21_17x_5</vt:lpstr>
      <vt:lpstr>'310 &amp; 491'!OSRRefE21_17x_5</vt:lpstr>
      <vt:lpstr>'315'!OSRRefE21_17x_5</vt:lpstr>
      <vt:lpstr>'326'!OSRRefE21_17x_5</vt:lpstr>
      <vt:lpstr>'331'!OSRRefE21_17x_5</vt:lpstr>
      <vt:lpstr>'491'!OSRRefE21_17x_5</vt:lpstr>
      <vt:lpstr>'492'!OSRRefE21_17x_5</vt:lpstr>
      <vt:lpstr>'Div 2'!OSRRefE21_17x_5</vt:lpstr>
      <vt:lpstr>'Div 3'!OSRRefE21_17x_5</vt:lpstr>
      <vt:lpstr>'Div 4'!OSRRefE21_17x_5</vt:lpstr>
      <vt:lpstr>Summary!OSRRefE21_17x_5</vt:lpstr>
      <vt:lpstr>'300'!OSRRefE21_17x_6</vt:lpstr>
      <vt:lpstr>'300 &amp; 317'!OSRRefE21_17x_6</vt:lpstr>
      <vt:lpstr>'301'!OSRRefE21_17x_6</vt:lpstr>
      <vt:lpstr>'310'!OSRRefE21_17x_6</vt:lpstr>
      <vt:lpstr>'310 &amp; 491'!OSRRefE21_17x_6</vt:lpstr>
      <vt:lpstr>'315'!OSRRefE21_17x_6</vt:lpstr>
      <vt:lpstr>'326'!OSRRefE21_17x_6</vt:lpstr>
      <vt:lpstr>'331'!OSRRefE21_17x_6</vt:lpstr>
      <vt:lpstr>'491'!OSRRefE21_17x_6</vt:lpstr>
      <vt:lpstr>'492'!OSRRefE21_17x_6</vt:lpstr>
      <vt:lpstr>'Div 2'!OSRRefE21_17x_6</vt:lpstr>
      <vt:lpstr>'Div 3'!OSRRefE21_17x_6</vt:lpstr>
      <vt:lpstr>'Div 4'!OSRRefE21_17x_6</vt:lpstr>
      <vt:lpstr>Summary!OSRRefE21_17x_6</vt:lpstr>
      <vt:lpstr>'300'!OSRRefE21_17x_7</vt:lpstr>
      <vt:lpstr>'300 &amp; 317'!OSRRefE21_17x_7</vt:lpstr>
      <vt:lpstr>'301'!OSRRefE21_17x_7</vt:lpstr>
      <vt:lpstr>'310'!OSRRefE21_17x_7</vt:lpstr>
      <vt:lpstr>'310 &amp; 491'!OSRRefE21_17x_7</vt:lpstr>
      <vt:lpstr>'315'!OSRRefE21_17x_7</vt:lpstr>
      <vt:lpstr>'326'!OSRRefE21_17x_7</vt:lpstr>
      <vt:lpstr>'331'!OSRRefE21_17x_7</vt:lpstr>
      <vt:lpstr>'491'!OSRRefE21_17x_7</vt:lpstr>
      <vt:lpstr>'492'!OSRRefE21_17x_7</vt:lpstr>
      <vt:lpstr>'Div 2'!OSRRefE21_17x_7</vt:lpstr>
      <vt:lpstr>'Div 3'!OSRRefE21_17x_7</vt:lpstr>
      <vt:lpstr>'Div 4'!OSRRefE21_17x_7</vt:lpstr>
      <vt:lpstr>Summary!OSRRefE21_17x_7</vt:lpstr>
      <vt:lpstr>'300'!OSRRefE21_18_0x</vt:lpstr>
      <vt:lpstr>'300 &amp; 317'!OSRRefE21_18_0x</vt:lpstr>
      <vt:lpstr>'301'!OSRRefE21_18_0x</vt:lpstr>
      <vt:lpstr>'310'!OSRRefE21_18_0x</vt:lpstr>
      <vt:lpstr>'310 &amp; 491'!OSRRefE21_18_0x</vt:lpstr>
      <vt:lpstr>'326'!OSRRefE21_18_0x</vt:lpstr>
      <vt:lpstr>'331'!OSRRefE21_18_0x</vt:lpstr>
      <vt:lpstr>'491'!OSRRefE21_18_0x</vt:lpstr>
      <vt:lpstr>'Div 2'!OSRRefE21_18_0x</vt:lpstr>
      <vt:lpstr>'Div 3'!OSRRefE21_18_0x</vt:lpstr>
      <vt:lpstr>'Div 4'!OSRRefE21_18_0x</vt:lpstr>
      <vt:lpstr>Summary!OSRRefE21_18_0x</vt:lpstr>
      <vt:lpstr>'310 &amp; 491'!OSRRefE21_18_10x</vt:lpstr>
      <vt:lpstr>'491'!OSRRefE21_18_10x</vt:lpstr>
      <vt:lpstr>'300'!OSRRefE21_18_1x</vt:lpstr>
      <vt:lpstr>'300 &amp; 317'!OSRRefE21_18_1x</vt:lpstr>
      <vt:lpstr>'310 &amp; 491'!OSRRefE21_18_1x</vt:lpstr>
      <vt:lpstr>'326'!OSRRefE21_18_1x</vt:lpstr>
      <vt:lpstr>'331'!OSRRefE21_18_1x</vt:lpstr>
      <vt:lpstr>'491'!OSRRefE21_18_1x</vt:lpstr>
      <vt:lpstr>'Div 3'!OSRRefE21_18_1x</vt:lpstr>
      <vt:lpstr>'Div 4'!OSRRefE21_18_1x</vt:lpstr>
      <vt:lpstr>Summary!OSRRefE21_18_1x</vt:lpstr>
      <vt:lpstr>'300'!OSRRefE21_18_2x</vt:lpstr>
      <vt:lpstr>'300 &amp; 317'!OSRRefE21_18_2x</vt:lpstr>
      <vt:lpstr>'310 &amp; 491'!OSRRefE21_18_2x</vt:lpstr>
      <vt:lpstr>'491'!OSRRefE21_18_2x</vt:lpstr>
      <vt:lpstr>'Div 3'!OSRRefE21_18_2x</vt:lpstr>
      <vt:lpstr>Summary!OSRRefE21_18_2x</vt:lpstr>
      <vt:lpstr>'300'!OSRRefE21_18_3x</vt:lpstr>
      <vt:lpstr>'300 &amp; 317'!OSRRefE21_18_3x</vt:lpstr>
      <vt:lpstr>'310 &amp; 491'!OSRRefE21_18_3x</vt:lpstr>
      <vt:lpstr>'491'!OSRRefE21_18_3x</vt:lpstr>
      <vt:lpstr>'Div 3'!OSRRefE21_18_3x</vt:lpstr>
      <vt:lpstr>Summary!OSRRefE21_18_3x</vt:lpstr>
      <vt:lpstr>'310 &amp; 491'!OSRRefE21_18_4x</vt:lpstr>
      <vt:lpstr>'491'!OSRRefE21_18_4x</vt:lpstr>
      <vt:lpstr>'310 &amp; 491'!OSRRefE21_18_5x</vt:lpstr>
      <vt:lpstr>'491'!OSRRefE21_18_5x</vt:lpstr>
      <vt:lpstr>'310 &amp; 491'!OSRRefE21_18_6x</vt:lpstr>
      <vt:lpstr>'491'!OSRRefE21_18_6x</vt:lpstr>
      <vt:lpstr>'310 &amp; 491'!OSRRefE21_18_7x</vt:lpstr>
      <vt:lpstr>'491'!OSRRefE21_18_7x</vt:lpstr>
      <vt:lpstr>'310 &amp; 491'!OSRRefE21_18_8x</vt:lpstr>
      <vt:lpstr>'491'!OSRRefE21_18_8x</vt:lpstr>
      <vt:lpstr>'310 &amp; 491'!OSRRefE21_18_9x</vt:lpstr>
      <vt:lpstr>'491'!OSRRefE21_18_9x</vt:lpstr>
      <vt:lpstr>'300'!OSRRefE21_18x_0</vt:lpstr>
      <vt:lpstr>'300 &amp; 317'!OSRRefE21_18x_0</vt:lpstr>
      <vt:lpstr>'301'!OSRRefE21_18x_0</vt:lpstr>
      <vt:lpstr>'310'!OSRRefE21_18x_0</vt:lpstr>
      <vt:lpstr>'310 &amp; 491'!OSRRefE21_18x_0</vt:lpstr>
      <vt:lpstr>'326'!OSRRefE21_18x_0</vt:lpstr>
      <vt:lpstr>'331'!OSRRefE21_18x_0</vt:lpstr>
      <vt:lpstr>'491'!OSRRefE21_18x_0</vt:lpstr>
      <vt:lpstr>'Div 2'!OSRRefE21_18x_0</vt:lpstr>
      <vt:lpstr>'Div 3'!OSRRefE21_18x_0</vt:lpstr>
      <vt:lpstr>'Div 4'!OSRRefE21_18x_0</vt:lpstr>
      <vt:lpstr>Summary!OSRRefE21_18x_0</vt:lpstr>
      <vt:lpstr>'300'!OSRRefE21_18x_1</vt:lpstr>
      <vt:lpstr>'300 &amp; 317'!OSRRefE21_18x_1</vt:lpstr>
      <vt:lpstr>'301'!OSRRefE21_18x_1</vt:lpstr>
      <vt:lpstr>'310'!OSRRefE21_18x_1</vt:lpstr>
      <vt:lpstr>'310 &amp; 491'!OSRRefE21_18x_1</vt:lpstr>
      <vt:lpstr>'326'!OSRRefE21_18x_1</vt:lpstr>
      <vt:lpstr>'331'!OSRRefE21_18x_1</vt:lpstr>
      <vt:lpstr>'491'!OSRRefE21_18x_1</vt:lpstr>
      <vt:lpstr>'Div 2'!OSRRefE21_18x_1</vt:lpstr>
      <vt:lpstr>'Div 3'!OSRRefE21_18x_1</vt:lpstr>
      <vt:lpstr>'Div 4'!OSRRefE21_18x_1</vt:lpstr>
      <vt:lpstr>Summary!OSRRefE21_18x_1</vt:lpstr>
      <vt:lpstr>'300'!OSRRefE21_18x_2</vt:lpstr>
      <vt:lpstr>'300 &amp; 317'!OSRRefE21_18x_2</vt:lpstr>
      <vt:lpstr>'301'!OSRRefE21_18x_2</vt:lpstr>
      <vt:lpstr>'310'!OSRRefE21_18x_2</vt:lpstr>
      <vt:lpstr>'310 &amp; 491'!OSRRefE21_18x_2</vt:lpstr>
      <vt:lpstr>'326'!OSRRefE21_18x_2</vt:lpstr>
      <vt:lpstr>'331'!OSRRefE21_18x_2</vt:lpstr>
      <vt:lpstr>'491'!OSRRefE21_18x_2</vt:lpstr>
      <vt:lpstr>'Div 2'!OSRRefE21_18x_2</vt:lpstr>
      <vt:lpstr>'Div 3'!OSRRefE21_18x_2</vt:lpstr>
      <vt:lpstr>'Div 4'!OSRRefE21_18x_2</vt:lpstr>
      <vt:lpstr>Summary!OSRRefE21_18x_2</vt:lpstr>
      <vt:lpstr>'300'!OSRRefE21_18x_3</vt:lpstr>
      <vt:lpstr>'300 &amp; 317'!OSRRefE21_18x_3</vt:lpstr>
      <vt:lpstr>'301'!OSRRefE21_18x_3</vt:lpstr>
      <vt:lpstr>'310'!OSRRefE21_18x_3</vt:lpstr>
      <vt:lpstr>'310 &amp; 491'!OSRRefE21_18x_3</vt:lpstr>
      <vt:lpstr>'326'!OSRRefE21_18x_3</vt:lpstr>
      <vt:lpstr>'331'!OSRRefE21_18x_3</vt:lpstr>
      <vt:lpstr>'491'!OSRRefE21_18x_3</vt:lpstr>
      <vt:lpstr>'Div 2'!OSRRefE21_18x_3</vt:lpstr>
      <vt:lpstr>'Div 3'!OSRRefE21_18x_3</vt:lpstr>
      <vt:lpstr>'Div 4'!OSRRefE21_18x_3</vt:lpstr>
      <vt:lpstr>Summary!OSRRefE21_18x_3</vt:lpstr>
      <vt:lpstr>'300'!OSRRefE21_18x_4</vt:lpstr>
      <vt:lpstr>'300 &amp; 317'!OSRRefE21_18x_4</vt:lpstr>
      <vt:lpstr>'301'!OSRRefE21_18x_4</vt:lpstr>
      <vt:lpstr>'310'!OSRRefE21_18x_4</vt:lpstr>
      <vt:lpstr>'310 &amp; 491'!OSRRefE21_18x_4</vt:lpstr>
      <vt:lpstr>'326'!OSRRefE21_18x_4</vt:lpstr>
      <vt:lpstr>'331'!OSRRefE21_18x_4</vt:lpstr>
      <vt:lpstr>'491'!OSRRefE21_18x_4</vt:lpstr>
      <vt:lpstr>'Div 2'!OSRRefE21_18x_4</vt:lpstr>
      <vt:lpstr>'Div 3'!OSRRefE21_18x_4</vt:lpstr>
      <vt:lpstr>'Div 4'!OSRRefE21_18x_4</vt:lpstr>
      <vt:lpstr>Summary!OSRRefE21_18x_4</vt:lpstr>
      <vt:lpstr>'300'!OSRRefE21_18x_5</vt:lpstr>
      <vt:lpstr>'300 &amp; 317'!OSRRefE21_18x_5</vt:lpstr>
      <vt:lpstr>'301'!OSRRefE21_18x_5</vt:lpstr>
      <vt:lpstr>'310'!OSRRefE21_18x_5</vt:lpstr>
      <vt:lpstr>'310 &amp; 491'!OSRRefE21_18x_5</vt:lpstr>
      <vt:lpstr>'326'!OSRRefE21_18x_5</vt:lpstr>
      <vt:lpstr>'331'!OSRRefE21_18x_5</vt:lpstr>
      <vt:lpstr>'491'!OSRRefE21_18x_5</vt:lpstr>
      <vt:lpstr>'Div 2'!OSRRefE21_18x_5</vt:lpstr>
      <vt:lpstr>'Div 3'!OSRRefE21_18x_5</vt:lpstr>
      <vt:lpstr>'Div 4'!OSRRefE21_18x_5</vt:lpstr>
      <vt:lpstr>Summary!OSRRefE21_18x_5</vt:lpstr>
      <vt:lpstr>'300'!OSRRefE21_18x_6</vt:lpstr>
      <vt:lpstr>'300 &amp; 317'!OSRRefE21_18x_6</vt:lpstr>
      <vt:lpstr>'301'!OSRRefE21_18x_6</vt:lpstr>
      <vt:lpstr>'310'!OSRRefE21_18x_6</vt:lpstr>
      <vt:lpstr>'310 &amp; 491'!OSRRefE21_18x_6</vt:lpstr>
      <vt:lpstr>'326'!OSRRefE21_18x_6</vt:lpstr>
      <vt:lpstr>'331'!OSRRefE21_18x_6</vt:lpstr>
      <vt:lpstr>'491'!OSRRefE21_18x_6</vt:lpstr>
      <vt:lpstr>'Div 2'!OSRRefE21_18x_6</vt:lpstr>
      <vt:lpstr>'Div 3'!OSRRefE21_18x_6</vt:lpstr>
      <vt:lpstr>'Div 4'!OSRRefE21_18x_6</vt:lpstr>
      <vt:lpstr>Summary!OSRRefE21_18x_6</vt:lpstr>
      <vt:lpstr>'300'!OSRRefE21_18x_7</vt:lpstr>
      <vt:lpstr>'300 &amp; 317'!OSRRefE21_18x_7</vt:lpstr>
      <vt:lpstr>'301'!OSRRefE21_18x_7</vt:lpstr>
      <vt:lpstr>'310'!OSRRefE21_18x_7</vt:lpstr>
      <vt:lpstr>'310 &amp; 491'!OSRRefE21_18x_7</vt:lpstr>
      <vt:lpstr>'326'!OSRRefE21_18x_7</vt:lpstr>
      <vt:lpstr>'331'!OSRRefE21_18x_7</vt:lpstr>
      <vt:lpstr>'491'!OSRRefE21_18x_7</vt:lpstr>
      <vt:lpstr>'Div 2'!OSRRefE21_18x_7</vt:lpstr>
      <vt:lpstr>'Div 3'!OSRRefE21_18x_7</vt:lpstr>
      <vt:lpstr>'Div 4'!OSRRefE21_18x_7</vt:lpstr>
      <vt:lpstr>Summary!OSRRefE21_18x_7</vt:lpstr>
      <vt:lpstr>'300'!OSRRefE21_19_0x</vt:lpstr>
      <vt:lpstr>'300 &amp; 317'!OSRRefE21_19_0x</vt:lpstr>
      <vt:lpstr>'301'!OSRRefE21_19_0x</vt:lpstr>
      <vt:lpstr>'310'!OSRRefE21_19_0x</vt:lpstr>
      <vt:lpstr>'310 &amp; 491'!OSRRefE21_19_0x</vt:lpstr>
      <vt:lpstr>'326'!OSRRefE21_19_0x</vt:lpstr>
      <vt:lpstr>'331'!OSRRefE21_19_0x</vt:lpstr>
      <vt:lpstr>'491'!OSRRefE21_19_0x</vt:lpstr>
      <vt:lpstr>'Div 2'!OSRRefE21_19_0x</vt:lpstr>
      <vt:lpstr>'Div 3'!OSRRefE21_19_0x</vt:lpstr>
      <vt:lpstr>'Div 4'!OSRRefE21_19_0x</vt:lpstr>
      <vt:lpstr>Summary!OSRRefE21_19_0x</vt:lpstr>
      <vt:lpstr>'Div 4'!OSRRefE21_19_10x</vt:lpstr>
      <vt:lpstr>'300'!OSRRefE21_19_1x</vt:lpstr>
      <vt:lpstr>'300 &amp; 317'!OSRRefE21_19_1x</vt:lpstr>
      <vt:lpstr>'310 &amp; 491'!OSRRefE21_19_1x</vt:lpstr>
      <vt:lpstr>'491'!OSRRefE21_19_1x</vt:lpstr>
      <vt:lpstr>'Div 2'!OSRRefE21_19_1x</vt:lpstr>
      <vt:lpstr>'Div 3'!OSRRefE21_19_1x</vt:lpstr>
      <vt:lpstr>'Div 4'!OSRRefE21_19_1x</vt:lpstr>
      <vt:lpstr>Summary!OSRRefE21_19_1x</vt:lpstr>
      <vt:lpstr>'Div 3'!OSRRefE21_19_2x</vt:lpstr>
      <vt:lpstr>'Div 4'!OSRRefE21_19_2x</vt:lpstr>
      <vt:lpstr>Summary!OSRRefE21_19_2x</vt:lpstr>
      <vt:lpstr>'Div 3'!OSRRefE21_19_3x</vt:lpstr>
      <vt:lpstr>'Div 4'!OSRRefE21_19_3x</vt:lpstr>
      <vt:lpstr>Summary!OSRRefE21_19_3x</vt:lpstr>
      <vt:lpstr>'Div 4'!OSRRefE21_19_4x</vt:lpstr>
      <vt:lpstr>'Div 4'!OSRRefE21_19_5x</vt:lpstr>
      <vt:lpstr>'Div 4'!OSRRefE21_19_6x</vt:lpstr>
      <vt:lpstr>'Div 4'!OSRRefE21_19_7x</vt:lpstr>
      <vt:lpstr>'Div 4'!OSRRefE21_19_8x</vt:lpstr>
      <vt:lpstr>'Div 4'!OSRRefE21_19_9x</vt:lpstr>
      <vt:lpstr>'300'!OSRRefE21_19x_0</vt:lpstr>
      <vt:lpstr>'300 &amp; 317'!OSRRefE21_19x_0</vt:lpstr>
      <vt:lpstr>'301'!OSRRefE21_19x_0</vt:lpstr>
      <vt:lpstr>'310'!OSRRefE21_19x_0</vt:lpstr>
      <vt:lpstr>'310 &amp; 491'!OSRRefE21_19x_0</vt:lpstr>
      <vt:lpstr>'326'!OSRRefE21_19x_0</vt:lpstr>
      <vt:lpstr>'331'!OSRRefE21_19x_0</vt:lpstr>
      <vt:lpstr>'491'!OSRRefE21_19x_0</vt:lpstr>
      <vt:lpstr>'Div 2'!OSRRefE21_19x_0</vt:lpstr>
      <vt:lpstr>'Div 3'!OSRRefE21_19x_0</vt:lpstr>
      <vt:lpstr>'Div 4'!OSRRefE21_19x_0</vt:lpstr>
      <vt:lpstr>Summary!OSRRefE21_19x_0</vt:lpstr>
      <vt:lpstr>'300'!OSRRefE21_19x_1</vt:lpstr>
      <vt:lpstr>'300 &amp; 317'!OSRRefE21_19x_1</vt:lpstr>
      <vt:lpstr>'301'!OSRRefE21_19x_1</vt:lpstr>
      <vt:lpstr>'310'!OSRRefE21_19x_1</vt:lpstr>
      <vt:lpstr>'310 &amp; 491'!OSRRefE21_19x_1</vt:lpstr>
      <vt:lpstr>'326'!OSRRefE21_19x_1</vt:lpstr>
      <vt:lpstr>'331'!OSRRefE21_19x_1</vt:lpstr>
      <vt:lpstr>'491'!OSRRefE21_19x_1</vt:lpstr>
      <vt:lpstr>'Div 2'!OSRRefE21_19x_1</vt:lpstr>
      <vt:lpstr>'Div 3'!OSRRefE21_19x_1</vt:lpstr>
      <vt:lpstr>'Div 4'!OSRRefE21_19x_1</vt:lpstr>
      <vt:lpstr>Summary!OSRRefE21_19x_1</vt:lpstr>
      <vt:lpstr>'300'!OSRRefE21_19x_2</vt:lpstr>
      <vt:lpstr>'300 &amp; 317'!OSRRefE21_19x_2</vt:lpstr>
      <vt:lpstr>'301'!OSRRefE21_19x_2</vt:lpstr>
      <vt:lpstr>'310'!OSRRefE21_19x_2</vt:lpstr>
      <vt:lpstr>'310 &amp; 491'!OSRRefE21_19x_2</vt:lpstr>
      <vt:lpstr>'326'!OSRRefE21_19x_2</vt:lpstr>
      <vt:lpstr>'331'!OSRRefE21_19x_2</vt:lpstr>
      <vt:lpstr>'491'!OSRRefE21_19x_2</vt:lpstr>
      <vt:lpstr>'Div 2'!OSRRefE21_19x_2</vt:lpstr>
      <vt:lpstr>'Div 3'!OSRRefE21_19x_2</vt:lpstr>
      <vt:lpstr>'Div 4'!OSRRefE21_19x_2</vt:lpstr>
      <vt:lpstr>Summary!OSRRefE21_19x_2</vt:lpstr>
      <vt:lpstr>'300'!OSRRefE21_19x_3</vt:lpstr>
      <vt:lpstr>'300 &amp; 317'!OSRRefE21_19x_3</vt:lpstr>
      <vt:lpstr>'301'!OSRRefE21_19x_3</vt:lpstr>
      <vt:lpstr>'310'!OSRRefE21_19x_3</vt:lpstr>
      <vt:lpstr>'310 &amp; 491'!OSRRefE21_19x_3</vt:lpstr>
      <vt:lpstr>'326'!OSRRefE21_19x_3</vt:lpstr>
      <vt:lpstr>'331'!OSRRefE21_19x_3</vt:lpstr>
      <vt:lpstr>'491'!OSRRefE21_19x_3</vt:lpstr>
      <vt:lpstr>'Div 2'!OSRRefE21_19x_3</vt:lpstr>
      <vt:lpstr>'Div 3'!OSRRefE21_19x_3</vt:lpstr>
      <vt:lpstr>'Div 4'!OSRRefE21_19x_3</vt:lpstr>
      <vt:lpstr>Summary!OSRRefE21_19x_3</vt:lpstr>
      <vt:lpstr>'300'!OSRRefE21_19x_4</vt:lpstr>
      <vt:lpstr>'300 &amp; 317'!OSRRefE21_19x_4</vt:lpstr>
      <vt:lpstr>'301'!OSRRefE21_19x_4</vt:lpstr>
      <vt:lpstr>'310'!OSRRefE21_19x_4</vt:lpstr>
      <vt:lpstr>'310 &amp; 491'!OSRRefE21_19x_4</vt:lpstr>
      <vt:lpstr>'326'!OSRRefE21_19x_4</vt:lpstr>
      <vt:lpstr>'331'!OSRRefE21_19x_4</vt:lpstr>
      <vt:lpstr>'491'!OSRRefE21_19x_4</vt:lpstr>
      <vt:lpstr>'Div 2'!OSRRefE21_19x_4</vt:lpstr>
      <vt:lpstr>'Div 3'!OSRRefE21_19x_4</vt:lpstr>
      <vt:lpstr>'Div 4'!OSRRefE21_19x_4</vt:lpstr>
      <vt:lpstr>Summary!OSRRefE21_19x_4</vt:lpstr>
      <vt:lpstr>'300'!OSRRefE21_19x_5</vt:lpstr>
      <vt:lpstr>'300 &amp; 317'!OSRRefE21_19x_5</vt:lpstr>
      <vt:lpstr>'301'!OSRRefE21_19x_5</vt:lpstr>
      <vt:lpstr>'310'!OSRRefE21_19x_5</vt:lpstr>
      <vt:lpstr>'310 &amp; 491'!OSRRefE21_19x_5</vt:lpstr>
      <vt:lpstr>'326'!OSRRefE21_19x_5</vt:lpstr>
      <vt:lpstr>'331'!OSRRefE21_19x_5</vt:lpstr>
      <vt:lpstr>'491'!OSRRefE21_19x_5</vt:lpstr>
      <vt:lpstr>'Div 2'!OSRRefE21_19x_5</vt:lpstr>
      <vt:lpstr>'Div 3'!OSRRefE21_19x_5</vt:lpstr>
      <vt:lpstr>'Div 4'!OSRRefE21_19x_5</vt:lpstr>
      <vt:lpstr>Summary!OSRRefE21_19x_5</vt:lpstr>
      <vt:lpstr>'300'!OSRRefE21_19x_6</vt:lpstr>
      <vt:lpstr>'300 &amp; 317'!OSRRefE21_19x_6</vt:lpstr>
      <vt:lpstr>'301'!OSRRefE21_19x_6</vt:lpstr>
      <vt:lpstr>'310'!OSRRefE21_19x_6</vt:lpstr>
      <vt:lpstr>'310 &amp; 491'!OSRRefE21_19x_6</vt:lpstr>
      <vt:lpstr>'326'!OSRRefE21_19x_6</vt:lpstr>
      <vt:lpstr>'331'!OSRRefE21_19x_6</vt:lpstr>
      <vt:lpstr>'491'!OSRRefE21_19x_6</vt:lpstr>
      <vt:lpstr>'Div 2'!OSRRefE21_19x_6</vt:lpstr>
      <vt:lpstr>'Div 3'!OSRRefE21_19x_6</vt:lpstr>
      <vt:lpstr>'Div 4'!OSRRefE21_19x_6</vt:lpstr>
      <vt:lpstr>Summary!OSRRefE21_19x_6</vt:lpstr>
      <vt:lpstr>'300'!OSRRefE21_19x_7</vt:lpstr>
      <vt:lpstr>'300 &amp; 317'!OSRRefE21_19x_7</vt:lpstr>
      <vt:lpstr>'301'!OSRRefE21_19x_7</vt:lpstr>
      <vt:lpstr>'310'!OSRRefE21_19x_7</vt:lpstr>
      <vt:lpstr>'310 &amp; 491'!OSRRefE21_19x_7</vt:lpstr>
      <vt:lpstr>'326'!OSRRefE21_19x_7</vt:lpstr>
      <vt:lpstr>'331'!OSRRefE21_19x_7</vt:lpstr>
      <vt:lpstr>'491'!OSRRefE21_19x_7</vt:lpstr>
      <vt:lpstr>'Div 2'!OSRRefE21_19x_7</vt:lpstr>
      <vt:lpstr>'Div 3'!OSRRefE21_19x_7</vt:lpstr>
      <vt:lpstr>'Div 4'!OSRRefE21_19x_7</vt:lpstr>
      <vt:lpstr>Summary!OSRRefE21_19x_7</vt:lpstr>
      <vt:lpstr>'200'!OSRRefE21_1x_0</vt:lpstr>
      <vt:lpstr>'201'!OSRRefE21_1x_0</vt:lpstr>
      <vt:lpstr>'202'!OSRRefE21_1x_0</vt:lpstr>
      <vt:lpstr>'203'!OSRRefE21_1x_0</vt:lpstr>
      <vt:lpstr>'204'!OSRRefE21_1x_0</vt:lpstr>
      <vt:lpstr>'205'!OSRRefE21_1x_0</vt:lpstr>
      <vt:lpstr>'206'!OSRRefE21_1x_0</vt:lpstr>
      <vt:lpstr>'300'!OSRRefE21_1x_0</vt:lpstr>
      <vt:lpstr>'300 &amp; 317'!OSRRefE21_1x_0</vt:lpstr>
      <vt:lpstr>'301'!OSRRefE21_1x_0</vt:lpstr>
      <vt:lpstr>'307'!OSRRefE21_1x_0</vt:lpstr>
      <vt:lpstr>'308'!OSRRefE21_1x_0</vt:lpstr>
      <vt:lpstr>'309'!OSRRefE21_1x_0</vt:lpstr>
      <vt:lpstr>'310'!OSRRefE21_1x_0</vt:lpstr>
      <vt:lpstr>'310 &amp; 491'!OSRRefE21_1x_0</vt:lpstr>
      <vt:lpstr>'311'!OSRRefE21_1x_0</vt:lpstr>
      <vt:lpstr>'313'!OSRRefE21_1x_0</vt:lpstr>
      <vt:lpstr>'315'!OSRRefE21_1x_0</vt:lpstr>
      <vt:lpstr>'316'!OSRRefE21_1x_0</vt:lpstr>
      <vt:lpstr>'317'!OSRRefE21_1x_0</vt:lpstr>
      <vt:lpstr>'321'!OSRRefE21_1x_0</vt:lpstr>
      <vt:lpstr>'322'!OSRRefE21_1x_0</vt:lpstr>
      <vt:lpstr>'324'!OSRRefE21_1x_0</vt:lpstr>
      <vt:lpstr>'325'!OSRRefE21_1x_0</vt:lpstr>
      <vt:lpstr>'326'!OSRRefE21_1x_0</vt:lpstr>
      <vt:lpstr>'330'!OSRRefE21_1x_0</vt:lpstr>
      <vt:lpstr>'331'!OSRRefE21_1x_0</vt:lpstr>
      <vt:lpstr>'332'!OSRRefE21_1x_0</vt:lpstr>
      <vt:lpstr>'405'!OSRRefE21_1x_0</vt:lpstr>
      <vt:lpstr>'406'!OSRRefE21_1x_0</vt:lpstr>
      <vt:lpstr>'411'!OSRRefE21_1x_0</vt:lpstr>
      <vt:lpstr>'412'!OSRRefE21_1x_0</vt:lpstr>
      <vt:lpstr>'413'!OSRRefE21_1x_0</vt:lpstr>
      <vt:lpstr>'414'!OSRRefE21_1x_0</vt:lpstr>
      <vt:lpstr>'415'!OSRRefE21_1x_0</vt:lpstr>
      <vt:lpstr>'418'!OSRRefE21_1x_0</vt:lpstr>
      <vt:lpstr>'423'!OSRRefE21_1x_0</vt:lpstr>
      <vt:lpstr>'424'!OSRRefE21_1x_0</vt:lpstr>
      <vt:lpstr>'425'!OSRRefE21_1x_0</vt:lpstr>
      <vt:lpstr>'430'!OSRRefE21_1x_0</vt:lpstr>
      <vt:lpstr>'433'!OSRRefE21_1x_0</vt:lpstr>
      <vt:lpstr>'444'!OSRRefE21_1x_0</vt:lpstr>
      <vt:lpstr>'450'!OSRRefE21_1x_0</vt:lpstr>
      <vt:lpstr>'491'!OSRRefE21_1x_0</vt:lpstr>
      <vt:lpstr>'492'!OSRRefE21_1x_0</vt:lpstr>
      <vt:lpstr>'501'!OSRRefE21_1x_0</vt:lpstr>
      <vt:lpstr>'Div 2'!OSRRefE21_1x_0</vt:lpstr>
      <vt:lpstr>'Div 3'!OSRRefE21_1x_0</vt:lpstr>
      <vt:lpstr>'Div 4'!OSRRefE21_1x_0</vt:lpstr>
      <vt:lpstr>'Div 5'!OSRRefE21_1x_0</vt:lpstr>
      <vt:lpstr>'Div 6'!OSRRefE21_1x_0</vt:lpstr>
      <vt:lpstr>Summary!OSRRefE21_1x_0</vt:lpstr>
      <vt:lpstr>'200'!OSRRefE21_1x_1</vt:lpstr>
      <vt:lpstr>'201'!OSRRefE21_1x_1</vt:lpstr>
      <vt:lpstr>'202'!OSRRefE21_1x_1</vt:lpstr>
      <vt:lpstr>'203'!OSRRefE21_1x_1</vt:lpstr>
      <vt:lpstr>'204'!OSRRefE21_1x_1</vt:lpstr>
      <vt:lpstr>'205'!OSRRefE21_1x_1</vt:lpstr>
      <vt:lpstr>'206'!OSRRefE21_1x_1</vt:lpstr>
      <vt:lpstr>'300'!OSRRefE21_1x_1</vt:lpstr>
      <vt:lpstr>'300 &amp; 317'!OSRRefE21_1x_1</vt:lpstr>
      <vt:lpstr>'301'!OSRRefE21_1x_1</vt:lpstr>
      <vt:lpstr>'307'!OSRRefE21_1x_1</vt:lpstr>
      <vt:lpstr>'308'!OSRRefE21_1x_1</vt:lpstr>
      <vt:lpstr>'309'!OSRRefE21_1x_1</vt:lpstr>
      <vt:lpstr>'310'!OSRRefE21_1x_1</vt:lpstr>
      <vt:lpstr>'310 &amp; 491'!OSRRefE21_1x_1</vt:lpstr>
      <vt:lpstr>'311'!OSRRefE21_1x_1</vt:lpstr>
      <vt:lpstr>'313'!OSRRefE21_1x_1</vt:lpstr>
      <vt:lpstr>'315'!OSRRefE21_1x_1</vt:lpstr>
      <vt:lpstr>'316'!OSRRefE21_1x_1</vt:lpstr>
      <vt:lpstr>'317'!OSRRefE21_1x_1</vt:lpstr>
      <vt:lpstr>'321'!OSRRefE21_1x_1</vt:lpstr>
      <vt:lpstr>'322'!OSRRefE21_1x_1</vt:lpstr>
      <vt:lpstr>'324'!OSRRefE21_1x_1</vt:lpstr>
      <vt:lpstr>'325'!OSRRefE21_1x_1</vt:lpstr>
      <vt:lpstr>'326'!OSRRefE21_1x_1</vt:lpstr>
      <vt:lpstr>'330'!OSRRefE21_1x_1</vt:lpstr>
      <vt:lpstr>'331'!OSRRefE21_1x_1</vt:lpstr>
      <vt:lpstr>'332'!OSRRefE21_1x_1</vt:lpstr>
      <vt:lpstr>'405'!OSRRefE21_1x_1</vt:lpstr>
      <vt:lpstr>'406'!OSRRefE21_1x_1</vt:lpstr>
      <vt:lpstr>'411'!OSRRefE21_1x_1</vt:lpstr>
      <vt:lpstr>'412'!OSRRefE21_1x_1</vt:lpstr>
      <vt:lpstr>'413'!OSRRefE21_1x_1</vt:lpstr>
      <vt:lpstr>'414'!OSRRefE21_1x_1</vt:lpstr>
      <vt:lpstr>'415'!OSRRefE21_1x_1</vt:lpstr>
      <vt:lpstr>'418'!OSRRefE21_1x_1</vt:lpstr>
      <vt:lpstr>'423'!OSRRefE21_1x_1</vt:lpstr>
      <vt:lpstr>'424'!OSRRefE21_1x_1</vt:lpstr>
      <vt:lpstr>'425'!OSRRefE21_1x_1</vt:lpstr>
      <vt:lpstr>'430'!OSRRefE21_1x_1</vt:lpstr>
      <vt:lpstr>'433'!OSRRefE21_1x_1</vt:lpstr>
      <vt:lpstr>'444'!OSRRefE21_1x_1</vt:lpstr>
      <vt:lpstr>'450'!OSRRefE21_1x_1</vt:lpstr>
      <vt:lpstr>'491'!OSRRefE21_1x_1</vt:lpstr>
      <vt:lpstr>'492'!OSRRefE21_1x_1</vt:lpstr>
      <vt:lpstr>'501'!OSRRefE21_1x_1</vt:lpstr>
      <vt:lpstr>'Div 2'!OSRRefE21_1x_1</vt:lpstr>
      <vt:lpstr>'Div 3'!OSRRefE21_1x_1</vt:lpstr>
      <vt:lpstr>'Div 4'!OSRRefE21_1x_1</vt:lpstr>
      <vt:lpstr>'Div 5'!OSRRefE21_1x_1</vt:lpstr>
      <vt:lpstr>'Div 6'!OSRRefE21_1x_1</vt:lpstr>
      <vt:lpstr>Summary!OSRRefE21_1x_1</vt:lpstr>
      <vt:lpstr>'200'!OSRRefE21_1x_2</vt:lpstr>
      <vt:lpstr>'201'!OSRRefE21_1x_2</vt:lpstr>
      <vt:lpstr>'202'!OSRRefE21_1x_2</vt:lpstr>
      <vt:lpstr>'203'!OSRRefE21_1x_2</vt:lpstr>
      <vt:lpstr>'204'!OSRRefE21_1x_2</vt:lpstr>
      <vt:lpstr>'205'!OSRRefE21_1x_2</vt:lpstr>
      <vt:lpstr>'206'!OSRRefE21_1x_2</vt:lpstr>
      <vt:lpstr>'300'!OSRRefE21_1x_2</vt:lpstr>
      <vt:lpstr>'300 &amp; 317'!OSRRefE21_1x_2</vt:lpstr>
      <vt:lpstr>'301'!OSRRefE21_1x_2</vt:lpstr>
      <vt:lpstr>'307'!OSRRefE21_1x_2</vt:lpstr>
      <vt:lpstr>'308'!OSRRefE21_1x_2</vt:lpstr>
      <vt:lpstr>'309'!OSRRefE21_1x_2</vt:lpstr>
      <vt:lpstr>'310'!OSRRefE21_1x_2</vt:lpstr>
      <vt:lpstr>'310 &amp; 491'!OSRRefE21_1x_2</vt:lpstr>
      <vt:lpstr>'311'!OSRRefE21_1x_2</vt:lpstr>
      <vt:lpstr>'313'!OSRRefE21_1x_2</vt:lpstr>
      <vt:lpstr>'315'!OSRRefE21_1x_2</vt:lpstr>
      <vt:lpstr>'316'!OSRRefE21_1x_2</vt:lpstr>
      <vt:lpstr>'317'!OSRRefE21_1x_2</vt:lpstr>
      <vt:lpstr>'321'!OSRRefE21_1x_2</vt:lpstr>
      <vt:lpstr>'322'!OSRRefE21_1x_2</vt:lpstr>
      <vt:lpstr>'324'!OSRRefE21_1x_2</vt:lpstr>
      <vt:lpstr>'325'!OSRRefE21_1x_2</vt:lpstr>
      <vt:lpstr>'326'!OSRRefE21_1x_2</vt:lpstr>
      <vt:lpstr>'330'!OSRRefE21_1x_2</vt:lpstr>
      <vt:lpstr>'331'!OSRRefE21_1x_2</vt:lpstr>
      <vt:lpstr>'332'!OSRRefE21_1x_2</vt:lpstr>
      <vt:lpstr>'405'!OSRRefE21_1x_2</vt:lpstr>
      <vt:lpstr>'406'!OSRRefE21_1x_2</vt:lpstr>
      <vt:lpstr>'411'!OSRRefE21_1x_2</vt:lpstr>
      <vt:lpstr>'412'!OSRRefE21_1x_2</vt:lpstr>
      <vt:lpstr>'413'!OSRRefE21_1x_2</vt:lpstr>
      <vt:lpstr>'414'!OSRRefE21_1x_2</vt:lpstr>
      <vt:lpstr>'415'!OSRRefE21_1x_2</vt:lpstr>
      <vt:lpstr>'418'!OSRRefE21_1x_2</vt:lpstr>
      <vt:lpstr>'423'!OSRRefE21_1x_2</vt:lpstr>
      <vt:lpstr>'424'!OSRRefE21_1x_2</vt:lpstr>
      <vt:lpstr>'425'!OSRRefE21_1x_2</vt:lpstr>
      <vt:lpstr>'430'!OSRRefE21_1x_2</vt:lpstr>
      <vt:lpstr>'433'!OSRRefE21_1x_2</vt:lpstr>
      <vt:lpstr>'444'!OSRRefE21_1x_2</vt:lpstr>
      <vt:lpstr>'450'!OSRRefE21_1x_2</vt:lpstr>
      <vt:lpstr>'491'!OSRRefE21_1x_2</vt:lpstr>
      <vt:lpstr>'492'!OSRRefE21_1x_2</vt:lpstr>
      <vt:lpstr>'501'!OSRRefE21_1x_2</vt:lpstr>
      <vt:lpstr>'Div 2'!OSRRefE21_1x_2</vt:lpstr>
      <vt:lpstr>'Div 3'!OSRRefE21_1x_2</vt:lpstr>
      <vt:lpstr>'Div 4'!OSRRefE21_1x_2</vt:lpstr>
      <vt:lpstr>'Div 5'!OSRRefE21_1x_2</vt:lpstr>
      <vt:lpstr>'Div 6'!OSRRefE21_1x_2</vt:lpstr>
      <vt:lpstr>Summary!OSRRefE21_1x_2</vt:lpstr>
      <vt:lpstr>'200'!OSRRefE21_1x_3</vt:lpstr>
      <vt:lpstr>'201'!OSRRefE21_1x_3</vt:lpstr>
      <vt:lpstr>'202'!OSRRefE21_1x_3</vt:lpstr>
      <vt:lpstr>'203'!OSRRefE21_1x_3</vt:lpstr>
      <vt:lpstr>'204'!OSRRefE21_1x_3</vt:lpstr>
      <vt:lpstr>'205'!OSRRefE21_1x_3</vt:lpstr>
      <vt:lpstr>'206'!OSRRefE21_1x_3</vt:lpstr>
      <vt:lpstr>'300'!OSRRefE21_1x_3</vt:lpstr>
      <vt:lpstr>'300 &amp; 317'!OSRRefE21_1x_3</vt:lpstr>
      <vt:lpstr>'301'!OSRRefE21_1x_3</vt:lpstr>
      <vt:lpstr>'307'!OSRRefE21_1x_3</vt:lpstr>
      <vt:lpstr>'308'!OSRRefE21_1x_3</vt:lpstr>
      <vt:lpstr>'309'!OSRRefE21_1x_3</vt:lpstr>
      <vt:lpstr>'310'!OSRRefE21_1x_3</vt:lpstr>
      <vt:lpstr>'310 &amp; 491'!OSRRefE21_1x_3</vt:lpstr>
      <vt:lpstr>'311'!OSRRefE21_1x_3</vt:lpstr>
      <vt:lpstr>'313'!OSRRefE21_1x_3</vt:lpstr>
      <vt:lpstr>'315'!OSRRefE21_1x_3</vt:lpstr>
      <vt:lpstr>'316'!OSRRefE21_1x_3</vt:lpstr>
      <vt:lpstr>'317'!OSRRefE21_1x_3</vt:lpstr>
      <vt:lpstr>'321'!OSRRefE21_1x_3</vt:lpstr>
      <vt:lpstr>'322'!OSRRefE21_1x_3</vt:lpstr>
      <vt:lpstr>'324'!OSRRefE21_1x_3</vt:lpstr>
      <vt:lpstr>'325'!OSRRefE21_1x_3</vt:lpstr>
      <vt:lpstr>'326'!OSRRefE21_1x_3</vt:lpstr>
      <vt:lpstr>'330'!OSRRefE21_1x_3</vt:lpstr>
      <vt:lpstr>'331'!OSRRefE21_1x_3</vt:lpstr>
      <vt:lpstr>'332'!OSRRefE21_1x_3</vt:lpstr>
      <vt:lpstr>'405'!OSRRefE21_1x_3</vt:lpstr>
      <vt:lpstr>'406'!OSRRefE21_1x_3</vt:lpstr>
      <vt:lpstr>'411'!OSRRefE21_1x_3</vt:lpstr>
      <vt:lpstr>'412'!OSRRefE21_1x_3</vt:lpstr>
      <vt:lpstr>'413'!OSRRefE21_1x_3</vt:lpstr>
      <vt:lpstr>'414'!OSRRefE21_1x_3</vt:lpstr>
      <vt:lpstr>'415'!OSRRefE21_1x_3</vt:lpstr>
      <vt:lpstr>'418'!OSRRefE21_1x_3</vt:lpstr>
      <vt:lpstr>'423'!OSRRefE21_1x_3</vt:lpstr>
      <vt:lpstr>'424'!OSRRefE21_1x_3</vt:lpstr>
      <vt:lpstr>'425'!OSRRefE21_1x_3</vt:lpstr>
      <vt:lpstr>'430'!OSRRefE21_1x_3</vt:lpstr>
      <vt:lpstr>'433'!OSRRefE21_1x_3</vt:lpstr>
      <vt:lpstr>'444'!OSRRefE21_1x_3</vt:lpstr>
      <vt:lpstr>'450'!OSRRefE21_1x_3</vt:lpstr>
      <vt:lpstr>'491'!OSRRefE21_1x_3</vt:lpstr>
      <vt:lpstr>'492'!OSRRefE21_1x_3</vt:lpstr>
      <vt:lpstr>'501'!OSRRefE21_1x_3</vt:lpstr>
      <vt:lpstr>'Div 2'!OSRRefE21_1x_3</vt:lpstr>
      <vt:lpstr>'Div 3'!OSRRefE21_1x_3</vt:lpstr>
      <vt:lpstr>'Div 4'!OSRRefE21_1x_3</vt:lpstr>
      <vt:lpstr>'Div 5'!OSRRefE21_1x_3</vt:lpstr>
      <vt:lpstr>'Div 6'!OSRRefE21_1x_3</vt:lpstr>
      <vt:lpstr>Summary!OSRRefE21_1x_3</vt:lpstr>
      <vt:lpstr>'200'!OSRRefE21_1x_4</vt:lpstr>
      <vt:lpstr>'201'!OSRRefE21_1x_4</vt:lpstr>
      <vt:lpstr>'202'!OSRRefE21_1x_4</vt:lpstr>
      <vt:lpstr>'203'!OSRRefE21_1x_4</vt:lpstr>
      <vt:lpstr>'204'!OSRRefE21_1x_4</vt:lpstr>
      <vt:lpstr>'205'!OSRRefE21_1x_4</vt:lpstr>
      <vt:lpstr>'206'!OSRRefE21_1x_4</vt:lpstr>
      <vt:lpstr>'300'!OSRRefE21_1x_4</vt:lpstr>
      <vt:lpstr>'300 &amp; 317'!OSRRefE21_1x_4</vt:lpstr>
      <vt:lpstr>'301'!OSRRefE21_1x_4</vt:lpstr>
      <vt:lpstr>'307'!OSRRefE21_1x_4</vt:lpstr>
      <vt:lpstr>'308'!OSRRefE21_1x_4</vt:lpstr>
      <vt:lpstr>'309'!OSRRefE21_1x_4</vt:lpstr>
      <vt:lpstr>'310'!OSRRefE21_1x_4</vt:lpstr>
      <vt:lpstr>'310 &amp; 491'!OSRRefE21_1x_4</vt:lpstr>
      <vt:lpstr>'311'!OSRRefE21_1x_4</vt:lpstr>
      <vt:lpstr>'313'!OSRRefE21_1x_4</vt:lpstr>
      <vt:lpstr>'315'!OSRRefE21_1x_4</vt:lpstr>
      <vt:lpstr>'316'!OSRRefE21_1x_4</vt:lpstr>
      <vt:lpstr>'317'!OSRRefE21_1x_4</vt:lpstr>
      <vt:lpstr>'321'!OSRRefE21_1x_4</vt:lpstr>
      <vt:lpstr>'322'!OSRRefE21_1x_4</vt:lpstr>
      <vt:lpstr>'324'!OSRRefE21_1x_4</vt:lpstr>
      <vt:lpstr>'325'!OSRRefE21_1x_4</vt:lpstr>
      <vt:lpstr>'326'!OSRRefE21_1x_4</vt:lpstr>
      <vt:lpstr>'330'!OSRRefE21_1x_4</vt:lpstr>
      <vt:lpstr>'331'!OSRRefE21_1x_4</vt:lpstr>
      <vt:lpstr>'332'!OSRRefE21_1x_4</vt:lpstr>
      <vt:lpstr>'405'!OSRRefE21_1x_4</vt:lpstr>
      <vt:lpstr>'406'!OSRRefE21_1x_4</vt:lpstr>
      <vt:lpstr>'411'!OSRRefE21_1x_4</vt:lpstr>
      <vt:lpstr>'412'!OSRRefE21_1x_4</vt:lpstr>
      <vt:lpstr>'413'!OSRRefE21_1x_4</vt:lpstr>
      <vt:lpstr>'414'!OSRRefE21_1x_4</vt:lpstr>
      <vt:lpstr>'415'!OSRRefE21_1x_4</vt:lpstr>
      <vt:lpstr>'418'!OSRRefE21_1x_4</vt:lpstr>
      <vt:lpstr>'423'!OSRRefE21_1x_4</vt:lpstr>
      <vt:lpstr>'424'!OSRRefE21_1x_4</vt:lpstr>
      <vt:lpstr>'425'!OSRRefE21_1x_4</vt:lpstr>
      <vt:lpstr>'430'!OSRRefE21_1x_4</vt:lpstr>
      <vt:lpstr>'433'!OSRRefE21_1x_4</vt:lpstr>
      <vt:lpstr>'444'!OSRRefE21_1x_4</vt:lpstr>
      <vt:lpstr>'450'!OSRRefE21_1x_4</vt:lpstr>
      <vt:lpstr>'491'!OSRRefE21_1x_4</vt:lpstr>
      <vt:lpstr>'492'!OSRRefE21_1x_4</vt:lpstr>
      <vt:lpstr>'501'!OSRRefE21_1x_4</vt:lpstr>
      <vt:lpstr>'Div 2'!OSRRefE21_1x_4</vt:lpstr>
      <vt:lpstr>'Div 3'!OSRRefE21_1x_4</vt:lpstr>
      <vt:lpstr>'Div 4'!OSRRefE21_1x_4</vt:lpstr>
      <vt:lpstr>'Div 5'!OSRRefE21_1x_4</vt:lpstr>
      <vt:lpstr>'Div 6'!OSRRefE21_1x_4</vt:lpstr>
      <vt:lpstr>Summary!OSRRefE21_1x_4</vt:lpstr>
      <vt:lpstr>'200'!OSRRefE21_1x_5</vt:lpstr>
      <vt:lpstr>'201'!OSRRefE21_1x_5</vt:lpstr>
      <vt:lpstr>'202'!OSRRefE21_1x_5</vt:lpstr>
      <vt:lpstr>'203'!OSRRefE21_1x_5</vt:lpstr>
      <vt:lpstr>'204'!OSRRefE21_1x_5</vt:lpstr>
      <vt:lpstr>'205'!OSRRefE21_1x_5</vt:lpstr>
      <vt:lpstr>'206'!OSRRefE21_1x_5</vt:lpstr>
      <vt:lpstr>'300'!OSRRefE21_1x_5</vt:lpstr>
      <vt:lpstr>'300 &amp; 317'!OSRRefE21_1x_5</vt:lpstr>
      <vt:lpstr>'301'!OSRRefE21_1x_5</vt:lpstr>
      <vt:lpstr>'307'!OSRRefE21_1x_5</vt:lpstr>
      <vt:lpstr>'308'!OSRRefE21_1x_5</vt:lpstr>
      <vt:lpstr>'309'!OSRRefE21_1x_5</vt:lpstr>
      <vt:lpstr>'310'!OSRRefE21_1x_5</vt:lpstr>
      <vt:lpstr>'310 &amp; 491'!OSRRefE21_1x_5</vt:lpstr>
      <vt:lpstr>'311'!OSRRefE21_1x_5</vt:lpstr>
      <vt:lpstr>'313'!OSRRefE21_1x_5</vt:lpstr>
      <vt:lpstr>'315'!OSRRefE21_1x_5</vt:lpstr>
      <vt:lpstr>'316'!OSRRefE21_1x_5</vt:lpstr>
      <vt:lpstr>'317'!OSRRefE21_1x_5</vt:lpstr>
      <vt:lpstr>'321'!OSRRefE21_1x_5</vt:lpstr>
      <vt:lpstr>'322'!OSRRefE21_1x_5</vt:lpstr>
      <vt:lpstr>'324'!OSRRefE21_1x_5</vt:lpstr>
      <vt:lpstr>'325'!OSRRefE21_1x_5</vt:lpstr>
      <vt:lpstr>'326'!OSRRefE21_1x_5</vt:lpstr>
      <vt:lpstr>'330'!OSRRefE21_1x_5</vt:lpstr>
      <vt:lpstr>'331'!OSRRefE21_1x_5</vt:lpstr>
      <vt:lpstr>'332'!OSRRefE21_1x_5</vt:lpstr>
      <vt:lpstr>'405'!OSRRefE21_1x_5</vt:lpstr>
      <vt:lpstr>'406'!OSRRefE21_1x_5</vt:lpstr>
      <vt:lpstr>'411'!OSRRefE21_1x_5</vt:lpstr>
      <vt:lpstr>'412'!OSRRefE21_1x_5</vt:lpstr>
      <vt:lpstr>'413'!OSRRefE21_1x_5</vt:lpstr>
      <vt:lpstr>'414'!OSRRefE21_1x_5</vt:lpstr>
      <vt:lpstr>'415'!OSRRefE21_1x_5</vt:lpstr>
      <vt:lpstr>'418'!OSRRefE21_1x_5</vt:lpstr>
      <vt:lpstr>'423'!OSRRefE21_1x_5</vt:lpstr>
      <vt:lpstr>'424'!OSRRefE21_1x_5</vt:lpstr>
      <vt:lpstr>'425'!OSRRefE21_1x_5</vt:lpstr>
      <vt:lpstr>'430'!OSRRefE21_1x_5</vt:lpstr>
      <vt:lpstr>'433'!OSRRefE21_1x_5</vt:lpstr>
      <vt:lpstr>'444'!OSRRefE21_1x_5</vt:lpstr>
      <vt:lpstr>'450'!OSRRefE21_1x_5</vt:lpstr>
      <vt:lpstr>'491'!OSRRefE21_1x_5</vt:lpstr>
      <vt:lpstr>'492'!OSRRefE21_1x_5</vt:lpstr>
      <vt:lpstr>'501'!OSRRefE21_1x_5</vt:lpstr>
      <vt:lpstr>'Div 2'!OSRRefE21_1x_5</vt:lpstr>
      <vt:lpstr>'Div 3'!OSRRefE21_1x_5</vt:lpstr>
      <vt:lpstr>'Div 4'!OSRRefE21_1x_5</vt:lpstr>
      <vt:lpstr>'Div 5'!OSRRefE21_1x_5</vt:lpstr>
      <vt:lpstr>'Div 6'!OSRRefE21_1x_5</vt:lpstr>
      <vt:lpstr>Summary!OSRRefE21_1x_5</vt:lpstr>
      <vt:lpstr>'200'!OSRRefE21_1x_6</vt:lpstr>
      <vt:lpstr>'201'!OSRRefE21_1x_6</vt:lpstr>
      <vt:lpstr>'202'!OSRRefE21_1x_6</vt:lpstr>
      <vt:lpstr>'203'!OSRRefE21_1x_6</vt:lpstr>
      <vt:lpstr>'204'!OSRRefE21_1x_6</vt:lpstr>
      <vt:lpstr>'205'!OSRRefE21_1x_6</vt:lpstr>
      <vt:lpstr>'206'!OSRRefE21_1x_6</vt:lpstr>
      <vt:lpstr>'300'!OSRRefE21_1x_6</vt:lpstr>
      <vt:lpstr>'300 &amp; 317'!OSRRefE21_1x_6</vt:lpstr>
      <vt:lpstr>'301'!OSRRefE21_1x_6</vt:lpstr>
      <vt:lpstr>'307'!OSRRefE21_1x_6</vt:lpstr>
      <vt:lpstr>'308'!OSRRefE21_1x_6</vt:lpstr>
      <vt:lpstr>'309'!OSRRefE21_1x_6</vt:lpstr>
      <vt:lpstr>'310'!OSRRefE21_1x_6</vt:lpstr>
      <vt:lpstr>'310 &amp; 491'!OSRRefE21_1x_6</vt:lpstr>
      <vt:lpstr>'311'!OSRRefE21_1x_6</vt:lpstr>
      <vt:lpstr>'313'!OSRRefE21_1x_6</vt:lpstr>
      <vt:lpstr>'315'!OSRRefE21_1x_6</vt:lpstr>
      <vt:lpstr>'316'!OSRRefE21_1x_6</vt:lpstr>
      <vt:lpstr>'317'!OSRRefE21_1x_6</vt:lpstr>
      <vt:lpstr>'321'!OSRRefE21_1x_6</vt:lpstr>
      <vt:lpstr>'322'!OSRRefE21_1x_6</vt:lpstr>
      <vt:lpstr>'324'!OSRRefE21_1x_6</vt:lpstr>
      <vt:lpstr>'325'!OSRRefE21_1x_6</vt:lpstr>
      <vt:lpstr>'326'!OSRRefE21_1x_6</vt:lpstr>
      <vt:lpstr>'330'!OSRRefE21_1x_6</vt:lpstr>
      <vt:lpstr>'331'!OSRRefE21_1x_6</vt:lpstr>
      <vt:lpstr>'332'!OSRRefE21_1x_6</vt:lpstr>
      <vt:lpstr>'405'!OSRRefE21_1x_6</vt:lpstr>
      <vt:lpstr>'406'!OSRRefE21_1x_6</vt:lpstr>
      <vt:lpstr>'411'!OSRRefE21_1x_6</vt:lpstr>
      <vt:lpstr>'412'!OSRRefE21_1x_6</vt:lpstr>
      <vt:lpstr>'413'!OSRRefE21_1x_6</vt:lpstr>
      <vt:lpstr>'414'!OSRRefE21_1x_6</vt:lpstr>
      <vt:lpstr>'415'!OSRRefE21_1x_6</vt:lpstr>
      <vt:lpstr>'418'!OSRRefE21_1x_6</vt:lpstr>
      <vt:lpstr>'423'!OSRRefE21_1x_6</vt:lpstr>
      <vt:lpstr>'424'!OSRRefE21_1x_6</vt:lpstr>
      <vt:lpstr>'425'!OSRRefE21_1x_6</vt:lpstr>
      <vt:lpstr>'430'!OSRRefE21_1x_6</vt:lpstr>
      <vt:lpstr>'433'!OSRRefE21_1x_6</vt:lpstr>
      <vt:lpstr>'444'!OSRRefE21_1x_6</vt:lpstr>
      <vt:lpstr>'450'!OSRRefE21_1x_6</vt:lpstr>
      <vt:lpstr>'491'!OSRRefE21_1x_6</vt:lpstr>
      <vt:lpstr>'492'!OSRRefE21_1x_6</vt:lpstr>
      <vt:lpstr>'501'!OSRRefE21_1x_6</vt:lpstr>
      <vt:lpstr>'Div 2'!OSRRefE21_1x_6</vt:lpstr>
      <vt:lpstr>'Div 3'!OSRRefE21_1x_6</vt:lpstr>
      <vt:lpstr>'Div 4'!OSRRefE21_1x_6</vt:lpstr>
      <vt:lpstr>'Div 5'!OSRRefE21_1x_6</vt:lpstr>
      <vt:lpstr>'Div 6'!OSRRefE21_1x_6</vt:lpstr>
      <vt:lpstr>Summary!OSRRefE21_1x_6</vt:lpstr>
      <vt:lpstr>'200'!OSRRefE21_1x_7</vt:lpstr>
      <vt:lpstr>'201'!OSRRefE21_1x_7</vt:lpstr>
      <vt:lpstr>'202'!OSRRefE21_1x_7</vt:lpstr>
      <vt:lpstr>'203'!OSRRefE21_1x_7</vt:lpstr>
      <vt:lpstr>'204'!OSRRefE21_1x_7</vt:lpstr>
      <vt:lpstr>'205'!OSRRefE21_1x_7</vt:lpstr>
      <vt:lpstr>'206'!OSRRefE21_1x_7</vt:lpstr>
      <vt:lpstr>'300'!OSRRefE21_1x_7</vt:lpstr>
      <vt:lpstr>'300 &amp; 317'!OSRRefE21_1x_7</vt:lpstr>
      <vt:lpstr>'301'!OSRRefE21_1x_7</vt:lpstr>
      <vt:lpstr>'307'!OSRRefE21_1x_7</vt:lpstr>
      <vt:lpstr>'308'!OSRRefE21_1x_7</vt:lpstr>
      <vt:lpstr>'309'!OSRRefE21_1x_7</vt:lpstr>
      <vt:lpstr>'310'!OSRRefE21_1x_7</vt:lpstr>
      <vt:lpstr>'310 &amp; 491'!OSRRefE21_1x_7</vt:lpstr>
      <vt:lpstr>'311'!OSRRefE21_1x_7</vt:lpstr>
      <vt:lpstr>'313'!OSRRefE21_1x_7</vt:lpstr>
      <vt:lpstr>'315'!OSRRefE21_1x_7</vt:lpstr>
      <vt:lpstr>'316'!OSRRefE21_1x_7</vt:lpstr>
      <vt:lpstr>'317'!OSRRefE21_1x_7</vt:lpstr>
      <vt:lpstr>'321'!OSRRefE21_1x_7</vt:lpstr>
      <vt:lpstr>'322'!OSRRefE21_1x_7</vt:lpstr>
      <vt:lpstr>'324'!OSRRefE21_1x_7</vt:lpstr>
      <vt:lpstr>'325'!OSRRefE21_1x_7</vt:lpstr>
      <vt:lpstr>'326'!OSRRefE21_1x_7</vt:lpstr>
      <vt:lpstr>'330'!OSRRefE21_1x_7</vt:lpstr>
      <vt:lpstr>'331'!OSRRefE21_1x_7</vt:lpstr>
      <vt:lpstr>'332'!OSRRefE21_1x_7</vt:lpstr>
      <vt:lpstr>'405'!OSRRefE21_1x_7</vt:lpstr>
      <vt:lpstr>'406'!OSRRefE21_1x_7</vt:lpstr>
      <vt:lpstr>'411'!OSRRefE21_1x_7</vt:lpstr>
      <vt:lpstr>'412'!OSRRefE21_1x_7</vt:lpstr>
      <vt:lpstr>'413'!OSRRefE21_1x_7</vt:lpstr>
      <vt:lpstr>'414'!OSRRefE21_1x_7</vt:lpstr>
      <vt:lpstr>'415'!OSRRefE21_1x_7</vt:lpstr>
      <vt:lpstr>'418'!OSRRefE21_1x_7</vt:lpstr>
      <vt:lpstr>'423'!OSRRefE21_1x_7</vt:lpstr>
      <vt:lpstr>'424'!OSRRefE21_1x_7</vt:lpstr>
      <vt:lpstr>'425'!OSRRefE21_1x_7</vt:lpstr>
      <vt:lpstr>'430'!OSRRefE21_1x_7</vt:lpstr>
      <vt:lpstr>'433'!OSRRefE21_1x_7</vt:lpstr>
      <vt:lpstr>'444'!OSRRefE21_1x_7</vt:lpstr>
      <vt:lpstr>'450'!OSRRefE21_1x_7</vt:lpstr>
      <vt:lpstr>'491'!OSRRefE21_1x_7</vt:lpstr>
      <vt:lpstr>'492'!OSRRefE21_1x_7</vt:lpstr>
      <vt:lpstr>'501'!OSRRefE21_1x_7</vt:lpstr>
      <vt:lpstr>'Div 2'!OSRRefE21_1x_7</vt:lpstr>
      <vt:lpstr>'Div 3'!OSRRefE21_1x_7</vt:lpstr>
      <vt:lpstr>'Div 4'!OSRRefE21_1x_7</vt:lpstr>
      <vt:lpstr>'Div 5'!OSRRefE21_1x_7</vt:lpstr>
      <vt:lpstr>'Div 6'!OSRRefE21_1x_7</vt:lpstr>
      <vt:lpstr>Summary!OSRRefE21_1x_7</vt:lpstr>
      <vt:lpstr>'200'!OSRRefE21_2_0x</vt:lpstr>
      <vt:lpstr>'201'!OSRRefE21_2_0x</vt:lpstr>
      <vt:lpstr>'202'!OSRRefE21_2_0x</vt:lpstr>
      <vt:lpstr>'203'!OSRRefE21_2_0x</vt:lpstr>
      <vt:lpstr>'204'!OSRRefE21_2_0x</vt:lpstr>
      <vt:lpstr>'205'!OSRRefE21_2_0x</vt:lpstr>
      <vt:lpstr>'206'!OSRRefE21_2_0x</vt:lpstr>
      <vt:lpstr>'300'!OSRRefE21_2_0x</vt:lpstr>
      <vt:lpstr>'300 &amp; 317'!OSRRefE21_2_0x</vt:lpstr>
      <vt:lpstr>'301'!OSRRefE21_2_0x</vt:lpstr>
      <vt:lpstr>'307'!OSRRefE21_2_0x</vt:lpstr>
      <vt:lpstr>'308'!OSRRefE21_2_0x</vt:lpstr>
      <vt:lpstr>'309'!OSRRefE21_2_0x</vt:lpstr>
      <vt:lpstr>'310'!OSRRefE21_2_0x</vt:lpstr>
      <vt:lpstr>'310 &amp; 491'!OSRRefE21_2_0x</vt:lpstr>
      <vt:lpstr>'311'!OSRRefE21_2_0x</vt:lpstr>
      <vt:lpstr>'313'!OSRRefE21_2_0x</vt:lpstr>
      <vt:lpstr>'315'!OSRRefE21_2_0x</vt:lpstr>
      <vt:lpstr>'316'!OSRRefE21_2_0x</vt:lpstr>
      <vt:lpstr>'317'!OSRRefE21_2_0x</vt:lpstr>
      <vt:lpstr>'321'!OSRRefE21_2_0x</vt:lpstr>
      <vt:lpstr>'322'!OSRRefE21_2_0x</vt:lpstr>
      <vt:lpstr>'325'!OSRRefE21_2_0x</vt:lpstr>
      <vt:lpstr>'326'!OSRRefE21_2_0x</vt:lpstr>
      <vt:lpstr>'330'!OSRRefE21_2_0x</vt:lpstr>
      <vt:lpstr>'331'!OSRRefE21_2_0x</vt:lpstr>
      <vt:lpstr>'332'!OSRRefE21_2_0x</vt:lpstr>
      <vt:lpstr>'405'!OSRRefE21_2_0x</vt:lpstr>
      <vt:lpstr>'406'!OSRRefE21_2_0x</vt:lpstr>
      <vt:lpstr>'411'!OSRRefE21_2_0x</vt:lpstr>
      <vt:lpstr>'412'!OSRRefE21_2_0x</vt:lpstr>
      <vt:lpstr>'413'!OSRRefE21_2_0x</vt:lpstr>
      <vt:lpstr>'414'!OSRRefE21_2_0x</vt:lpstr>
      <vt:lpstr>'415'!OSRRefE21_2_0x</vt:lpstr>
      <vt:lpstr>'418'!OSRRefE21_2_0x</vt:lpstr>
      <vt:lpstr>'423'!OSRRefE21_2_0x</vt:lpstr>
      <vt:lpstr>'424'!OSRRefE21_2_0x</vt:lpstr>
      <vt:lpstr>'425'!OSRRefE21_2_0x</vt:lpstr>
      <vt:lpstr>'430'!OSRRefE21_2_0x</vt:lpstr>
      <vt:lpstr>'433'!OSRRefE21_2_0x</vt:lpstr>
      <vt:lpstr>'444'!OSRRefE21_2_0x</vt:lpstr>
      <vt:lpstr>'450'!OSRRefE21_2_0x</vt:lpstr>
      <vt:lpstr>'491'!OSRRefE21_2_0x</vt:lpstr>
      <vt:lpstr>'492'!OSRRefE21_2_0x</vt:lpstr>
      <vt:lpstr>'501'!OSRRefE21_2_0x</vt:lpstr>
      <vt:lpstr>'Div 2'!OSRRefE21_2_0x</vt:lpstr>
      <vt:lpstr>'Div 3'!OSRRefE21_2_0x</vt:lpstr>
      <vt:lpstr>'Div 4'!OSRRefE21_2_0x</vt:lpstr>
      <vt:lpstr>'Div 5'!OSRRefE21_2_0x</vt:lpstr>
      <vt:lpstr>'Div 6'!OSRRefE21_2_0x</vt:lpstr>
      <vt:lpstr>Summary!OSRRefE21_2_0x</vt:lpstr>
      <vt:lpstr>'301'!OSRRefE21_2_1x</vt:lpstr>
      <vt:lpstr>'300'!OSRRefE21_20_0x</vt:lpstr>
      <vt:lpstr>'300 &amp; 317'!OSRRefE21_20_0x</vt:lpstr>
      <vt:lpstr>'301'!OSRRefE21_20_0x</vt:lpstr>
      <vt:lpstr>'310 &amp; 491'!OSRRefE21_20_0x</vt:lpstr>
      <vt:lpstr>'331'!OSRRefE21_20_0x</vt:lpstr>
      <vt:lpstr>'491'!OSRRefE21_20_0x</vt:lpstr>
      <vt:lpstr>'Div 3'!OSRRefE21_20_0x</vt:lpstr>
      <vt:lpstr>'Div 4'!OSRRefE21_20_0x</vt:lpstr>
      <vt:lpstr>Summary!OSRRefE21_20_0x</vt:lpstr>
      <vt:lpstr>'300'!OSRRefE21_20_1x</vt:lpstr>
      <vt:lpstr>'300 &amp; 317'!OSRRefE21_20_1x</vt:lpstr>
      <vt:lpstr>'331'!OSRRefE21_20_1x</vt:lpstr>
      <vt:lpstr>'Div 3'!OSRRefE21_20_1x</vt:lpstr>
      <vt:lpstr>'Div 4'!OSRRefE21_20_1x</vt:lpstr>
      <vt:lpstr>Summary!OSRRefE21_20_1x</vt:lpstr>
      <vt:lpstr>'300'!OSRRefE21_20_2x</vt:lpstr>
      <vt:lpstr>'300 &amp; 317'!OSRRefE21_20_2x</vt:lpstr>
      <vt:lpstr>Summary!OSRRefE21_20_2x</vt:lpstr>
      <vt:lpstr>'300'!OSRRefE21_20_3x</vt:lpstr>
      <vt:lpstr>'300 &amp; 317'!OSRRefE21_20_3x</vt:lpstr>
      <vt:lpstr>Summary!OSRRefE21_20_3x</vt:lpstr>
      <vt:lpstr>'300'!OSRRefE21_20_4x</vt:lpstr>
      <vt:lpstr>'300 &amp; 317'!OSRRefE21_20_4x</vt:lpstr>
      <vt:lpstr>Summary!OSRRefE21_20_4x</vt:lpstr>
      <vt:lpstr>'300'!OSRRefE21_20_5x</vt:lpstr>
      <vt:lpstr>'300 &amp; 317'!OSRRefE21_20_5x</vt:lpstr>
      <vt:lpstr>'300'!OSRRefE21_20_6x</vt:lpstr>
      <vt:lpstr>'300 &amp; 317'!OSRRefE21_20_6x</vt:lpstr>
      <vt:lpstr>'300'!OSRRefE21_20_7x</vt:lpstr>
      <vt:lpstr>'300 &amp; 317'!OSRRefE21_20_7x</vt:lpstr>
      <vt:lpstr>'300'!OSRRefE21_20_8x</vt:lpstr>
      <vt:lpstr>'300 &amp; 317'!OSRRefE21_20_8x</vt:lpstr>
      <vt:lpstr>'300'!OSRRefE21_20x_0</vt:lpstr>
      <vt:lpstr>'300 &amp; 317'!OSRRefE21_20x_0</vt:lpstr>
      <vt:lpstr>'301'!OSRRefE21_20x_0</vt:lpstr>
      <vt:lpstr>'310 &amp; 491'!OSRRefE21_20x_0</vt:lpstr>
      <vt:lpstr>'331'!OSRRefE21_20x_0</vt:lpstr>
      <vt:lpstr>'491'!OSRRefE21_20x_0</vt:lpstr>
      <vt:lpstr>'Div 3'!OSRRefE21_20x_0</vt:lpstr>
      <vt:lpstr>'Div 4'!OSRRefE21_20x_0</vt:lpstr>
      <vt:lpstr>Summary!OSRRefE21_20x_0</vt:lpstr>
      <vt:lpstr>'300'!OSRRefE21_20x_1</vt:lpstr>
      <vt:lpstr>'300 &amp; 317'!OSRRefE21_20x_1</vt:lpstr>
      <vt:lpstr>'301'!OSRRefE21_20x_1</vt:lpstr>
      <vt:lpstr>'310 &amp; 491'!OSRRefE21_20x_1</vt:lpstr>
      <vt:lpstr>'331'!OSRRefE21_20x_1</vt:lpstr>
      <vt:lpstr>'491'!OSRRefE21_20x_1</vt:lpstr>
      <vt:lpstr>'Div 3'!OSRRefE21_20x_1</vt:lpstr>
      <vt:lpstr>'Div 4'!OSRRefE21_20x_1</vt:lpstr>
      <vt:lpstr>Summary!OSRRefE21_20x_1</vt:lpstr>
      <vt:lpstr>'300'!OSRRefE21_20x_2</vt:lpstr>
      <vt:lpstr>'300 &amp; 317'!OSRRefE21_20x_2</vt:lpstr>
      <vt:lpstr>'301'!OSRRefE21_20x_2</vt:lpstr>
      <vt:lpstr>'310 &amp; 491'!OSRRefE21_20x_2</vt:lpstr>
      <vt:lpstr>'331'!OSRRefE21_20x_2</vt:lpstr>
      <vt:lpstr>'491'!OSRRefE21_20x_2</vt:lpstr>
      <vt:lpstr>'Div 3'!OSRRefE21_20x_2</vt:lpstr>
      <vt:lpstr>'Div 4'!OSRRefE21_20x_2</vt:lpstr>
      <vt:lpstr>Summary!OSRRefE21_20x_2</vt:lpstr>
      <vt:lpstr>'300'!OSRRefE21_20x_3</vt:lpstr>
      <vt:lpstr>'300 &amp; 317'!OSRRefE21_20x_3</vt:lpstr>
      <vt:lpstr>'301'!OSRRefE21_20x_3</vt:lpstr>
      <vt:lpstr>'310 &amp; 491'!OSRRefE21_20x_3</vt:lpstr>
      <vt:lpstr>'331'!OSRRefE21_20x_3</vt:lpstr>
      <vt:lpstr>'491'!OSRRefE21_20x_3</vt:lpstr>
      <vt:lpstr>'Div 3'!OSRRefE21_20x_3</vt:lpstr>
      <vt:lpstr>'Div 4'!OSRRefE21_20x_3</vt:lpstr>
      <vt:lpstr>Summary!OSRRefE21_20x_3</vt:lpstr>
      <vt:lpstr>'300'!OSRRefE21_20x_4</vt:lpstr>
      <vt:lpstr>'300 &amp; 317'!OSRRefE21_20x_4</vt:lpstr>
      <vt:lpstr>'301'!OSRRefE21_20x_4</vt:lpstr>
      <vt:lpstr>'310 &amp; 491'!OSRRefE21_20x_4</vt:lpstr>
      <vt:lpstr>'331'!OSRRefE21_20x_4</vt:lpstr>
      <vt:lpstr>'491'!OSRRefE21_20x_4</vt:lpstr>
      <vt:lpstr>'Div 3'!OSRRefE21_20x_4</vt:lpstr>
      <vt:lpstr>'Div 4'!OSRRefE21_20x_4</vt:lpstr>
      <vt:lpstr>Summary!OSRRefE21_20x_4</vt:lpstr>
      <vt:lpstr>'300'!OSRRefE21_20x_5</vt:lpstr>
      <vt:lpstr>'300 &amp; 317'!OSRRefE21_20x_5</vt:lpstr>
      <vt:lpstr>'301'!OSRRefE21_20x_5</vt:lpstr>
      <vt:lpstr>'310 &amp; 491'!OSRRefE21_20x_5</vt:lpstr>
      <vt:lpstr>'331'!OSRRefE21_20x_5</vt:lpstr>
      <vt:lpstr>'491'!OSRRefE21_20x_5</vt:lpstr>
      <vt:lpstr>'Div 3'!OSRRefE21_20x_5</vt:lpstr>
      <vt:lpstr>'Div 4'!OSRRefE21_20x_5</vt:lpstr>
      <vt:lpstr>Summary!OSRRefE21_20x_5</vt:lpstr>
      <vt:lpstr>'300'!OSRRefE21_20x_6</vt:lpstr>
      <vt:lpstr>'300 &amp; 317'!OSRRefE21_20x_6</vt:lpstr>
      <vt:lpstr>'301'!OSRRefE21_20x_6</vt:lpstr>
      <vt:lpstr>'310 &amp; 491'!OSRRefE21_20x_6</vt:lpstr>
      <vt:lpstr>'331'!OSRRefE21_20x_6</vt:lpstr>
      <vt:lpstr>'491'!OSRRefE21_20x_6</vt:lpstr>
      <vt:lpstr>'Div 3'!OSRRefE21_20x_6</vt:lpstr>
      <vt:lpstr>'Div 4'!OSRRefE21_20x_6</vt:lpstr>
      <vt:lpstr>Summary!OSRRefE21_20x_6</vt:lpstr>
      <vt:lpstr>'300'!OSRRefE21_20x_7</vt:lpstr>
      <vt:lpstr>'300 &amp; 317'!OSRRefE21_20x_7</vt:lpstr>
      <vt:lpstr>'301'!OSRRefE21_20x_7</vt:lpstr>
      <vt:lpstr>'310 &amp; 491'!OSRRefE21_20x_7</vt:lpstr>
      <vt:lpstr>'331'!OSRRefE21_20x_7</vt:lpstr>
      <vt:lpstr>'491'!OSRRefE21_20x_7</vt:lpstr>
      <vt:lpstr>'Div 3'!OSRRefE21_20x_7</vt:lpstr>
      <vt:lpstr>'Div 4'!OSRRefE21_20x_7</vt:lpstr>
      <vt:lpstr>Summary!OSRRefE21_20x_7</vt:lpstr>
      <vt:lpstr>'300'!OSRRefE21_21_0x</vt:lpstr>
      <vt:lpstr>'300 &amp; 317'!OSRRefE21_21_0x</vt:lpstr>
      <vt:lpstr>'310 &amp; 491'!OSRRefE21_21_0x</vt:lpstr>
      <vt:lpstr>'331'!OSRRefE21_21_0x</vt:lpstr>
      <vt:lpstr>'491'!OSRRefE21_21_0x</vt:lpstr>
      <vt:lpstr>'Div 3'!OSRRefE21_21_0x</vt:lpstr>
      <vt:lpstr>'Div 4'!OSRRefE21_21_0x</vt:lpstr>
      <vt:lpstr>Summary!OSRRefE21_21_0x</vt:lpstr>
      <vt:lpstr>'300'!OSRRefE21_21_1x</vt:lpstr>
      <vt:lpstr>'300 &amp; 317'!OSRRefE21_21_1x</vt:lpstr>
      <vt:lpstr>'Div 3'!OSRRefE21_21_1x</vt:lpstr>
      <vt:lpstr>Summary!OSRRefE21_21_1x</vt:lpstr>
      <vt:lpstr>'Div 3'!OSRRefE21_21_2x</vt:lpstr>
      <vt:lpstr>'Div 3'!OSRRefE21_21_3x</vt:lpstr>
      <vt:lpstr>'Div 3'!OSRRefE21_21_4x</vt:lpstr>
      <vt:lpstr>'Div 3'!OSRRefE21_21_5x</vt:lpstr>
      <vt:lpstr>'Div 3'!OSRRefE21_21_6x</vt:lpstr>
      <vt:lpstr>'Div 3'!OSRRefE21_21_7x</vt:lpstr>
      <vt:lpstr>'Div 3'!OSRRefE21_21_8x</vt:lpstr>
      <vt:lpstr>'300'!OSRRefE21_21x_0</vt:lpstr>
      <vt:lpstr>'300 &amp; 317'!OSRRefE21_21x_0</vt:lpstr>
      <vt:lpstr>'310 &amp; 491'!OSRRefE21_21x_0</vt:lpstr>
      <vt:lpstr>'331'!OSRRefE21_21x_0</vt:lpstr>
      <vt:lpstr>'491'!OSRRefE21_21x_0</vt:lpstr>
      <vt:lpstr>'Div 3'!OSRRefE21_21x_0</vt:lpstr>
      <vt:lpstr>'Div 4'!OSRRefE21_21x_0</vt:lpstr>
      <vt:lpstr>Summary!OSRRefE21_21x_0</vt:lpstr>
      <vt:lpstr>'300'!OSRRefE21_21x_1</vt:lpstr>
      <vt:lpstr>'300 &amp; 317'!OSRRefE21_21x_1</vt:lpstr>
      <vt:lpstr>'310 &amp; 491'!OSRRefE21_21x_1</vt:lpstr>
      <vt:lpstr>'331'!OSRRefE21_21x_1</vt:lpstr>
      <vt:lpstr>'491'!OSRRefE21_21x_1</vt:lpstr>
      <vt:lpstr>'Div 3'!OSRRefE21_21x_1</vt:lpstr>
      <vt:lpstr>'Div 4'!OSRRefE21_21x_1</vt:lpstr>
      <vt:lpstr>Summary!OSRRefE21_21x_1</vt:lpstr>
      <vt:lpstr>'300'!OSRRefE21_21x_2</vt:lpstr>
      <vt:lpstr>'300 &amp; 317'!OSRRefE21_21x_2</vt:lpstr>
      <vt:lpstr>'310 &amp; 491'!OSRRefE21_21x_2</vt:lpstr>
      <vt:lpstr>'331'!OSRRefE21_21x_2</vt:lpstr>
      <vt:lpstr>'491'!OSRRefE21_21x_2</vt:lpstr>
      <vt:lpstr>'Div 3'!OSRRefE21_21x_2</vt:lpstr>
      <vt:lpstr>'Div 4'!OSRRefE21_21x_2</vt:lpstr>
      <vt:lpstr>Summary!OSRRefE21_21x_2</vt:lpstr>
      <vt:lpstr>'300'!OSRRefE21_21x_3</vt:lpstr>
      <vt:lpstr>'300 &amp; 317'!OSRRefE21_21x_3</vt:lpstr>
      <vt:lpstr>'310 &amp; 491'!OSRRefE21_21x_3</vt:lpstr>
      <vt:lpstr>'331'!OSRRefE21_21x_3</vt:lpstr>
      <vt:lpstr>'491'!OSRRefE21_21x_3</vt:lpstr>
      <vt:lpstr>'Div 3'!OSRRefE21_21x_3</vt:lpstr>
      <vt:lpstr>'Div 4'!OSRRefE21_21x_3</vt:lpstr>
      <vt:lpstr>Summary!OSRRefE21_21x_3</vt:lpstr>
      <vt:lpstr>'300'!OSRRefE21_21x_4</vt:lpstr>
      <vt:lpstr>'300 &amp; 317'!OSRRefE21_21x_4</vt:lpstr>
      <vt:lpstr>'310 &amp; 491'!OSRRefE21_21x_4</vt:lpstr>
      <vt:lpstr>'331'!OSRRefE21_21x_4</vt:lpstr>
      <vt:lpstr>'491'!OSRRefE21_21x_4</vt:lpstr>
      <vt:lpstr>'Div 3'!OSRRefE21_21x_4</vt:lpstr>
      <vt:lpstr>'Div 4'!OSRRefE21_21x_4</vt:lpstr>
      <vt:lpstr>Summary!OSRRefE21_21x_4</vt:lpstr>
      <vt:lpstr>'300'!OSRRefE21_21x_5</vt:lpstr>
      <vt:lpstr>'300 &amp; 317'!OSRRefE21_21x_5</vt:lpstr>
      <vt:lpstr>'310 &amp; 491'!OSRRefE21_21x_5</vt:lpstr>
      <vt:lpstr>'331'!OSRRefE21_21x_5</vt:lpstr>
      <vt:lpstr>'491'!OSRRefE21_21x_5</vt:lpstr>
      <vt:lpstr>'Div 3'!OSRRefE21_21x_5</vt:lpstr>
      <vt:lpstr>'Div 4'!OSRRefE21_21x_5</vt:lpstr>
      <vt:lpstr>Summary!OSRRefE21_21x_5</vt:lpstr>
      <vt:lpstr>'300'!OSRRefE21_21x_6</vt:lpstr>
      <vt:lpstr>'300 &amp; 317'!OSRRefE21_21x_6</vt:lpstr>
      <vt:lpstr>'310 &amp; 491'!OSRRefE21_21x_6</vt:lpstr>
      <vt:lpstr>'331'!OSRRefE21_21x_6</vt:lpstr>
      <vt:lpstr>'491'!OSRRefE21_21x_6</vt:lpstr>
      <vt:lpstr>'Div 3'!OSRRefE21_21x_6</vt:lpstr>
      <vt:lpstr>'Div 4'!OSRRefE21_21x_6</vt:lpstr>
      <vt:lpstr>Summary!OSRRefE21_21x_6</vt:lpstr>
      <vt:lpstr>'300'!OSRRefE21_21x_7</vt:lpstr>
      <vt:lpstr>'300 &amp; 317'!OSRRefE21_21x_7</vt:lpstr>
      <vt:lpstr>'310 &amp; 491'!OSRRefE21_21x_7</vt:lpstr>
      <vt:lpstr>'331'!OSRRefE21_21x_7</vt:lpstr>
      <vt:lpstr>'491'!OSRRefE21_21x_7</vt:lpstr>
      <vt:lpstr>'Div 3'!OSRRefE21_21x_7</vt:lpstr>
      <vt:lpstr>'Div 4'!OSRRefE21_21x_7</vt:lpstr>
      <vt:lpstr>Summary!OSRRefE21_21x_7</vt:lpstr>
      <vt:lpstr>'300'!OSRRefE21_22_0x</vt:lpstr>
      <vt:lpstr>'300 &amp; 317'!OSRRefE21_22_0x</vt:lpstr>
      <vt:lpstr>'310 &amp; 491'!OSRRefE21_22_0x</vt:lpstr>
      <vt:lpstr>'491'!OSRRefE21_22_0x</vt:lpstr>
      <vt:lpstr>'Div 3'!OSRRefE21_22_0x</vt:lpstr>
      <vt:lpstr>'Div 4'!OSRRefE21_22_0x</vt:lpstr>
      <vt:lpstr>Summary!OSRRefE21_22_0x</vt:lpstr>
      <vt:lpstr>Summary!OSRRefE21_22_10x</vt:lpstr>
      <vt:lpstr>'Div 3'!OSRRefE21_22_1x</vt:lpstr>
      <vt:lpstr>'Div 4'!OSRRefE21_22_1x</vt:lpstr>
      <vt:lpstr>Summary!OSRRefE21_22_1x</vt:lpstr>
      <vt:lpstr>Summary!OSRRefE21_22_2x</vt:lpstr>
      <vt:lpstr>Summary!OSRRefE21_22_3x</vt:lpstr>
      <vt:lpstr>Summary!OSRRefE21_22_4x</vt:lpstr>
      <vt:lpstr>Summary!OSRRefE21_22_5x</vt:lpstr>
      <vt:lpstr>Summary!OSRRefE21_22_6x</vt:lpstr>
      <vt:lpstr>Summary!OSRRefE21_22_7x</vt:lpstr>
      <vt:lpstr>Summary!OSRRefE21_22_8x</vt:lpstr>
      <vt:lpstr>Summary!OSRRefE21_22_9x</vt:lpstr>
      <vt:lpstr>'300'!OSRRefE21_22x_0</vt:lpstr>
      <vt:lpstr>'300 &amp; 317'!OSRRefE21_22x_0</vt:lpstr>
      <vt:lpstr>'310 &amp; 491'!OSRRefE21_22x_0</vt:lpstr>
      <vt:lpstr>'491'!OSRRefE21_22x_0</vt:lpstr>
      <vt:lpstr>'Div 3'!OSRRefE21_22x_0</vt:lpstr>
      <vt:lpstr>'Div 4'!OSRRefE21_22x_0</vt:lpstr>
      <vt:lpstr>Summary!OSRRefE21_22x_0</vt:lpstr>
      <vt:lpstr>'300'!OSRRefE21_22x_1</vt:lpstr>
      <vt:lpstr>'300 &amp; 317'!OSRRefE21_22x_1</vt:lpstr>
      <vt:lpstr>'310 &amp; 491'!OSRRefE21_22x_1</vt:lpstr>
      <vt:lpstr>'491'!OSRRefE21_22x_1</vt:lpstr>
      <vt:lpstr>'Div 3'!OSRRefE21_22x_1</vt:lpstr>
      <vt:lpstr>'Div 4'!OSRRefE21_22x_1</vt:lpstr>
      <vt:lpstr>Summary!OSRRefE21_22x_1</vt:lpstr>
      <vt:lpstr>'300'!OSRRefE21_22x_2</vt:lpstr>
      <vt:lpstr>'300 &amp; 317'!OSRRefE21_22x_2</vt:lpstr>
      <vt:lpstr>'310 &amp; 491'!OSRRefE21_22x_2</vt:lpstr>
      <vt:lpstr>'491'!OSRRefE21_22x_2</vt:lpstr>
      <vt:lpstr>'Div 3'!OSRRefE21_22x_2</vt:lpstr>
      <vt:lpstr>'Div 4'!OSRRefE21_22x_2</vt:lpstr>
      <vt:lpstr>Summary!OSRRefE21_22x_2</vt:lpstr>
      <vt:lpstr>'300'!OSRRefE21_22x_3</vt:lpstr>
      <vt:lpstr>'300 &amp; 317'!OSRRefE21_22x_3</vt:lpstr>
      <vt:lpstr>'310 &amp; 491'!OSRRefE21_22x_3</vt:lpstr>
      <vt:lpstr>'491'!OSRRefE21_22x_3</vt:lpstr>
      <vt:lpstr>'Div 3'!OSRRefE21_22x_3</vt:lpstr>
      <vt:lpstr>'Div 4'!OSRRefE21_22x_3</vt:lpstr>
      <vt:lpstr>Summary!OSRRefE21_22x_3</vt:lpstr>
      <vt:lpstr>'300'!OSRRefE21_22x_4</vt:lpstr>
      <vt:lpstr>'300 &amp; 317'!OSRRefE21_22x_4</vt:lpstr>
      <vt:lpstr>'310 &amp; 491'!OSRRefE21_22x_4</vt:lpstr>
      <vt:lpstr>'491'!OSRRefE21_22x_4</vt:lpstr>
      <vt:lpstr>'Div 3'!OSRRefE21_22x_4</vt:lpstr>
      <vt:lpstr>'Div 4'!OSRRefE21_22x_4</vt:lpstr>
      <vt:lpstr>Summary!OSRRefE21_22x_4</vt:lpstr>
      <vt:lpstr>'300'!OSRRefE21_22x_5</vt:lpstr>
      <vt:lpstr>'300 &amp; 317'!OSRRefE21_22x_5</vt:lpstr>
      <vt:lpstr>'310 &amp; 491'!OSRRefE21_22x_5</vt:lpstr>
      <vt:lpstr>'491'!OSRRefE21_22x_5</vt:lpstr>
      <vt:lpstr>'Div 3'!OSRRefE21_22x_5</vt:lpstr>
      <vt:lpstr>'Div 4'!OSRRefE21_22x_5</vt:lpstr>
      <vt:lpstr>Summary!OSRRefE21_22x_5</vt:lpstr>
      <vt:lpstr>'300'!OSRRefE21_22x_6</vt:lpstr>
      <vt:lpstr>'300 &amp; 317'!OSRRefE21_22x_6</vt:lpstr>
      <vt:lpstr>'310 &amp; 491'!OSRRefE21_22x_6</vt:lpstr>
      <vt:lpstr>'491'!OSRRefE21_22x_6</vt:lpstr>
      <vt:lpstr>'Div 3'!OSRRefE21_22x_6</vt:lpstr>
      <vt:lpstr>'Div 4'!OSRRefE21_22x_6</vt:lpstr>
      <vt:lpstr>Summary!OSRRefE21_22x_6</vt:lpstr>
      <vt:lpstr>'300'!OSRRefE21_22x_7</vt:lpstr>
      <vt:lpstr>'300 &amp; 317'!OSRRefE21_22x_7</vt:lpstr>
      <vt:lpstr>'310 &amp; 491'!OSRRefE21_22x_7</vt:lpstr>
      <vt:lpstr>'491'!OSRRefE21_22x_7</vt:lpstr>
      <vt:lpstr>'Div 3'!OSRRefE21_22x_7</vt:lpstr>
      <vt:lpstr>'Div 4'!OSRRefE21_22x_7</vt:lpstr>
      <vt:lpstr>Summary!OSRRefE21_22x_7</vt:lpstr>
      <vt:lpstr>'300'!OSRRefE21_23_0x</vt:lpstr>
      <vt:lpstr>'300 &amp; 317'!OSRRefE21_23_0x</vt:lpstr>
      <vt:lpstr>'Div 3'!OSRRefE21_23_0x</vt:lpstr>
      <vt:lpstr>'Div 4'!OSRRefE21_23_0x</vt:lpstr>
      <vt:lpstr>Summary!OSRRefE21_23_0x</vt:lpstr>
      <vt:lpstr>'300'!OSRRefE21_23_1x</vt:lpstr>
      <vt:lpstr>'300 &amp; 317'!OSRRefE21_23_1x</vt:lpstr>
      <vt:lpstr>Summary!OSRRefE21_23_1x</vt:lpstr>
      <vt:lpstr>'300'!OSRRefE21_23_2x</vt:lpstr>
      <vt:lpstr>'300 &amp; 317'!OSRRefE21_23_2x</vt:lpstr>
      <vt:lpstr>'300'!OSRRefE21_23x_0</vt:lpstr>
      <vt:lpstr>'300 &amp; 317'!OSRRefE21_23x_0</vt:lpstr>
      <vt:lpstr>'Div 3'!OSRRefE21_23x_0</vt:lpstr>
      <vt:lpstr>'Div 4'!OSRRefE21_23x_0</vt:lpstr>
      <vt:lpstr>Summary!OSRRefE21_23x_0</vt:lpstr>
      <vt:lpstr>'300'!OSRRefE21_23x_1</vt:lpstr>
      <vt:lpstr>'300 &amp; 317'!OSRRefE21_23x_1</vt:lpstr>
      <vt:lpstr>'Div 3'!OSRRefE21_23x_1</vt:lpstr>
      <vt:lpstr>'Div 4'!OSRRefE21_23x_1</vt:lpstr>
      <vt:lpstr>Summary!OSRRefE21_23x_1</vt:lpstr>
      <vt:lpstr>'300'!OSRRefE21_23x_2</vt:lpstr>
      <vt:lpstr>'300 &amp; 317'!OSRRefE21_23x_2</vt:lpstr>
      <vt:lpstr>'Div 3'!OSRRefE21_23x_2</vt:lpstr>
      <vt:lpstr>'Div 4'!OSRRefE21_23x_2</vt:lpstr>
      <vt:lpstr>Summary!OSRRefE21_23x_2</vt:lpstr>
      <vt:lpstr>'300'!OSRRefE21_23x_3</vt:lpstr>
      <vt:lpstr>'300 &amp; 317'!OSRRefE21_23x_3</vt:lpstr>
      <vt:lpstr>'Div 3'!OSRRefE21_23x_3</vt:lpstr>
      <vt:lpstr>'Div 4'!OSRRefE21_23x_3</vt:lpstr>
      <vt:lpstr>Summary!OSRRefE21_23x_3</vt:lpstr>
      <vt:lpstr>'300'!OSRRefE21_23x_4</vt:lpstr>
      <vt:lpstr>'300 &amp; 317'!OSRRefE21_23x_4</vt:lpstr>
      <vt:lpstr>'Div 3'!OSRRefE21_23x_4</vt:lpstr>
      <vt:lpstr>'Div 4'!OSRRefE21_23x_4</vt:lpstr>
      <vt:lpstr>Summary!OSRRefE21_23x_4</vt:lpstr>
      <vt:lpstr>'300'!OSRRefE21_23x_5</vt:lpstr>
      <vt:lpstr>'300 &amp; 317'!OSRRefE21_23x_5</vt:lpstr>
      <vt:lpstr>'Div 3'!OSRRefE21_23x_5</vt:lpstr>
      <vt:lpstr>'Div 4'!OSRRefE21_23x_5</vt:lpstr>
      <vt:lpstr>Summary!OSRRefE21_23x_5</vt:lpstr>
      <vt:lpstr>'300'!OSRRefE21_23x_6</vt:lpstr>
      <vt:lpstr>'300 &amp; 317'!OSRRefE21_23x_6</vt:lpstr>
      <vt:lpstr>'Div 3'!OSRRefE21_23x_6</vt:lpstr>
      <vt:lpstr>'Div 4'!OSRRefE21_23x_6</vt:lpstr>
      <vt:lpstr>Summary!OSRRefE21_23x_6</vt:lpstr>
      <vt:lpstr>'300'!OSRRefE21_23x_7</vt:lpstr>
      <vt:lpstr>'300 &amp; 317'!OSRRefE21_23x_7</vt:lpstr>
      <vt:lpstr>'Div 3'!OSRRefE21_23x_7</vt:lpstr>
      <vt:lpstr>'Div 4'!OSRRefE21_23x_7</vt:lpstr>
      <vt:lpstr>Summary!OSRRefE21_23x_7</vt:lpstr>
      <vt:lpstr>'300'!OSRRefE21_24_0x</vt:lpstr>
      <vt:lpstr>'300 &amp; 317'!OSRRefE21_24_0x</vt:lpstr>
      <vt:lpstr>'Div 3'!OSRRefE21_24_0x</vt:lpstr>
      <vt:lpstr>Summary!OSRRefE21_24_0x</vt:lpstr>
      <vt:lpstr>'Div 3'!OSRRefE21_24_1x</vt:lpstr>
      <vt:lpstr>'Div 3'!OSRRefE21_24_2x</vt:lpstr>
      <vt:lpstr>'300'!OSRRefE21_24x_0</vt:lpstr>
      <vt:lpstr>'300 &amp; 317'!OSRRefE21_24x_0</vt:lpstr>
      <vt:lpstr>'Div 3'!OSRRefE21_24x_0</vt:lpstr>
      <vt:lpstr>Summary!OSRRefE21_24x_0</vt:lpstr>
      <vt:lpstr>'300'!OSRRefE21_24x_1</vt:lpstr>
      <vt:lpstr>'300 &amp; 317'!OSRRefE21_24x_1</vt:lpstr>
      <vt:lpstr>'Div 3'!OSRRefE21_24x_1</vt:lpstr>
      <vt:lpstr>Summary!OSRRefE21_24x_1</vt:lpstr>
      <vt:lpstr>'300'!OSRRefE21_24x_2</vt:lpstr>
      <vt:lpstr>'300 &amp; 317'!OSRRefE21_24x_2</vt:lpstr>
      <vt:lpstr>'Div 3'!OSRRefE21_24x_2</vt:lpstr>
      <vt:lpstr>Summary!OSRRefE21_24x_2</vt:lpstr>
      <vt:lpstr>'300'!OSRRefE21_24x_3</vt:lpstr>
      <vt:lpstr>'300 &amp; 317'!OSRRefE21_24x_3</vt:lpstr>
      <vt:lpstr>'Div 3'!OSRRefE21_24x_3</vt:lpstr>
      <vt:lpstr>Summary!OSRRefE21_24x_3</vt:lpstr>
      <vt:lpstr>'300'!OSRRefE21_24x_4</vt:lpstr>
      <vt:lpstr>'300 &amp; 317'!OSRRefE21_24x_4</vt:lpstr>
      <vt:lpstr>'Div 3'!OSRRefE21_24x_4</vt:lpstr>
      <vt:lpstr>Summary!OSRRefE21_24x_4</vt:lpstr>
      <vt:lpstr>'300'!OSRRefE21_24x_5</vt:lpstr>
      <vt:lpstr>'300 &amp; 317'!OSRRefE21_24x_5</vt:lpstr>
      <vt:lpstr>'Div 3'!OSRRefE21_24x_5</vt:lpstr>
      <vt:lpstr>Summary!OSRRefE21_24x_5</vt:lpstr>
      <vt:lpstr>'300'!OSRRefE21_24x_6</vt:lpstr>
      <vt:lpstr>'300 &amp; 317'!OSRRefE21_24x_6</vt:lpstr>
      <vt:lpstr>'Div 3'!OSRRefE21_24x_6</vt:lpstr>
      <vt:lpstr>Summary!OSRRefE21_24x_6</vt:lpstr>
      <vt:lpstr>'300'!OSRRefE21_24x_7</vt:lpstr>
      <vt:lpstr>'300 &amp; 317'!OSRRefE21_24x_7</vt:lpstr>
      <vt:lpstr>'Div 3'!OSRRefE21_24x_7</vt:lpstr>
      <vt:lpstr>Summary!OSRRefE21_24x_7</vt:lpstr>
      <vt:lpstr>'Div 3'!OSRRefE21_25_0x</vt:lpstr>
      <vt:lpstr>Summary!OSRRefE21_25_0x</vt:lpstr>
      <vt:lpstr>Summary!OSRRefE21_25_1x</vt:lpstr>
      <vt:lpstr>Summary!OSRRefE21_25_2x</vt:lpstr>
      <vt:lpstr>'Div 3'!OSRRefE21_25x_0</vt:lpstr>
      <vt:lpstr>Summary!OSRRefE21_25x_0</vt:lpstr>
      <vt:lpstr>'Div 3'!OSRRefE21_25x_1</vt:lpstr>
      <vt:lpstr>Summary!OSRRefE21_25x_1</vt:lpstr>
      <vt:lpstr>'Div 3'!OSRRefE21_25x_2</vt:lpstr>
      <vt:lpstr>Summary!OSRRefE21_25x_2</vt:lpstr>
      <vt:lpstr>'Div 3'!OSRRefE21_25x_3</vt:lpstr>
      <vt:lpstr>Summary!OSRRefE21_25x_3</vt:lpstr>
      <vt:lpstr>'Div 3'!OSRRefE21_25x_4</vt:lpstr>
      <vt:lpstr>Summary!OSRRefE21_25x_4</vt:lpstr>
      <vt:lpstr>'Div 3'!OSRRefE21_25x_5</vt:lpstr>
      <vt:lpstr>Summary!OSRRefE21_25x_5</vt:lpstr>
      <vt:lpstr>'Div 3'!OSRRefE21_25x_6</vt:lpstr>
      <vt:lpstr>Summary!OSRRefE21_25x_6</vt:lpstr>
      <vt:lpstr>'Div 3'!OSRRefE21_25x_7</vt:lpstr>
      <vt:lpstr>Summary!OSRRefE21_25x_7</vt:lpstr>
      <vt:lpstr>Summary!OSRRefE21_26_0x</vt:lpstr>
      <vt:lpstr>Summary!OSRRefE21_26x_0</vt:lpstr>
      <vt:lpstr>Summary!OSRRefE21_26x_1</vt:lpstr>
      <vt:lpstr>Summary!OSRRefE21_26x_2</vt:lpstr>
      <vt:lpstr>Summary!OSRRefE21_26x_3</vt:lpstr>
      <vt:lpstr>Summary!OSRRefE21_26x_4</vt:lpstr>
      <vt:lpstr>Summary!OSRRefE21_26x_5</vt:lpstr>
      <vt:lpstr>Summary!OSRRefE21_26x_6</vt:lpstr>
      <vt:lpstr>Summary!OSRRefE21_26x_7</vt:lpstr>
      <vt:lpstr>'200'!OSRRefE21_2x_0</vt:lpstr>
      <vt:lpstr>'201'!OSRRefE21_2x_0</vt:lpstr>
      <vt:lpstr>'202'!OSRRefE21_2x_0</vt:lpstr>
      <vt:lpstr>'203'!OSRRefE21_2x_0</vt:lpstr>
      <vt:lpstr>'204'!OSRRefE21_2x_0</vt:lpstr>
      <vt:lpstr>'205'!OSRRefE21_2x_0</vt:lpstr>
      <vt:lpstr>'206'!OSRRefE21_2x_0</vt:lpstr>
      <vt:lpstr>'300'!OSRRefE21_2x_0</vt:lpstr>
      <vt:lpstr>'300 &amp; 317'!OSRRefE21_2x_0</vt:lpstr>
      <vt:lpstr>'301'!OSRRefE21_2x_0</vt:lpstr>
      <vt:lpstr>'307'!OSRRefE21_2x_0</vt:lpstr>
      <vt:lpstr>'308'!OSRRefE21_2x_0</vt:lpstr>
      <vt:lpstr>'309'!OSRRefE21_2x_0</vt:lpstr>
      <vt:lpstr>'310'!OSRRefE21_2x_0</vt:lpstr>
      <vt:lpstr>'310 &amp; 491'!OSRRefE21_2x_0</vt:lpstr>
      <vt:lpstr>'311'!OSRRefE21_2x_0</vt:lpstr>
      <vt:lpstr>'313'!OSRRefE21_2x_0</vt:lpstr>
      <vt:lpstr>'315'!OSRRefE21_2x_0</vt:lpstr>
      <vt:lpstr>'316'!OSRRefE21_2x_0</vt:lpstr>
      <vt:lpstr>'317'!OSRRefE21_2x_0</vt:lpstr>
      <vt:lpstr>'321'!OSRRefE21_2x_0</vt:lpstr>
      <vt:lpstr>'322'!OSRRefE21_2x_0</vt:lpstr>
      <vt:lpstr>'325'!OSRRefE21_2x_0</vt:lpstr>
      <vt:lpstr>'326'!OSRRefE21_2x_0</vt:lpstr>
      <vt:lpstr>'330'!OSRRefE21_2x_0</vt:lpstr>
      <vt:lpstr>'331'!OSRRefE21_2x_0</vt:lpstr>
      <vt:lpstr>'332'!OSRRefE21_2x_0</vt:lpstr>
      <vt:lpstr>'405'!OSRRefE21_2x_0</vt:lpstr>
      <vt:lpstr>'406'!OSRRefE21_2x_0</vt:lpstr>
      <vt:lpstr>'411'!OSRRefE21_2x_0</vt:lpstr>
      <vt:lpstr>'412'!OSRRefE21_2x_0</vt:lpstr>
      <vt:lpstr>'413'!OSRRefE21_2x_0</vt:lpstr>
      <vt:lpstr>'414'!OSRRefE21_2x_0</vt:lpstr>
      <vt:lpstr>'415'!OSRRefE21_2x_0</vt:lpstr>
      <vt:lpstr>'418'!OSRRefE21_2x_0</vt:lpstr>
      <vt:lpstr>'423'!OSRRefE21_2x_0</vt:lpstr>
      <vt:lpstr>'424'!OSRRefE21_2x_0</vt:lpstr>
      <vt:lpstr>'425'!OSRRefE21_2x_0</vt:lpstr>
      <vt:lpstr>'430'!OSRRefE21_2x_0</vt:lpstr>
      <vt:lpstr>'433'!OSRRefE21_2x_0</vt:lpstr>
      <vt:lpstr>'444'!OSRRefE21_2x_0</vt:lpstr>
      <vt:lpstr>'450'!OSRRefE21_2x_0</vt:lpstr>
      <vt:lpstr>'491'!OSRRefE21_2x_0</vt:lpstr>
      <vt:lpstr>'492'!OSRRefE21_2x_0</vt:lpstr>
      <vt:lpstr>'501'!OSRRefE21_2x_0</vt:lpstr>
      <vt:lpstr>'Div 2'!OSRRefE21_2x_0</vt:lpstr>
      <vt:lpstr>'Div 3'!OSRRefE21_2x_0</vt:lpstr>
      <vt:lpstr>'Div 4'!OSRRefE21_2x_0</vt:lpstr>
      <vt:lpstr>'Div 5'!OSRRefE21_2x_0</vt:lpstr>
      <vt:lpstr>'Div 6'!OSRRefE21_2x_0</vt:lpstr>
      <vt:lpstr>Summary!OSRRefE21_2x_0</vt:lpstr>
      <vt:lpstr>'200'!OSRRefE21_2x_1</vt:lpstr>
      <vt:lpstr>'201'!OSRRefE21_2x_1</vt:lpstr>
      <vt:lpstr>'202'!OSRRefE21_2x_1</vt:lpstr>
      <vt:lpstr>'203'!OSRRefE21_2x_1</vt:lpstr>
      <vt:lpstr>'204'!OSRRefE21_2x_1</vt:lpstr>
      <vt:lpstr>'205'!OSRRefE21_2x_1</vt:lpstr>
      <vt:lpstr>'206'!OSRRefE21_2x_1</vt:lpstr>
      <vt:lpstr>'300'!OSRRefE21_2x_1</vt:lpstr>
      <vt:lpstr>'300 &amp; 317'!OSRRefE21_2x_1</vt:lpstr>
      <vt:lpstr>'301'!OSRRefE21_2x_1</vt:lpstr>
      <vt:lpstr>'307'!OSRRefE21_2x_1</vt:lpstr>
      <vt:lpstr>'308'!OSRRefE21_2x_1</vt:lpstr>
      <vt:lpstr>'309'!OSRRefE21_2x_1</vt:lpstr>
      <vt:lpstr>'310'!OSRRefE21_2x_1</vt:lpstr>
      <vt:lpstr>'310 &amp; 491'!OSRRefE21_2x_1</vt:lpstr>
      <vt:lpstr>'311'!OSRRefE21_2x_1</vt:lpstr>
      <vt:lpstr>'313'!OSRRefE21_2x_1</vt:lpstr>
      <vt:lpstr>'315'!OSRRefE21_2x_1</vt:lpstr>
      <vt:lpstr>'316'!OSRRefE21_2x_1</vt:lpstr>
      <vt:lpstr>'317'!OSRRefE21_2x_1</vt:lpstr>
      <vt:lpstr>'321'!OSRRefE21_2x_1</vt:lpstr>
      <vt:lpstr>'322'!OSRRefE21_2x_1</vt:lpstr>
      <vt:lpstr>'325'!OSRRefE21_2x_1</vt:lpstr>
      <vt:lpstr>'326'!OSRRefE21_2x_1</vt:lpstr>
      <vt:lpstr>'330'!OSRRefE21_2x_1</vt:lpstr>
      <vt:lpstr>'331'!OSRRefE21_2x_1</vt:lpstr>
      <vt:lpstr>'332'!OSRRefE21_2x_1</vt:lpstr>
      <vt:lpstr>'405'!OSRRefE21_2x_1</vt:lpstr>
      <vt:lpstr>'406'!OSRRefE21_2x_1</vt:lpstr>
      <vt:lpstr>'411'!OSRRefE21_2x_1</vt:lpstr>
      <vt:lpstr>'412'!OSRRefE21_2x_1</vt:lpstr>
      <vt:lpstr>'413'!OSRRefE21_2x_1</vt:lpstr>
      <vt:lpstr>'414'!OSRRefE21_2x_1</vt:lpstr>
      <vt:lpstr>'415'!OSRRefE21_2x_1</vt:lpstr>
      <vt:lpstr>'418'!OSRRefE21_2x_1</vt:lpstr>
      <vt:lpstr>'423'!OSRRefE21_2x_1</vt:lpstr>
      <vt:lpstr>'424'!OSRRefE21_2x_1</vt:lpstr>
      <vt:lpstr>'425'!OSRRefE21_2x_1</vt:lpstr>
      <vt:lpstr>'430'!OSRRefE21_2x_1</vt:lpstr>
      <vt:lpstr>'433'!OSRRefE21_2x_1</vt:lpstr>
      <vt:lpstr>'444'!OSRRefE21_2x_1</vt:lpstr>
      <vt:lpstr>'450'!OSRRefE21_2x_1</vt:lpstr>
      <vt:lpstr>'491'!OSRRefE21_2x_1</vt:lpstr>
      <vt:lpstr>'492'!OSRRefE21_2x_1</vt:lpstr>
      <vt:lpstr>'501'!OSRRefE21_2x_1</vt:lpstr>
      <vt:lpstr>'Div 2'!OSRRefE21_2x_1</vt:lpstr>
      <vt:lpstr>'Div 3'!OSRRefE21_2x_1</vt:lpstr>
      <vt:lpstr>'Div 4'!OSRRefE21_2x_1</vt:lpstr>
      <vt:lpstr>'Div 5'!OSRRefE21_2x_1</vt:lpstr>
      <vt:lpstr>'Div 6'!OSRRefE21_2x_1</vt:lpstr>
      <vt:lpstr>Summary!OSRRefE21_2x_1</vt:lpstr>
      <vt:lpstr>'200'!OSRRefE21_2x_2</vt:lpstr>
      <vt:lpstr>'201'!OSRRefE21_2x_2</vt:lpstr>
      <vt:lpstr>'202'!OSRRefE21_2x_2</vt:lpstr>
      <vt:lpstr>'203'!OSRRefE21_2x_2</vt:lpstr>
      <vt:lpstr>'204'!OSRRefE21_2x_2</vt:lpstr>
      <vt:lpstr>'205'!OSRRefE21_2x_2</vt:lpstr>
      <vt:lpstr>'206'!OSRRefE21_2x_2</vt:lpstr>
      <vt:lpstr>'300'!OSRRefE21_2x_2</vt:lpstr>
      <vt:lpstr>'300 &amp; 317'!OSRRefE21_2x_2</vt:lpstr>
      <vt:lpstr>'301'!OSRRefE21_2x_2</vt:lpstr>
      <vt:lpstr>'307'!OSRRefE21_2x_2</vt:lpstr>
      <vt:lpstr>'308'!OSRRefE21_2x_2</vt:lpstr>
      <vt:lpstr>'309'!OSRRefE21_2x_2</vt:lpstr>
      <vt:lpstr>'310'!OSRRefE21_2x_2</vt:lpstr>
      <vt:lpstr>'310 &amp; 491'!OSRRefE21_2x_2</vt:lpstr>
      <vt:lpstr>'311'!OSRRefE21_2x_2</vt:lpstr>
      <vt:lpstr>'313'!OSRRefE21_2x_2</vt:lpstr>
      <vt:lpstr>'315'!OSRRefE21_2x_2</vt:lpstr>
      <vt:lpstr>'316'!OSRRefE21_2x_2</vt:lpstr>
      <vt:lpstr>'317'!OSRRefE21_2x_2</vt:lpstr>
      <vt:lpstr>'321'!OSRRefE21_2x_2</vt:lpstr>
      <vt:lpstr>'322'!OSRRefE21_2x_2</vt:lpstr>
      <vt:lpstr>'325'!OSRRefE21_2x_2</vt:lpstr>
      <vt:lpstr>'326'!OSRRefE21_2x_2</vt:lpstr>
      <vt:lpstr>'330'!OSRRefE21_2x_2</vt:lpstr>
      <vt:lpstr>'331'!OSRRefE21_2x_2</vt:lpstr>
      <vt:lpstr>'332'!OSRRefE21_2x_2</vt:lpstr>
      <vt:lpstr>'405'!OSRRefE21_2x_2</vt:lpstr>
      <vt:lpstr>'406'!OSRRefE21_2x_2</vt:lpstr>
      <vt:lpstr>'411'!OSRRefE21_2x_2</vt:lpstr>
      <vt:lpstr>'412'!OSRRefE21_2x_2</vt:lpstr>
      <vt:lpstr>'413'!OSRRefE21_2x_2</vt:lpstr>
      <vt:lpstr>'414'!OSRRefE21_2x_2</vt:lpstr>
      <vt:lpstr>'415'!OSRRefE21_2x_2</vt:lpstr>
      <vt:lpstr>'418'!OSRRefE21_2x_2</vt:lpstr>
      <vt:lpstr>'423'!OSRRefE21_2x_2</vt:lpstr>
      <vt:lpstr>'424'!OSRRefE21_2x_2</vt:lpstr>
      <vt:lpstr>'425'!OSRRefE21_2x_2</vt:lpstr>
      <vt:lpstr>'430'!OSRRefE21_2x_2</vt:lpstr>
      <vt:lpstr>'433'!OSRRefE21_2x_2</vt:lpstr>
      <vt:lpstr>'444'!OSRRefE21_2x_2</vt:lpstr>
      <vt:lpstr>'450'!OSRRefE21_2x_2</vt:lpstr>
      <vt:lpstr>'491'!OSRRefE21_2x_2</vt:lpstr>
      <vt:lpstr>'492'!OSRRefE21_2x_2</vt:lpstr>
      <vt:lpstr>'501'!OSRRefE21_2x_2</vt:lpstr>
      <vt:lpstr>'Div 2'!OSRRefE21_2x_2</vt:lpstr>
      <vt:lpstr>'Div 3'!OSRRefE21_2x_2</vt:lpstr>
      <vt:lpstr>'Div 4'!OSRRefE21_2x_2</vt:lpstr>
      <vt:lpstr>'Div 5'!OSRRefE21_2x_2</vt:lpstr>
      <vt:lpstr>'Div 6'!OSRRefE21_2x_2</vt:lpstr>
      <vt:lpstr>Summary!OSRRefE21_2x_2</vt:lpstr>
      <vt:lpstr>'200'!OSRRefE21_2x_3</vt:lpstr>
      <vt:lpstr>'201'!OSRRefE21_2x_3</vt:lpstr>
      <vt:lpstr>'202'!OSRRefE21_2x_3</vt:lpstr>
      <vt:lpstr>'203'!OSRRefE21_2x_3</vt:lpstr>
      <vt:lpstr>'204'!OSRRefE21_2x_3</vt:lpstr>
      <vt:lpstr>'205'!OSRRefE21_2x_3</vt:lpstr>
      <vt:lpstr>'206'!OSRRefE21_2x_3</vt:lpstr>
      <vt:lpstr>'300'!OSRRefE21_2x_3</vt:lpstr>
      <vt:lpstr>'300 &amp; 317'!OSRRefE21_2x_3</vt:lpstr>
      <vt:lpstr>'301'!OSRRefE21_2x_3</vt:lpstr>
      <vt:lpstr>'307'!OSRRefE21_2x_3</vt:lpstr>
      <vt:lpstr>'308'!OSRRefE21_2x_3</vt:lpstr>
      <vt:lpstr>'309'!OSRRefE21_2x_3</vt:lpstr>
      <vt:lpstr>'310'!OSRRefE21_2x_3</vt:lpstr>
      <vt:lpstr>'310 &amp; 491'!OSRRefE21_2x_3</vt:lpstr>
      <vt:lpstr>'311'!OSRRefE21_2x_3</vt:lpstr>
      <vt:lpstr>'313'!OSRRefE21_2x_3</vt:lpstr>
      <vt:lpstr>'315'!OSRRefE21_2x_3</vt:lpstr>
      <vt:lpstr>'316'!OSRRefE21_2x_3</vt:lpstr>
      <vt:lpstr>'317'!OSRRefE21_2x_3</vt:lpstr>
      <vt:lpstr>'321'!OSRRefE21_2x_3</vt:lpstr>
      <vt:lpstr>'322'!OSRRefE21_2x_3</vt:lpstr>
      <vt:lpstr>'325'!OSRRefE21_2x_3</vt:lpstr>
      <vt:lpstr>'326'!OSRRefE21_2x_3</vt:lpstr>
      <vt:lpstr>'330'!OSRRefE21_2x_3</vt:lpstr>
      <vt:lpstr>'331'!OSRRefE21_2x_3</vt:lpstr>
      <vt:lpstr>'332'!OSRRefE21_2x_3</vt:lpstr>
      <vt:lpstr>'405'!OSRRefE21_2x_3</vt:lpstr>
      <vt:lpstr>'406'!OSRRefE21_2x_3</vt:lpstr>
      <vt:lpstr>'411'!OSRRefE21_2x_3</vt:lpstr>
      <vt:lpstr>'412'!OSRRefE21_2x_3</vt:lpstr>
      <vt:lpstr>'413'!OSRRefE21_2x_3</vt:lpstr>
      <vt:lpstr>'414'!OSRRefE21_2x_3</vt:lpstr>
      <vt:lpstr>'415'!OSRRefE21_2x_3</vt:lpstr>
      <vt:lpstr>'418'!OSRRefE21_2x_3</vt:lpstr>
      <vt:lpstr>'423'!OSRRefE21_2x_3</vt:lpstr>
      <vt:lpstr>'424'!OSRRefE21_2x_3</vt:lpstr>
      <vt:lpstr>'425'!OSRRefE21_2x_3</vt:lpstr>
      <vt:lpstr>'430'!OSRRefE21_2x_3</vt:lpstr>
      <vt:lpstr>'433'!OSRRefE21_2x_3</vt:lpstr>
      <vt:lpstr>'444'!OSRRefE21_2x_3</vt:lpstr>
      <vt:lpstr>'450'!OSRRefE21_2x_3</vt:lpstr>
      <vt:lpstr>'491'!OSRRefE21_2x_3</vt:lpstr>
      <vt:lpstr>'492'!OSRRefE21_2x_3</vt:lpstr>
      <vt:lpstr>'501'!OSRRefE21_2x_3</vt:lpstr>
      <vt:lpstr>'Div 2'!OSRRefE21_2x_3</vt:lpstr>
      <vt:lpstr>'Div 3'!OSRRefE21_2x_3</vt:lpstr>
      <vt:lpstr>'Div 4'!OSRRefE21_2x_3</vt:lpstr>
      <vt:lpstr>'Div 5'!OSRRefE21_2x_3</vt:lpstr>
      <vt:lpstr>'Div 6'!OSRRefE21_2x_3</vt:lpstr>
      <vt:lpstr>Summary!OSRRefE21_2x_3</vt:lpstr>
      <vt:lpstr>'200'!OSRRefE21_2x_4</vt:lpstr>
      <vt:lpstr>'201'!OSRRefE21_2x_4</vt:lpstr>
      <vt:lpstr>'202'!OSRRefE21_2x_4</vt:lpstr>
      <vt:lpstr>'203'!OSRRefE21_2x_4</vt:lpstr>
      <vt:lpstr>'204'!OSRRefE21_2x_4</vt:lpstr>
      <vt:lpstr>'205'!OSRRefE21_2x_4</vt:lpstr>
      <vt:lpstr>'206'!OSRRefE21_2x_4</vt:lpstr>
      <vt:lpstr>'300'!OSRRefE21_2x_4</vt:lpstr>
      <vt:lpstr>'300 &amp; 317'!OSRRefE21_2x_4</vt:lpstr>
      <vt:lpstr>'301'!OSRRefE21_2x_4</vt:lpstr>
      <vt:lpstr>'307'!OSRRefE21_2x_4</vt:lpstr>
      <vt:lpstr>'308'!OSRRefE21_2x_4</vt:lpstr>
      <vt:lpstr>'309'!OSRRefE21_2x_4</vt:lpstr>
      <vt:lpstr>'310'!OSRRefE21_2x_4</vt:lpstr>
      <vt:lpstr>'310 &amp; 491'!OSRRefE21_2x_4</vt:lpstr>
      <vt:lpstr>'311'!OSRRefE21_2x_4</vt:lpstr>
      <vt:lpstr>'313'!OSRRefE21_2x_4</vt:lpstr>
      <vt:lpstr>'315'!OSRRefE21_2x_4</vt:lpstr>
      <vt:lpstr>'316'!OSRRefE21_2x_4</vt:lpstr>
      <vt:lpstr>'317'!OSRRefE21_2x_4</vt:lpstr>
      <vt:lpstr>'321'!OSRRefE21_2x_4</vt:lpstr>
      <vt:lpstr>'322'!OSRRefE21_2x_4</vt:lpstr>
      <vt:lpstr>'325'!OSRRefE21_2x_4</vt:lpstr>
      <vt:lpstr>'326'!OSRRefE21_2x_4</vt:lpstr>
      <vt:lpstr>'330'!OSRRefE21_2x_4</vt:lpstr>
      <vt:lpstr>'331'!OSRRefE21_2x_4</vt:lpstr>
      <vt:lpstr>'332'!OSRRefE21_2x_4</vt:lpstr>
      <vt:lpstr>'405'!OSRRefE21_2x_4</vt:lpstr>
      <vt:lpstr>'406'!OSRRefE21_2x_4</vt:lpstr>
      <vt:lpstr>'411'!OSRRefE21_2x_4</vt:lpstr>
      <vt:lpstr>'412'!OSRRefE21_2x_4</vt:lpstr>
      <vt:lpstr>'413'!OSRRefE21_2x_4</vt:lpstr>
      <vt:lpstr>'414'!OSRRefE21_2x_4</vt:lpstr>
      <vt:lpstr>'415'!OSRRefE21_2x_4</vt:lpstr>
      <vt:lpstr>'418'!OSRRefE21_2x_4</vt:lpstr>
      <vt:lpstr>'423'!OSRRefE21_2x_4</vt:lpstr>
      <vt:lpstr>'424'!OSRRefE21_2x_4</vt:lpstr>
      <vt:lpstr>'425'!OSRRefE21_2x_4</vt:lpstr>
      <vt:lpstr>'430'!OSRRefE21_2x_4</vt:lpstr>
      <vt:lpstr>'433'!OSRRefE21_2x_4</vt:lpstr>
      <vt:lpstr>'444'!OSRRefE21_2x_4</vt:lpstr>
      <vt:lpstr>'450'!OSRRefE21_2x_4</vt:lpstr>
      <vt:lpstr>'491'!OSRRefE21_2x_4</vt:lpstr>
      <vt:lpstr>'492'!OSRRefE21_2x_4</vt:lpstr>
      <vt:lpstr>'501'!OSRRefE21_2x_4</vt:lpstr>
      <vt:lpstr>'Div 2'!OSRRefE21_2x_4</vt:lpstr>
      <vt:lpstr>'Div 3'!OSRRefE21_2x_4</vt:lpstr>
      <vt:lpstr>'Div 4'!OSRRefE21_2x_4</vt:lpstr>
      <vt:lpstr>'Div 5'!OSRRefE21_2x_4</vt:lpstr>
      <vt:lpstr>'Div 6'!OSRRefE21_2x_4</vt:lpstr>
      <vt:lpstr>Summary!OSRRefE21_2x_4</vt:lpstr>
      <vt:lpstr>'200'!OSRRefE21_2x_5</vt:lpstr>
      <vt:lpstr>'201'!OSRRefE21_2x_5</vt:lpstr>
      <vt:lpstr>'202'!OSRRefE21_2x_5</vt:lpstr>
      <vt:lpstr>'203'!OSRRefE21_2x_5</vt:lpstr>
      <vt:lpstr>'204'!OSRRefE21_2x_5</vt:lpstr>
      <vt:lpstr>'205'!OSRRefE21_2x_5</vt:lpstr>
      <vt:lpstr>'206'!OSRRefE21_2x_5</vt:lpstr>
      <vt:lpstr>'300'!OSRRefE21_2x_5</vt:lpstr>
      <vt:lpstr>'300 &amp; 317'!OSRRefE21_2x_5</vt:lpstr>
      <vt:lpstr>'301'!OSRRefE21_2x_5</vt:lpstr>
      <vt:lpstr>'307'!OSRRefE21_2x_5</vt:lpstr>
      <vt:lpstr>'308'!OSRRefE21_2x_5</vt:lpstr>
      <vt:lpstr>'309'!OSRRefE21_2x_5</vt:lpstr>
      <vt:lpstr>'310'!OSRRefE21_2x_5</vt:lpstr>
      <vt:lpstr>'310 &amp; 491'!OSRRefE21_2x_5</vt:lpstr>
      <vt:lpstr>'311'!OSRRefE21_2x_5</vt:lpstr>
      <vt:lpstr>'313'!OSRRefE21_2x_5</vt:lpstr>
      <vt:lpstr>'315'!OSRRefE21_2x_5</vt:lpstr>
      <vt:lpstr>'316'!OSRRefE21_2x_5</vt:lpstr>
      <vt:lpstr>'317'!OSRRefE21_2x_5</vt:lpstr>
      <vt:lpstr>'321'!OSRRefE21_2x_5</vt:lpstr>
      <vt:lpstr>'322'!OSRRefE21_2x_5</vt:lpstr>
      <vt:lpstr>'325'!OSRRefE21_2x_5</vt:lpstr>
      <vt:lpstr>'326'!OSRRefE21_2x_5</vt:lpstr>
      <vt:lpstr>'330'!OSRRefE21_2x_5</vt:lpstr>
      <vt:lpstr>'331'!OSRRefE21_2x_5</vt:lpstr>
      <vt:lpstr>'332'!OSRRefE21_2x_5</vt:lpstr>
      <vt:lpstr>'405'!OSRRefE21_2x_5</vt:lpstr>
      <vt:lpstr>'406'!OSRRefE21_2x_5</vt:lpstr>
      <vt:lpstr>'411'!OSRRefE21_2x_5</vt:lpstr>
      <vt:lpstr>'412'!OSRRefE21_2x_5</vt:lpstr>
      <vt:lpstr>'413'!OSRRefE21_2x_5</vt:lpstr>
      <vt:lpstr>'414'!OSRRefE21_2x_5</vt:lpstr>
      <vt:lpstr>'415'!OSRRefE21_2x_5</vt:lpstr>
      <vt:lpstr>'418'!OSRRefE21_2x_5</vt:lpstr>
      <vt:lpstr>'423'!OSRRefE21_2x_5</vt:lpstr>
      <vt:lpstr>'424'!OSRRefE21_2x_5</vt:lpstr>
      <vt:lpstr>'425'!OSRRefE21_2x_5</vt:lpstr>
      <vt:lpstr>'430'!OSRRefE21_2x_5</vt:lpstr>
      <vt:lpstr>'433'!OSRRefE21_2x_5</vt:lpstr>
      <vt:lpstr>'444'!OSRRefE21_2x_5</vt:lpstr>
      <vt:lpstr>'450'!OSRRefE21_2x_5</vt:lpstr>
      <vt:lpstr>'491'!OSRRefE21_2x_5</vt:lpstr>
      <vt:lpstr>'492'!OSRRefE21_2x_5</vt:lpstr>
      <vt:lpstr>'501'!OSRRefE21_2x_5</vt:lpstr>
      <vt:lpstr>'Div 2'!OSRRefE21_2x_5</vt:lpstr>
      <vt:lpstr>'Div 3'!OSRRefE21_2x_5</vt:lpstr>
      <vt:lpstr>'Div 4'!OSRRefE21_2x_5</vt:lpstr>
      <vt:lpstr>'Div 5'!OSRRefE21_2x_5</vt:lpstr>
      <vt:lpstr>'Div 6'!OSRRefE21_2x_5</vt:lpstr>
      <vt:lpstr>Summary!OSRRefE21_2x_5</vt:lpstr>
      <vt:lpstr>'200'!OSRRefE21_2x_6</vt:lpstr>
      <vt:lpstr>'201'!OSRRefE21_2x_6</vt:lpstr>
      <vt:lpstr>'202'!OSRRefE21_2x_6</vt:lpstr>
      <vt:lpstr>'203'!OSRRefE21_2x_6</vt:lpstr>
      <vt:lpstr>'204'!OSRRefE21_2x_6</vt:lpstr>
      <vt:lpstr>'205'!OSRRefE21_2x_6</vt:lpstr>
      <vt:lpstr>'206'!OSRRefE21_2x_6</vt:lpstr>
      <vt:lpstr>'300'!OSRRefE21_2x_6</vt:lpstr>
      <vt:lpstr>'300 &amp; 317'!OSRRefE21_2x_6</vt:lpstr>
      <vt:lpstr>'301'!OSRRefE21_2x_6</vt:lpstr>
      <vt:lpstr>'307'!OSRRefE21_2x_6</vt:lpstr>
      <vt:lpstr>'308'!OSRRefE21_2x_6</vt:lpstr>
      <vt:lpstr>'309'!OSRRefE21_2x_6</vt:lpstr>
      <vt:lpstr>'310'!OSRRefE21_2x_6</vt:lpstr>
      <vt:lpstr>'310 &amp; 491'!OSRRefE21_2x_6</vt:lpstr>
      <vt:lpstr>'311'!OSRRefE21_2x_6</vt:lpstr>
      <vt:lpstr>'313'!OSRRefE21_2x_6</vt:lpstr>
      <vt:lpstr>'315'!OSRRefE21_2x_6</vt:lpstr>
      <vt:lpstr>'316'!OSRRefE21_2x_6</vt:lpstr>
      <vt:lpstr>'317'!OSRRefE21_2x_6</vt:lpstr>
      <vt:lpstr>'321'!OSRRefE21_2x_6</vt:lpstr>
      <vt:lpstr>'322'!OSRRefE21_2x_6</vt:lpstr>
      <vt:lpstr>'325'!OSRRefE21_2x_6</vt:lpstr>
      <vt:lpstr>'326'!OSRRefE21_2x_6</vt:lpstr>
      <vt:lpstr>'330'!OSRRefE21_2x_6</vt:lpstr>
      <vt:lpstr>'331'!OSRRefE21_2x_6</vt:lpstr>
      <vt:lpstr>'332'!OSRRefE21_2x_6</vt:lpstr>
      <vt:lpstr>'405'!OSRRefE21_2x_6</vt:lpstr>
      <vt:lpstr>'406'!OSRRefE21_2x_6</vt:lpstr>
      <vt:lpstr>'411'!OSRRefE21_2x_6</vt:lpstr>
      <vt:lpstr>'412'!OSRRefE21_2x_6</vt:lpstr>
      <vt:lpstr>'413'!OSRRefE21_2x_6</vt:lpstr>
      <vt:lpstr>'414'!OSRRefE21_2x_6</vt:lpstr>
      <vt:lpstr>'415'!OSRRefE21_2x_6</vt:lpstr>
      <vt:lpstr>'418'!OSRRefE21_2x_6</vt:lpstr>
      <vt:lpstr>'423'!OSRRefE21_2x_6</vt:lpstr>
      <vt:lpstr>'424'!OSRRefE21_2x_6</vt:lpstr>
      <vt:lpstr>'425'!OSRRefE21_2x_6</vt:lpstr>
      <vt:lpstr>'430'!OSRRefE21_2x_6</vt:lpstr>
      <vt:lpstr>'433'!OSRRefE21_2x_6</vt:lpstr>
      <vt:lpstr>'444'!OSRRefE21_2x_6</vt:lpstr>
      <vt:lpstr>'450'!OSRRefE21_2x_6</vt:lpstr>
      <vt:lpstr>'491'!OSRRefE21_2x_6</vt:lpstr>
      <vt:lpstr>'492'!OSRRefE21_2x_6</vt:lpstr>
      <vt:lpstr>'501'!OSRRefE21_2x_6</vt:lpstr>
      <vt:lpstr>'Div 2'!OSRRefE21_2x_6</vt:lpstr>
      <vt:lpstr>'Div 3'!OSRRefE21_2x_6</vt:lpstr>
      <vt:lpstr>'Div 4'!OSRRefE21_2x_6</vt:lpstr>
      <vt:lpstr>'Div 5'!OSRRefE21_2x_6</vt:lpstr>
      <vt:lpstr>'Div 6'!OSRRefE21_2x_6</vt:lpstr>
      <vt:lpstr>Summary!OSRRefE21_2x_6</vt:lpstr>
      <vt:lpstr>'200'!OSRRefE21_2x_7</vt:lpstr>
      <vt:lpstr>'201'!OSRRefE21_2x_7</vt:lpstr>
      <vt:lpstr>'202'!OSRRefE21_2x_7</vt:lpstr>
      <vt:lpstr>'203'!OSRRefE21_2x_7</vt:lpstr>
      <vt:lpstr>'204'!OSRRefE21_2x_7</vt:lpstr>
      <vt:lpstr>'205'!OSRRefE21_2x_7</vt:lpstr>
      <vt:lpstr>'206'!OSRRefE21_2x_7</vt:lpstr>
      <vt:lpstr>'300'!OSRRefE21_2x_7</vt:lpstr>
      <vt:lpstr>'300 &amp; 317'!OSRRefE21_2x_7</vt:lpstr>
      <vt:lpstr>'301'!OSRRefE21_2x_7</vt:lpstr>
      <vt:lpstr>'307'!OSRRefE21_2x_7</vt:lpstr>
      <vt:lpstr>'308'!OSRRefE21_2x_7</vt:lpstr>
      <vt:lpstr>'309'!OSRRefE21_2x_7</vt:lpstr>
      <vt:lpstr>'310'!OSRRefE21_2x_7</vt:lpstr>
      <vt:lpstr>'310 &amp; 491'!OSRRefE21_2x_7</vt:lpstr>
      <vt:lpstr>'311'!OSRRefE21_2x_7</vt:lpstr>
      <vt:lpstr>'313'!OSRRefE21_2x_7</vt:lpstr>
      <vt:lpstr>'315'!OSRRefE21_2x_7</vt:lpstr>
      <vt:lpstr>'316'!OSRRefE21_2x_7</vt:lpstr>
      <vt:lpstr>'317'!OSRRefE21_2x_7</vt:lpstr>
      <vt:lpstr>'321'!OSRRefE21_2x_7</vt:lpstr>
      <vt:lpstr>'322'!OSRRefE21_2x_7</vt:lpstr>
      <vt:lpstr>'325'!OSRRefE21_2x_7</vt:lpstr>
      <vt:lpstr>'326'!OSRRefE21_2x_7</vt:lpstr>
      <vt:lpstr>'330'!OSRRefE21_2x_7</vt:lpstr>
      <vt:lpstr>'331'!OSRRefE21_2x_7</vt:lpstr>
      <vt:lpstr>'332'!OSRRefE21_2x_7</vt:lpstr>
      <vt:lpstr>'405'!OSRRefE21_2x_7</vt:lpstr>
      <vt:lpstr>'406'!OSRRefE21_2x_7</vt:lpstr>
      <vt:lpstr>'411'!OSRRefE21_2x_7</vt:lpstr>
      <vt:lpstr>'412'!OSRRefE21_2x_7</vt:lpstr>
      <vt:lpstr>'413'!OSRRefE21_2x_7</vt:lpstr>
      <vt:lpstr>'414'!OSRRefE21_2x_7</vt:lpstr>
      <vt:lpstr>'415'!OSRRefE21_2x_7</vt:lpstr>
      <vt:lpstr>'418'!OSRRefE21_2x_7</vt:lpstr>
      <vt:lpstr>'423'!OSRRefE21_2x_7</vt:lpstr>
      <vt:lpstr>'424'!OSRRefE21_2x_7</vt:lpstr>
      <vt:lpstr>'425'!OSRRefE21_2x_7</vt:lpstr>
      <vt:lpstr>'430'!OSRRefE21_2x_7</vt:lpstr>
      <vt:lpstr>'433'!OSRRefE21_2x_7</vt:lpstr>
      <vt:lpstr>'444'!OSRRefE21_2x_7</vt:lpstr>
      <vt:lpstr>'450'!OSRRefE21_2x_7</vt:lpstr>
      <vt:lpstr>'491'!OSRRefE21_2x_7</vt:lpstr>
      <vt:lpstr>'492'!OSRRefE21_2x_7</vt:lpstr>
      <vt:lpstr>'501'!OSRRefE21_2x_7</vt:lpstr>
      <vt:lpstr>'Div 2'!OSRRefE21_2x_7</vt:lpstr>
      <vt:lpstr>'Div 3'!OSRRefE21_2x_7</vt:lpstr>
      <vt:lpstr>'Div 4'!OSRRefE21_2x_7</vt:lpstr>
      <vt:lpstr>'Div 5'!OSRRefE21_2x_7</vt:lpstr>
      <vt:lpstr>'Div 6'!OSRRefE21_2x_7</vt:lpstr>
      <vt:lpstr>Summary!OSRRefE21_2x_7</vt:lpstr>
      <vt:lpstr>'200'!OSRRefE21_3_0x</vt:lpstr>
      <vt:lpstr>'201'!OSRRefE21_3_0x</vt:lpstr>
      <vt:lpstr>'202'!OSRRefE21_3_0x</vt:lpstr>
      <vt:lpstr>'203'!OSRRefE21_3_0x</vt:lpstr>
      <vt:lpstr>'204'!OSRRefE21_3_0x</vt:lpstr>
      <vt:lpstr>'205'!OSRRefE21_3_0x</vt:lpstr>
      <vt:lpstr>'206'!OSRRefE21_3_0x</vt:lpstr>
      <vt:lpstr>'300'!OSRRefE21_3_0x</vt:lpstr>
      <vt:lpstr>'300 &amp; 317'!OSRRefE21_3_0x</vt:lpstr>
      <vt:lpstr>'301'!OSRRefE21_3_0x</vt:lpstr>
      <vt:lpstr>'307'!OSRRefE21_3_0x</vt:lpstr>
      <vt:lpstr>'308'!OSRRefE21_3_0x</vt:lpstr>
      <vt:lpstr>'309'!OSRRefE21_3_0x</vt:lpstr>
      <vt:lpstr>'310'!OSRRefE21_3_0x</vt:lpstr>
      <vt:lpstr>'310 &amp; 491'!OSRRefE21_3_0x</vt:lpstr>
      <vt:lpstr>'311'!OSRRefE21_3_0x</vt:lpstr>
      <vt:lpstr>'313'!OSRRefE21_3_0x</vt:lpstr>
      <vt:lpstr>'315'!OSRRefE21_3_0x</vt:lpstr>
      <vt:lpstr>'316'!OSRRefE21_3_0x</vt:lpstr>
      <vt:lpstr>'317'!OSRRefE21_3_0x</vt:lpstr>
      <vt:lpstr>'321'!OSRRefE21_3_0x</vt:lpstr>
      <vt:lpstr>'322'!OSRRefE21_3_0x</vt:lpstr>
      <vt:lpstr>'325'!OSRRefE21_3_0x</vt:lpstr>
      <vt:lpstr>'326'!OSRRefE21_3_0x</vt:lpstr>
      <vt:lpstr>'330'!OSRRefE21_3_0x</vt:lpstr>
      <vt:lpstr>'331'!OSRRefE21_3_0x</vt:lpstr>
      <vt:lpstr>'332'!OSRRefE21_3_0x</vt:lpstr>
      <vt:lpstr>'405'!OSRRefE21_3_0x</vt:lpstr>
      <vt:lpstr>'406'!OSRRefE21_3_0x</vt:lpstr>
      <vt:lpstr>'411'!OSRRefE21_3_0x</vt:lpstr>
      <vt:lpstr>'412'!OSRRefE21_3_0x</vt:lpstr>
      <vt:lpstr>'413'!OSRRefE21_3_0x</vt:lpstr>
      <vt:lpstr>'414'!OSRRefE21_3_0x</vt:lpstr>
      <vt:lpstr>'415'!OSRRefE21_3_0x</vt:lpstr>
      <vt:lpstr>'418'!OSRRefE21_3_0x</vt:lpstr>
      <vt:lpstr>'423'!OSRRefE21_3_0x</vt:lpstr>
      <vt:lpstr>'424'!OSRRefE21_3_0x</vt:lpstr>
      <vt:lpstr>'425'!OSRRefE21_3_0x</vt:lpstr>
      <vt:lpstr>'430'!OSRRefE21_3_0x</vt:lpstr>
      <vt:lpstr>'433'!OSRRefE21_3_0x</vt:lpstr>
      <vt:lpstr>'444'!OSRRefE21_3_0x</vt:lpstr>
      <vt:lpstr>'450'!OSRRefE21_3_0x</vt:lpstr>
      <vt:lpstr>'491'!OSRRefE21_3_0x</vt:lpstr>
      <vt:lpstr>'492'!OSRRefE21_3_0x</vt:lpstr>
      <vt:lpstr>'501'!OSRRefE21_3_0x</vt:lpstr>
      <vt:lpstr>'Div 2'!OSRRefE21_3_0x</vt:lpstr>
      <vt:lpstr>'Div 3'!OSRRefE21_3_0x</vt:lpstr>
      <vt:lpstr>'Div 4'!OSRRefE21_3_0x</vt:lpstr>
      <vt:lpstr>'Div 5'!OSRRefE21_3_0x</vt:lpstr>
      <vt:lpstr>'Div 6'!OSRRefE21_3_0x</vt:lpstr>
      <vt:lpstr>Summary!OSRRefE21_3_0x</vt:lpstr>
      <vt:lpstr>'300'!OSRRefE21_3_1x</vt:lpstr>
      <vt:lpstr>'300 &amp; 317'!OSRRefE21_3_1x</vt:lpstr>
      <vt:lpstr>'423'!OSRRefE21_3_1x</vt:lpstr>
      <vt:lpstr>'Div 3'!OSRRefE21_3_1x</vt:lpstr>
      <vt:lpstr>Summary!OSRRefE21_3_1x</vt:lpstr>
      <vt:lpstr>'200'!OSRRefE21_3x_0</vt:lpstr>
      <vt:lpstr>'201'!OSRRefE21_3x_0</vt:lpstr>
      <vt:lpstr>'202'!OSRRefE21_3x_0</vt:lpstr>
      <vt:lpstr>'203'!OSRRefE21_3x_0</vt:lpstr>
      <vt:lpstr>'204'!OSRRefE21_3x_0</vt:lpstr>
      <vt:lpstr>'205'!OSRRefE21_3x_0</vt:lpstr>
      <vt:lpstr>'206'!OSRRefE21_3x_0</vt:lpstr>
      <vt:lpstr>'300'!OSRRefE21_3x_0</vt:lpstr>
      <vt:lpstr>'300 &amp; 317'!OSRRefE21_3x_0</vt:lpstr>
      <vt:lpstr>'301'!OSRRefE21_3x_0</vt:lpstr>
      <vt:lpstr>'307'!OSRRefE21_3x_0</vt:lpstr>
      <vt:lpstr>'308'!OSRRefE21_3x_0</vt:lpstr>
      <vt:lpstr>'309'!OSRRefE21_3x_0</vt:lpstr>
      <vt:lpstr>'310'!OSRRefE21_3x_0</vt:lpstr>
      <vt:lpstr>'310 &amp; 491'!OSRRefE21_3x_0</vt:lpstr>
      <vt:lpstr>'311'!OSRRefE21_3x_0</vt:lpstr>
      <vt:lpstr>'313'!OSRRefE21_3x_0</vt:lpstr>
      <vt:lpstr>'315'!OSRRefE21_3x_0</vt:lpstr>
      <vt:lpstr>'316'!OSRRefE21_3x_0</vt:lpstr>
      <vt:lpstr>'317'!OSRRefE21_3x_0</vt:lpstr>
      <vt:lpstr>'321'!OSRRefE21_3x_0</vt:lpstr>
      <vt:lpstr>'322'!OSRRefE21_3x_0</vt:lpstr>
      <vt:lpstr>'325'!OSRRefE21_3x_0</vt:lpstr>
      <vt:lpstr>'326'!OSRRefE21_3x_0</vt:lpstr>
      <vt:lpstr>'330'!OSRRefE21_3x_0</vt:lpstr>
      <vt:lpstr>'331'!OSRRefE21_3x_0</vt:lpstr>
      <vt:lpstr>'332'!OSRRefE21_3x_0</vt:lpstr>
      <vt:lpstr>'405'!OSRRefE21_3x_0</vt:lpstr>
      <vt:lpstr>'406'!OSRRefE21_3x_0</vt:lpstr>
      <vt:lpstr>'411'!OSRRefE21_3x_0</vt:lpstr>
      <vt:lpstr>'412'!OSRRefE21_3x_0</vt:lpstr>
      <vt:lpstr>'413'!OSRRefE21_3x_0</vt:lpstr>
      <vt:lpstr>'414'!OSRRefE21_3x_0</vt:lpstr>
      <vt:lpstr>'415'!OSRRefE21_3x_0</vt:lpstr>
      <vt:lpstr>'418'!OSRRefE21_3x_0</vt:lpstr>
      <vt:lpstr>'423'!OSRRefE21_3x_0</vt:lpstr>
      <vt:lpstr>'424'!OSRRefE21_3x_0</vt:lpstr>
      <vt:lpstr>'425'!OSRRefE21_3x_0</vt:lpstr>
      <vt:lpstr>'430'!OSRRefE21_3x_0</vt:lpstr>
      <vt:lpstr>'433'!OSRRefE21_3x_0</vt:lpstr>
      <vt:lpstr>'444'!OSRRefE21_3x_0</vt:lpstr>
      <vt:lpstr>'450'!OSRRefE21_3x_0</vt:lpstr>
      <vt:lpstr>'491'!OSRRefE21_3x_0</vt:lpstr>
      <vt:lpstr>'492'!OSRRefE21_3x_0</vt:lpstr>
      <vt:lpstr>'501'!OSRRefE21_3x_0</vt:lpstr>
      <vt:lpstr>'Div 2'!OSRRefE21_3x_0</vt:lpstr>
      <vt:lpstr>'Div 3'!OSRRefE21_3x_0</vt:lpstr>
      <vt:lpstr>'Div 4'!OSRRefE21_3x_0</vt:lpstr>
      <vt:lpstr>'Div 5'!OSRRefE21_3x_0</vt:lpstr>
      <vt:lpstr>'Div 6'!OSRRefE21_3x_0</vt:lpstr>
      <vt:lpstr>Summary!OSRRefE21_3x_0</vt:lpstr>
      <vt:lpstr>'200'!OSRRefE21_3x_1</vt:lpstr>
      <vt:lpstr>'201'!OSRRefE21_3x_1</vt:lpstr>
      <vt:lpstr>'202'!OSRRefE21_3x_1</vt:lpstr>
      <vt:lpstr>'203'!OSRRefE21_3x_1</vt:lpstr>
      <vt:lpstr>'204'!OSRRefE21_3x_1</vt:lpstr>
      <vt:lpstr>'205'!OSRRefE21_3x_1</vt:lpstr>
      <vt:lpstr>'206'!OSRRefE21_3x_1</vt:lpstr>
      <vt:lpstr>'300'!OSRRefE21_3x_1</vt:lpstr>
      <vt:lpstr>'300 &amp; 317'!OSRRefE21_3x_1</vt:lpstr>
      <vt:lpstr>'301'!OSRRefE21_3x_1</vt:lpstr>
      <vt:lpstr>'307'!OSRRefE21_3x_1</vt:lpstr>
      <vt:lpstr>'308'!OSRRefE21_3x_1</vt:lpstr>
      <vt:lpstr>'309'!OSRRefE21_3x_1</vt:lpstr>
      <vt:lpstr>'310'!OSRRefE21_3x_1</vt:lpstr>
      <vt:lpstr>'310 &amp; 491'!OSRRefE21_3x_1</vt:lpstr>
      <vt:lpstr>'311'!OSRRefE21_3x_1</vt:lpstr>
      <vt:lpstr>'313'!OSRRefE21_3x_1</vt:lpstr>
      <vt:lpstr>'315'!OSRRefE21_3x_1</vt:lpstr>
      <vt:lpstr>'316'!OSRRefE21_3x_1</vt:lpstr>
      <vt:lpstr>'317'!OSRRefE21_3x_1</vt:lpstr>
      <vt:lpstr>'321'!OSRRefE21_3x_1</vt:lpstr>
      <vt:lpstr>'322'!OSRRefE21_3x_1</vt:lpstr>
      <vt:lpstr>'325'!OSRRefE21_3x_1</vt:lpstr>
      <vt:lpstr>'326'!OSRRefE21_3x_1</vt:lpstr>
      <vt:lpstr>'330'!OSRRefE21_3x_1</vt:lpstr>
      <vt:lpstr>'331'!OSRRefE21_3x_1</vt:lpstr>
      <vt:lpstr>'332'!OSRRefE21_3x_1</vt:lpstr>
      <vt:lpstr>'405'!OSRRefE21_3x_1</vt:lpstr>
      <vt:lpstr>'406'!OSRRefE21_3x_1</vt:lpstr>
      <vt:lpstr>'411'!OSRRefE21_3x_1</vt:lpstr>
      <vt:lpstr>'412'!OSRRefE21_3x_1</vt:lpstr>
      <vt:lpstr>'413'!OSRRefE21_3x_1</vt:lpstr>
      <vt:lpstr>'414'!OSRRefE21_3x_1</vt:lpstr>
      <vt:lpstr>'415'!OSRRefE21_3x_1</vt:lpstr>
      <vt:lpstr>'418'!OSRRefE21_3x_1</vt:lpstr>
      <vt:lpstr>'423'!OSRRefE21_3x_1</vt:lpstr>
      <vt:lpstr>'424'!OSRRefE21_3x_1</vt:lpstr>
      <vt:lpstr>'425'!OSRRefE21_3x_1</vt:lpstr>
      <vt:lpstr>'430'!OSRRefE21_3x_1</vt:lpstr>
      <vt:lpstr>'433'!OSRRefE21_3x_1</vt:lpstr>
      <vt:lpstr>'444'!OSRRefE21_3x_1</vt:lpstr>
      <vt:lpstr>'450'!OSRRefE21_3x_1</vt:lpstr>
      <vt:lpstr>'491'!OSRRefE21_3x_1</vt:lpstr>
      <vt:lpstr>'492'!OSRRefE21_3x_1</vt:lpstr>
      <vt:lpstr>'501'!OSRRefE21_3x_1</vt:lpstr>
      <vt:lpstr>'Div 2'!OSRRefE21_3x_1</vt:lpstr>
      <vt:lpstr>'Div 3'!OSRRefE21_3x_1</vt:lpstr>
      <vt:lpstr>'Div 4'!OSRRefE21_3x_1</vt:lpstr>
      <vt:lpstr>'Div 5'!OSRRefE21_3x_1</vt:lpstr>
      <vt:lpstr>'Div 6'!OSRRefE21_3x_1</vt:lpstr>
      <vt:lpstr>Summary!OSRRefE21_3x_1</vt:lpstr>
      <vt:lpstr>'200'!OSRRefE21_3x_2</vt:lpstr>
      <vt:lpstr>'201'!OSRRefE21_3x_2</vt:lpstr>
      <vt:lpstr>'202'!OSRRefE21_3x_2</vt:lpstr>
      <vt:lpstr>'203'!OSRRefE21_3x_2</vt:lpstr>
      <vt:lpstr>'204'!OSRRefE21_3x_2</vt:lpstr>
      <vt:lpstr>'205'!OSRRefE21_3x_2</vt:lpstr>
      <vt:lpstr>'206'!OSRRefE21_3x_2</vt:lpstr>
      <vt:lpstr>'300'!OSRRefE21_3x_2</vt:lpstr>
      <vt:lpstr>'300 &amp; 317'!OSRRefE21_3x_2</vt:lpstr>
      <vt:lpstr>'301'!OSRRefE21_3x_2</vt:lpstr>
      <vt:lpstr>'307'!OSRRefE21_3x_2</vt:lpstr>
      <vt:lpstr>'308'!OSRRefE21_3x_2</vt:lpstr>
      <vt:lpstr>'309'!OSRRefE21_3x_2</vt:lpstr>
      <vt:lpstr>'310'!OSRRefE21_3x_2</vt:lpstr>
      <vt:lpstr>'310 &amp; 491'!OSRRefE21_3x_2</vt:lpstr>
      <vt:lpstr>'311'!OSRRefE21_3x_2</vt:lpstr>
      <vt:lpstr>'313'!OSRRefE21_3x_2</vt:lpstr>
      <vt:lpstr>'315'!OSRRefE21_3x_2</vt:lpstr>
      <vt:lpstr>'316'!OSRRefE21_3x_2</vt:lpstr>
      <vt:lpstr>'317'!OSRRefE21_3x_2</vt:lpstr>
      <vt:lpstr>'321'!OSRRefE21_3x_2</vt:lpstr>
      <vt:lpstr>'322'!OSRRefE21_3x_2</vt:lpstr>
      <vt:lpstr>'325'!OSRRefE21_3x_2</vt:lpstr>
      <vt:lpstr>'326'!OSRRefE21_3x_2</vt:lpstr>
      <vt:lpstr>'330'!OSRRefE21_3x_2</vt:lpstr>
      <vt:lpstr>'331'!OSRRefE21_3x_2</vt:lpstr>
      <vt:lpstr>'332'!OSRRefE21_3x_2</vt:lpstr>
      <vt:lpstr>'405'!OSRRefE21_3x_2</vt:lpstr>
      <vt:lpstr>'406'!OSRRefE21_3x_2</vt:lpstr>
      <vt:lpstr>'411'!OSRRefE21_3x_2</vt:lpstr>
      <vt:lpstr>'412'!OSRRefE21_3x_2</vt:lpstr>
      <vt:lpstr>'413'!OSRRefE21_3x_2</vt:lpstr>
      <vt:lpstr>'414'!OSRRefE21_3x_2</vt:lpstr>
      <vt:lpstr>'415'!OSRRefE21_3x_2</vt:lpstr>
      <vt:lpstr>'418'!OSRRefE21_3x_2</vt:lpstr>
      <vt:lpstr>'423'!OSRRefE21_3x_2</vt:lpstr>
      <vt:lpstr>'424'!OSRRefE21_3x_2</vt:lpstr>
      <vt:lpstr>'425'!OSRRefE21_3x_2</vt:lpstr>
      <vt:lpstr>'430'!OSRRefE21_3x_2</vt:lpstr>
      <vt:lpstr>'433'!OSRRefE21_3x_2</vt:lpstr>
      <vt:lpstr>'444'!OSRRefE21_3x_2</vt:lpstr>
      <vt:lpstr>'450'!OSRRefE21_3x_2</vt:lpstr>
      <vt:lpstr>'491'!OSRRefE21_3x_2</vt:lpstr>
      <vt:lpstr>'492'!OSRRefE21_3x_2</vt:lpstr>
      <vt:lpstr>'501'!OSRRefE21_3x_2</vt:lpstr>
      <vt:lpstr>'Div 2'!OSRRefE21_3x_2</vt:lpstr>
      <vt:lpstr>'Div 3'!OSRRefE21_3x_2</vt:lpstr>
      <vt:lpstr>'Div 4'!OSRRefE21_3x_2</vt:lpstr>
      <vt:lpstr>'Div 5'!OSRRefE21_3x_2</vt:lpstr>
      <vt:lpstr>'Div 6'!OSRRefE21_3x_2</vt:lpstr>
      <vt:lpstr>Summary!OSRRefE21_3x_2</vt:lpstr>
      <vt:lpstr>'200'!OSRRefE21_3x_3</vt:lpstr>
      <vt:lpstr>'201'!OSRRefE21_3x_3</vt:lpstr>
      <vt:lpstr>'202'!OSRRefE21_3x_3</vt:lpstr>
      <vt:lpstr>'203'!OSRRefE21_3x_3</vt:lpstr>
      <vt:lpstr>'204'!OSRRefE21_3x_3</vt:lpstr>
      <vt:lpstr>'205'!OSRRefE21_3x_3</vt:lpstr>
      <vt:lpstr>'206'!OSRRefE21_3x_3</vt:lpstr>
      <vt:lpstr>'300'!OSRRefE21_3x_3</vt:lpstr>
      <vt:lpstr>'300 &amp; 317'!OSRRefE21_3x_3</vt:lpstr>
      <vt:lpstr>'301'!OSRRefE21_3x_3</vt:lpstr>
      <vt:lpstr>'307'!OSRRefE21_3x_3</vt:lpstr>
      <vt:lpstr>'308'!OSRRefE21_3x_3</vt:lpstr>
      <vt:lpstr>'309'!OSRRefE21_3x_3</vt:lpstr>
      <vt:lpstr>'310'!OSRRefE21_3x_3</vt:lpstr>
      <vt:lpstr>'310 &amp; 491'!OSRRefE21_3x_3</vt:lpstr>
      <vt:lpstr>'311'!OSRRefE21_3x_3</vt:lpstr>
      <vt:lpstr>'313'!OSRRefE21_3x_3</vt:lpstr>
      <vt:lpstr>'315'!OSRRefE21_3x_3</vt:lpstr>
      <vt:lpstr>'316'!OSRRefE21_3x_3</vt:lpstr>
      <vt:lpstr>'317'!OSRRefE21_3x_3</vt:lpstr>
      <vt:lpstr>'321'!OSRRefE21_3x_3</vt:lpstr>
      <vt:lpstr>'322'!OSRRefE21_3x_3</vt:lpstr>
      <vt:lpstr>'325'!OSRRefE21_3x_3</vt:lpstr>
      <vt:lpstr>'326'!OSRRefE21_3x_3</vt:lpstr>
      <vt:lpstr>'330'!OSRRefE21_3x_3</vt:lpstr>
      <vt:lpstr>'331'!OSRRefE21_3x_3</vt:lpstr>
      <vt:lpstr>'332'!OSRRefE21_3x_3</vt:lpstr>
      <vt:lpstr>'405'!OSRRefE21_3x_3</vt:lpstr>
      <vt:lpstr>'406'!OSRRefE21_3x_3</vt:lpstr>
      <vt:lpstr>'411'!OSRRefE21_3x_3</vt:lpstr>
      <vt:lpstr>'412'!OSRRefE21_3x_3</vt:lpstr>
      <vt:lpstr>'413'!OSRRefE21_3x_3</vt:lpstr>
      <vt:lpstr>'414'!OSRRefE21_3x_3</vt:lpstr>
      <vt:lpstr>'415'!OSRRefE21_3x_3</vt:lpstr>
      <vt:lpstr>'418'!OSRRefE21_3x_3</vt:lpstr>
      <vt:lpstr>'423'!OSRRefE21_3x_3</vt:lpstr>
      <vt:lpstr>'424'!OSRRefE21_3x_3</vt:lpstr>
      <vt:lpstr>'425'!OSRRefE21_3x_3</vt:lpstr>
      <vt:lpstr>'430'!OSRRefE21_3x_3</vt:lpstr>
      <vt:lpstr>'433'!OSRRefE21_3x_3</vt:lpstr>
      <vt:lpstr>'444'!OSRRefE21_3x_3</vt:lpstr>
      <vt:lpstr>'450'!OSRRefE21_3x_3</vt:lpstr>
      <vt:lpstr>'491'!OSRRefE21_3x_3</vt:lpstr>
      <vt:lpstr>'492'!OSRRefE21_3x_3</vt:lpstr>
      <vt:lpstr>'501'!OSRRefE21_3x_3</vt:lpstr>
      <vt:lpstr>'Div 2'!OSRRefE21_3x_3</vt:lpstr>
      <vt:lpstr>'Div 3'!OSRRefE21_3x_3</vt:lpstr>
      <vt:lpstr>'Div 4'!OSRRefE21_3x_3</vt:lpstr>
      <vt:lpstr>'Div 5'!OSRRefE21_3x_3</vt:lpstr>
      <vt:lpstr>'Div 6'!OSRRefE21_3x_3</vt:lpstr>
      <vt:lpstr>Summary!OSRRefE21_3x_3</vt:lpstr>
      <vt:lpstr>'200'!OSRRefE21_3x_4</vt:lpstr>
      <vt:lpstr>'201'!OSRRefE21_3x_4</vt:lpstr>
      <vt:lpstr>'202'!OSRRefE21_3x_4</vt:lpstr>
      <vt:lpstr>'203'!OSRRefE21_3x_4</vt:lpstr>
      <vt:lpstr>'204'!OSRRefE21_3x_4</vt:lpstr>
      <vt:lpstr>'205'!OSRRefE21_3x_4</vt:lpstr>
      <vt:lpstr>'206'!OSRRefE21_3x_4</vt:lpstr>
      <vt:lpstr>'300'!OSRRefE21_3x_4</vt:lpstr>
      <vt:lpstr>'300 &amp; 317'!OSRRefE21_3x_4</vt:lpstr>
      <vt:lpstr>'301'!OSRRefE21_3x_4</vt:lpstr>
      <vt:lpstr>'307'!OSRRefE21_3x_4</vt:lpstr>
      <vt:lpstr>'308'!OSRRefE21_3x_4</vt:lpstr>
      <vt:lpstr>'309'!OSRRefE21_3x_4</vt:lpstr>
      <vt:lpstr>'310'!OSRRefE21_3x_4</vt:lpstr>
      <vt:lpstr>'310 &amp; 491'!OSRRefE21_3x_4</vt:lpstr>
      <vt:lpstr>'311'!OSRRefE21_3x_4</vt:lpstr>
      <vt:lpstr>'313'!OSRRefE21_3x_4</vt:lpstr>
      <vt:lpstr>'315'!OSRRefE21_3x_4</vt:lpstr>
      <vt:lpstr>'316'!OSRRefE21_3x_4</vt:lpstr>
      <vt:lpstr>'317'!OSRRefE21_3x_4</vt:lpstr>
      <vt:lpstr>'321'!OSRRefE21_3x_4</vt:lpstr>
      <vt:lpstr>'322'!OSRRefE21_3x_4</vt:lpstr>
      <vt:lpstr>'325'!OSRRefE21_3x_4</vt:lpstr>
      <vt:lpstr>'326'!OSRRefE21_3x_4</vt:lpstr>
      <vt:lpstr>'330'!OSRRefE21_3x_4</vt:lpstr>
      <vt:lpstr>'331'!OSRRefE21_3x_4</vt:lpstr>
      <vt:lpstr>'332'!OSRRefE21_3x_4</vt:lpstr>
      <vt:lpstr>'405'!OSRRefE21_3x_4</vt:lpstr>
      <vt:lpstr>'406'!OSRRefE21_3x_4</vt:lpstr>
      <vt:lpstr>'411'!OSRRefE21_3x_4</vt:lpstr>
      <vt:lpstr>'412'!OSRRefE21_3x_4</vt:lpstr>
      <vt:lpstr>'413'!OSRRefE21_3x_4</vt:lpstr>
      <vt:lpstr>'414'!OSRRefE21_3x_4</vt:lpstr>
      <vt:lpstr>'415'!OSRRefE21_3x_4</vt:lpstr>
      <vt:lpstr>'418'!OSRRefE21_3x_4</vt:lpstr>
      <vt:lpstr>'423'!OSRRefE21_3x_4</vt:lpstr>
      <vt:lpstr>'424'!OSRRefE21_3x_4</vt:lpstr>
      <vt:lpstr>'425'!OSRRefE21_3x_4</vt:lpstr>
      <vt:lpstr>'430'!OSRRefE21_3x_4</vt:lpstr>
      <vt:lpstr>'433'!OSRRefE21_3x_4</vt:lpstr>
      <vt:lpstr>'444'!OSRRefE21_3x_4</vt:lpstr>
      <vt:lpstr>'450'!OSRRefE21_3x_4</vt:lpstr>
      <vt:lpstr>'491'!OSRRefE21_3x_4</vt:lpstr>
      <vt:lpstr>'492'!OSRRefE21_3x_4</vt:lpstr>
      <vt:lpstr>'501'!OSRRefE21_3x_4</vt:lpstr>
      <vt:lpstr>'Div 2'!OSRRefE21_3x_4</vt:lpstr>
      <vt:lpstr>'Div 3'!OSRRefE21_3x_4</vt:lpstr>
      <vt:lpstr>'Div 4'!OSRRefE21_3x_4</vt:lpstr>
      <vt:lpstr>'Div 5'!OSRRefE21_3x_4</vt:lpstr>
      <vt:lpstr>'Div 6'!OSRRefE21_3x_4</vt:lpstr>
      <vt:lpstr>Summary!OSRRefE21_3x_4</vt:lpstr>
      <vt:lpstr>'200'!OSRRefE21_3x_5</vt:lpstr>
      <vt:lpstr>'201'!OSRRefE21_3x_5</vt:lpstr>
      <vt:lpstr>'202'!OSRRefE21_3x_5</vt:lpstr>
      <vt:lpstr>'203'!OSRRefE21_3x_5</vt:lpstr>
      <vt:lpstr>'204'!OSRRefE21_3x_5</vt:lpstr>
      <vt:lpstr>'205'!OSRRefE21_3x_5</vt:lpstr>
      <vt:lpstr>'206'!OSRRefE21_3x_5</vt:lpstr>
      <vt:lpstr>'300'!OSRRefE21_3x_5</vt:lpstr>
      <vt:lpstr>'300 &amp; 317'!OSRRefE21_3x_5</vt:lpstr>
      <vt:lpstr>'301'!OSRRefE21_3x_5</vt:lpstr>
      <vt:lpstr>'307'!OSRRefE21_3x_5</vt:lpstr>
      <vt:lpstr>'308'!OSRRefE21_3x_5</vt:lpstr>
      <vt:lpstr>'309'!OSRRefE21_3x_5</vt:lpstr>
      <vt:lpstr>'310'!OSRRefE21_3x_5</vt:lpstr>
      <vt:lpstr>'310 &amp; 491'!OSRRefE21_3x_5</vt:lpstr>
      <vt:lpstr>'311'!OSRRefE21_3x_5</vt:lpstr>
      <vt:lpstr>'313'!OSRRefE21_3x_5</vt:lpstr>
      <vt:lpstr>'315'!OSRRefE21_3x_5</vt:lpstr>
      <vt:lpstr>'316'!OSRRefE21_3x_5</vt:lpstr>
      <vt:lpstr>'317'!OSRRefE21_3x_5</vt:lpstr>
      <vt:lpstr>'321'!OSRRefE21_3x_5</vt:lpstr>
      <vt:lpstr>'322'!OSRRefE21_3x_5</vt:lpstr>
      <vt:lpstr>'325'!OSRRefE21_3x_5</vt:lpstr>
      <vt:lpstr>'326'!OSRRefE21_3x_5</vt:lpstr>
      <vt:lpstr>'330'!OSRRefE21_3x_5</vt:lpstr>
      <vt:lpstr>'331'!OSRRefE21_3x_5</vt:lpstr>
      <vt:lpstr>'332'!OSRRefE21_3x_5</vt:lpstr>
      <vt:lpstr>'405'!OSRRefE21_3x_5</vt:lpstr>
      <vt:lpstr>'406'!OSRRefE21_3x_5</vt:lpstr>
      <vt:lpstr>'411'!OSRRefE21_3x_5</vt:lpstr>
      <vt:lpstr>'412'!OSRRefE21_3x_5</vt:lpstr>
      <vt:lpstr>'413'!OSRRefE21_3x_5</vt:lpstr>
      <vt:lpstr>'414'!OSRRefE21_3x_5</vt:lpstr>
      <vt:lpstr>'415'!OSRRefE21_3x_5</vt:lpstr>
      <vt:lpstr>'418'!OSRRefE21_3x_5</vt:lpstr>
      <vt:lpstr>'423'!OSRRefE21_3x_5</vt:lpstr>
      <vt:lpstr>'424'!OSRRefE21_3x_5</vt:lpstr>
      <vt:lpstr>'425'!OSRRefE21_3x_5</vt:lpstr>
      <vt:lpstr>'430'!OSRRefE21_3x_5</vt:lpstr>
      <vt:lpstr>'433'!OSRRefE21_3x_5</vt:lpstr>
      <vt:lpstr>'444'!OSRRefE21_3x_5</vt:lpstr>
      <vt:lpstr>'450'!OSRRefE21_3x_5</vt:lpstr>
      <vt:lpstr>'491'!OSRRefE21_3x_5</vt:lpstr>
      <vt:lpstr>'492'!OSRRefE21_3x_5</vt:lpstr>
      <vt:lpstr>'501'!OSRRefE21_3x_5</vt:lpstr>
      <vt:lpstr>'Div 2'!OSRRefE21_3x_5</vt:lpstr>
      <vt:lpstr>'Div 3'!OSRRefE21_3x_5</vt:lpstr>
      <vt:lpstr>'Div 4'!OSRRefE21_3x_5</vt:lpstr>
      <vt:lpstr>'Div 5'!OSRRefE21_3x_5</vt:lpstr>
      <vt:lpstr>'Div 6'!OSRRefE21_3x_5</vt:lpstr>
      <vt:lpstr>Summary!OSRRefE21_3x_5</vt:lpstr>
      <vt:lpstr>'200'!OSRRefE21_3x_6</vt:lpstr>
      <vt:lpstr>'201'!OSRRefE21_3x_6</vt:lpstr>
      <vt:lpstr>'202'!OSRRefE21_3x_6</vt:lpstr>
      <vt:lpstr>'203'!OSRRefE21_3x_6</vt:lpstr>
      <vt:lpstr>'204'!OSRRefE21_3x_6</vt:lpstr>
      <vt:lpstr>'205'!OSRRefE21_3x_6</vt:lpstr>
      <vt:lpstr>'206'!OSRRefE21_3x_6</vt:lpstr>
      <vt:lpstr>'300'!OSRRefE21_3x_6</vt:lpstr>
      <vt:lpstr>'300 &amp; 317'!OSRRefE21_3x_6</vt:lpstr>
      <vt:lpstr>'301'!OSRRefE21_3x_6</vt:lpstr>
      <vt:lpstr>'307'!OSRRefE21_3x_6</vt:lpstr>
      <vt:lpstr>'308'!OSRRefE21_3x_6</vt:lpstr>
      <vt:lpstr>'309'!OSRRefE21_3x_6</vt:lpstr>
      <vt:lpstr>'310'!OSRRefE21_3x_6</vt:lpstr>
      <vt:lpstr>'310 &amp; 491'!OSRRefE21_3x_6</vt:lpstr>
      <vt:lpstr>'311'!OSRRefE21_3x_6</vt:lpstr>
      <vt:lpstr>'313'!OSRRefE21_3x_6</vt:lpstr>
      <vt:lpstr>'315'!OSRRefE21_3x_6</vt:lpstr>
      <vt:lpstr>'316'!OSRRefE21_3x_6</vt:lpstr>
      <vt:lpstr>'317'!OSRRefE21_3x_6</vt:lpstr>
      <vt:lpstr>'321'!OSRRefE21_3x_6</vt:lpstr>
      <vt:lpstr>'322'!OSRRefE21_3x_6</vt:lpstr>
      <vt:lpstr>'325'!OSRRefE21_3x_6</vt:lpstr>
      <vt:lpstr>'326'!OSRRefE21_3x_6</vt:lpstr>
      <vt:lpstr>'330'!OSRRefE21_3x_6</vt:lpstr>
      <vt:lpstr>'331'!OSRRefE21_3x_6</vt:lpstr>
      <vt:lpstr>'332'!OSRRefE21_3x_6</vt:lpstr>
      <vt:lpstr>'405'!OSRRefE21_3x_6</vt:lpstr>
      <vt:lpstr>'406'!OSRRefE21_3x_6</vt:lpstr>
      <vt:lpstr>'411'!OSRRefE21_3x_6</vt:lpstr>
      <vt:lpstr>'412'!OSRRefE21_3x_6</vt:lpstr>
      <vt:lpstr>'413'!OSRRefE21_3x_6</vt:lpstr>
      <vt:lpstr>'414'!OSRRefE21_3x_6</vt:lpstr>
      <vt:lpstr>'415'!OSRRefE21_3x_6</vt:lpstr>
      <vt:lpstr>'418'!OSRRefE21_3x_6</vt:lpstr>
      <vt:lpstr>'423'!OSRRefE21_3x_6</vt:lpstr>
      <vt:lpstr>'424'!OSRRefE21_3x_6</vt:lpstr>
      <vt:lpstr>'425'!OSRRefE21_3x_6</vt:lpstr>
      <vt:lpstr>'430'!OSRRefE21_3x_6</vt:lpstr>
      <vt:lpstr>'433'!OSRRefE21_3x_6</vt:lpstr>
      <vt:lpstr>'444'!OSRRefE21_3x_6</vt:lpstr>
      <vt:lpstr>'450'!OSRRefE21_3x_6</vt:lpstr>
      <vt:lpstr>'491'!OSRRefE21_3x_6</vt:lpstr>
      <vt:lpstr>'492'!OSRRefE21_3x_6</vt:lpstr>
      <vt:lpstr>'501'!OSRRefE21_3x_6</vt:lpstr>
      <vt:lpstr>'Div 2'!OSRRefE21_3x_6</vt:lpstr>
      <vt:lpstr>'Div 3'!OSRRefE21_3x_6</vt:lpstr>
      <vt:lpstr>'Div 4'!OSRRefE21_3x_6</vt:lpstr>
      <vt:lpstr>'Div 5'!OSRRefE21_3x_6</vt:lpstr>
      <vt:lpstr>'Div 6'!OSRRefE21_3x_6</vt:lpstr>
      <vt:lpstr>Summary!OSRRefE21_3x_6</vt:lpstr>
      <vt:lpstr>'200'!OSRRefE21_3x_7</vt:lpstr>
      <vt:lpstr>'201'!OSRRefE21_3x_7</vt:lpstr>
      <vt:lpstr>'202'!OSRRefE21_3x_7</vt:lpstr>
      <vt:lpstr>'203'!OSRRefE21_3x_7</vt:lpstr>
      <vt:lpstr>'204'!OSRRefE21_3x_7</vt:lpstr>
      <vt:lpstr>'205'!OSRRefE21_3x_7</vt:lpstr>
      <vt:lpstr>'206'!OSRRefE21_3x_7</vt:lpstr>
      <vt:lpstr>'300'!OSRRefE21_3x_7</vt:lpstr>
      <vt:lpstr>'300 &amp; 317'!OSRRefE21_3x_7</vt:lpstr>
      <vt:lpstr>'301'!OSRRefE21_3x_7</vt:lpstr>
      <vt:lpstr>'307'!OSRRefE21_3x_7</vt:lpstr>
      <vt:lpstr>'308'!OSRRefE21_3x_7</vt:lpstr>
      <vt:lpstr>'309'!OSRRefE21_3x_7</vt:lpstr>
      <vt:lpstr>'310'!OSRRefE21_3x_7</vt:lpstr>
      <vt:lpstr>'310 &amp; 491'!OSRRefE21_3x_7</vt:lpstr>
      <vt:lpstr>'311'!OSRRefE21_3x_7</vt:lpstr>
      <vt:lpstr>'313'!OSRRefE21_3x_7</vt:lpstr>
      <vt:lpstr>'315'!OSRRefE21_3x_7</vt:lpstr>
      <vt:lpstr>'316'!OSRRefE21_3x_7</vt:lpstr>
      <vt:lpstr>'317'!OSRRefE21_3x_7</vt:lpstr>
      <vt:lpstr>'321'!OSRRefE21_3x_7</vt:lpstr>
      <vt:lpstr>'322'!OSRRefE21_3x_7</vt:lpstr>
      <vt:lpstr>'325'!OSRRefE21_3x_7</vt:lpstr>
      <vt:lpstr>'326'!OSRRefE21_3x_7</vt:lpstr>
      <vt:lpstr>'330'!OSRRefE21_3x_7</vt:lpstr>
      <vt:lpstr>'331'!OSRRefE21_3x_7</vt:lpstr>
      <vt:lpstr>'332'!OSRRefE21_3x_7</vt:lpstr>
      <vt:lpstr>'405'!OSRRefE21_3x_7</vt:lpstr>
      <vt:lpstr>'406'!OSRRefE21_3x_7</vt:lpstr>
      <vt:lpstr>'411'!OSRRefE21_3x_7</vt:lpstr>
      <vt:lpstr>'412'!OSRRefE21_3x_7</vt:lpstr>
      <vt:lpstr>'413'!OSRRefE21_3x_7</vt:lpstr>
      <vt:lpstr>'414'!OSRRefE21_3x_7</vt:lpstr>
      <vt:lpstr>'415'!OSRRefE21_3x_7</vt:lpstr>
      <vt:lpstr>'418'!OSRRefE21_3x_7</vt:lpstr>
      <vt:lpstr>'423'!OSRRefE21_3x_7</vt:lpstr>
      <vt:lpstr>'424'!OSRRefE21_3x_7</vt:lpstr>
      <vt:lpstr>'425'!OSRRefE21_3x_7</vt:lpstr>
      <vt:lpstr>'430'!OSRRefE21_3x_7</vt:lpstr>
      <vt:lpstr>'433'!OSRRefE21_3x_7</vt:lpstr>
      <vt:lpstr>'444'!OSRRefE21_3x_7</vt:lpstr>
      <vt:lpstr>'450'!OSRRefE21_3x_7</vt:lpstr>
      <vt:lpstr>'491'!OSRRefE21_3x_7</vt:lpstr>
      <vt:lpstr>'492'!OSRRefE21_3x_7</vt:lpstr>
      <vt:lpstr>'501'!OSRRefE21_3x_7</vt:lpstr>
      <vt:lpstr>'Div 2'!OSRRefE21_3x_7</vt:lpstr>
      <vt:lpstr>'Div 3'!OSRRefE21_3x_7</vt:lpstr>
      <vt:lpstr>'Div 4'!OSRRefE21_3x_7</vt:lpstr>
      <vt:lpstr>'Div 5'!OSRRefE21_3x_7</vt:lpstr>
      <vt:lpstr>'Div 6'!OSRRefE21_3x_7</vt:lpstr>
      <vt:lpstr>Summary!OSRRefE21_3x_7</vt:lpstr>
      <vt:lpstr>'200'!OSRRefE21_4_0x</vt:lpstr>
      <vt:lpstr>'201'!OSRRefE21_4_0x</vt:lpstr>
      <vt:lpstr>'202'!OSRRefE21_4_0x</vt:lpstr>
      <vt:lpstr>'203'!OSRRefE21_4_0x</vt:lpstr>
      <vt:lpstr>'204'!OSRRefE21_4_0x</vt:lpstr>
      <vt:lpstr>'205'!OSRRefE21_4_0x</vt:lpstr>
      <vt:lpstr>'206'!OSRRefE21_4_0x</vt:lpstr>
      <vt:lpstr>'300'!OSRRefE21_4_0x</vt:lpstr>
      <vt:lpstr>'300 &amp; 317'!OSRRefE21_4_0x</vt:lpstr>
      <vt:lpstr>'301'!OSRRefE21_4_0x</vt:lpstr>
      <vt:lpstr>'307'!OSRRefE21_4_0x</vt:lpstr>
      <vt:lpstr>'308'!OSRRefE21_4_0x</vt:lpstr>
      <vt:lpstr>'309'!OSRRefE21_4_0x</vt:lpstr>
      <vt:lpstr>'310'!OSRRefE21_4_0x</vt:lpstr>
      <vt:lpstr>'310 &amp; 491'!OSRRefE21_4_0x</vt:lpstr>
      <vt:lpstr>'311'!OSRRefE21_4_0x</vt:lpstr>
      <vt:lpstr>'313'!OSRRefE21_4_0x</vt:lpstr>
      <vt:lpstr>'315'!OSRRefE21_4_0x</vt:lpstr>
      <vt:lpstr>'316'!OSRRefE21_4_0x</vt:lpstr>
      <vt:lpstr>'317'!OSRRefE21_4_0x</vt:lpstr>
      <vt:lpstr>'321'!OSRRefE21_4_0x</vt:lpstr>
      <vt:lpstr>'322'!OSRRefE21_4_0x</vt:lpstr>
      <vt:lpstr>'325'!OSRRefE21_4_0x</vt:lpstr>
      <vt:lpstr>'326'!OSRRefE21_4_0x</vt:lpstr>
      <vt:lpstr>'330'!OSRRefE21_4_0x</vt:lpstr>
      <vt:lpstr>'331'!OSRRefE21_4_0x</vt:lpstr>
      <vt:lpstr>'332'!OSRRefE21_4_0x</vt:lpstr>
      <vt:lpstr>'405'!OSRRefE21_4_0x</vt:lpstr>
      <vt:lpstr>'406'!OSRRefE21_4_0x</vt:lpstr>
      <vt:lpstr>'411'!OSRRefE21_4_0x</vt:lpstr>
      <vt:lpstr>'412'!OSRRefE21_4_0x</vt:lpstr>
      <vt:lpstr>'413'!OSRRefE21_4_0x</vt:lpstr>
      <vt:lpstr>'414'!OSRRefE21_4_0x</vt:lpstr>
      <vt:lpstr>'415'!OSRRefE21_4_0x</vt:lpstr>
      <vt:lpstr>'418'!OSRRefE21_4_0x</vt:lpstr>
      <vt:lpstr>'423'!OSRRefE21_4_0x</vt:lpstr>
      <vt:lpstr>'425'!OSRRefE21_4_0x</vt:lpstr>
      <vt:lpstr>'430'!OSRRefE21_4_0x</vt:lpstr>
      <vt:lpstr>'433'!OSRRefE21_4_0x</vt:lpstr>
      <vt:lpstr>'444'!OSRRefE21_4_0x</vt:lpstr>
      <vt:lpstr>'450'!OSRRefE21_4_0x</vt:lpstr>
      <vt:lpstr>'491'!OSRRefE21_4_0x</vt:lpstr>
      <vt:lpstr>'492'!OSRRefE21_4_0x</vt:lpstr>
      <vt:lpstr>'501'!OSRRefE21_4_0x</vt:lpstr>
      <vt:lpstr>'Div 2'!OSRRefE21_4_0x</vt:lpstr>
      <vt:lpstr>'Div 3'!OSRRefE21_4_0x</vt:lpstr>
      <vt:lpstr>'Div 4'!OSRRefE21_4_0x</vt:lpstr>
      <vt:lpstr>'Div 5'!OSRRefE21_4_0x</vt:lpstr>
      <vt:lpstr>'Div 6'!OSRRefE21_4_0x</vt:lpstr>
      <vt:lpstr>Summary!OSRRefE21_4_0x</vt:lpstr>
      <vt:lpstr>'200'!OSRRefE21_4_1x</vt:lpstr>
      <vt:lpstr>'201'!OSRRefE21_4_1x</vt:lpstr>
      <vt:lpstr>'202'!OSRRefE21_4_1x</vt:lpstr>
      <vt:lpstr>'204'!OSRRefE21_4_1x</vt:lpstr>
      <vt:lpstr>'205'!OSRRefE21_4_1x</vt:lpstr>
      <vt:lpstr>'301'!OSRRefE21_4_1x</vt:lpstr>
      <vt:lpstr>'405'!OSRRefE21_4_1x</vt:lpstr>
      <vt:lpstr>'411'!OSRRefE21_4_1x</vt:lpstr>
      <vt:lpstr>'412'!OSRRefE21_4_1x</vt:lpstr>
      <vt:lpstr>'418'!OSRRefE21_4_1x</vt:lpstr>
      <vt:lpstr>'430'!OSRRefE21_4_1x</vt:lpstr>
      <vt:lpstr>'204'!OSRRefE21_4_2x</vt:lpstr>
      <vt:lpstr>'205'!OSRRefE21_4_2x</vt:lpstr>
      <vt:lpstr>'430'!OSRRefE21_4_2x</vt:lpstr>
      <vt:lpstr>'200'!OSRRefE21_4x_0</vt:lpstr>
      <vt:lpstr>'201'!OSRRefE21_4x_0</vt:lpstr>
      <vt:lpstr>'202'!OSRRefE21_4x_0</vt:lpstr>
      <vt:lpstr>'203'!OSRRefE21_4x_0</vt:lpstr>
      <vt:lpstr>'204'!OSRRefE21_4x_0</vt:lpstr>
      <vt:lpstr>'205'!OSRRefE21_4x_0</vt:lpstr>
      <vt:lpstr>'206'!OSRRefE21_4x_0</vt:lpstr>
      <vt:lpstr>'300'!OSRRefE21_4x_0</vt:lpstr>
      <vt:lpstr>'300 &amp; 317'!OSRRefE21_4x_0</vt:lpstr>
      <vt:lpstr>'301'!OSRRefE21_4x_0</vt:lpstr>
      <vt:lpstr>'307'!OSRRefE21_4x_0</vt:lpstr>
      <vt:lpstr>'308'!OSRRefE21_4x_0</vt:lpstr>
      <vt:lpstr>'309'!OSRRefE21_4x_0</vt:lpstr>
      <vt:lpstr>'310'!OSRRefE21_4x_0</vt:lpstr>
      <vt:lpstr>'310 &amp; 491'!OSRRefE21_4x_0</vt:lpstr>
      <vt:lpstr>'311'!OSRRefE21_4x_0</vt:lpstr>
      <vt:lpstr>'313'!OSRRefE21_4x_0</vt:lpstr>
      <vt:lpstr>'315'!OSRRefE21_4x_0</vt:lpstr>
      <vt:lpstr>'316'!OSRRefE21_4x_0</vt:lpstr>
      <vt:lpstr>'317'!OSRRefE21_4x_0</vt:lpstr>
      <vt:lpstr>'321'!OSRRefE21_4x_0</vt:lpstr>
      <vt:lpstr>'322'!OSRRefE21_4x_0</vt:lpstr>
      <vt:lpstr>'325'!OSRRefE21_4x_0</vt:lpstr>
      <vt:lpstr>'326'!OSRRefE21_4x_0</vt:lpstr>
      <vt:lpstr>'330'!OSRRefE21_4x_0</vt:lpstr>
      <vt:lpstr>'331'!OSRRefE21_4x_0</vt:lpstr>
      <vt:lpstr>'332'!OSRRefE21_4x_0</vt:lpstr>
      <vt:lpstr>'405'!OSRRefE21_4x_0</vt:lpstr>
      <vt:lpstr>'406'!OSRRefE21_4x_0</vt:lpstr>
      <vt:lpstr>'411'!OSRRefE21_4x_0</vt:lpstr>
      <vt:lpstr>'412'!OSRRefE21_4x_0</vt:lpstr>
      <vt:lpstr>'413'!OSRRefE21_4x_0</vt:lpstr>
      <vt:lpstr>'414'!OSRRefE21_4x_0</vt:lpstr>
      <vt:lpstr>'415'!OSRRefE21_4x_0</vt:lpstr>
      <vt:lpstr>'418'!OSRRefE21_4x_0</vt:lpstr>
      <vt:lpstr>'423'!OSRRefE21_4x_0</vt:lpstr>
      <vt:lpstr>'425'!OSRRefE21_4x_0</vt:lpstr>
      <vt:lpstr>'430'!OSRRefE21_4x_0</vt:lpstr>
      <vt:lpstr>'433'!OSRRefE21_4x_0</vt:lpstr>
      <vt:lpstr>'444'!OSRRefE21_4x_0</vt:lpstr>
      <vt:lpstr>'450'!OSRRefE21_4x_0</vt:lpstr>
      <vt:lpstr>'491'!OSRRefE21_4x_0</vt:lpstr>
      <vt:lpstr>'492'!OSRRefE21_4x_0</vt:lpstr>
      <vt:lpstr>'501'!OSRRefE21_4x_0</vt:lpstr>
      <vt:lpstr>'Div 2'!OSRRefE21_4x_0</vt:lpstr>
      <vt:lpstr>'Div 3'!OSRRefE21_4x_0</vt:lpstr>
      <vt:lpstr>'Div 4'!OSRRefE21_4x_0</vt:lpstr>
      <vt:lpstr>'Div 5'!OSRRefE21_4x_0</vt:lpstr>
      <vt:lpstr>'Div 6'!OSRRefE21_4x_0</vt:lpstr>
      <vt:lpstr>Summary!OSRRefE21_4x_0</vt:lpstr>
      <vt:lpstr>'200'!OSRRefE21_4x_1</vt:lpstr>
      <vt:lpstr>'201'!OSRRefE21_4x_1</vt:lpstr>
      <vt:lpstr>'202'!OSRRefE21_4x_1</vt:lpstr>
      <vt:lpstr>'203'!OSRRefE21_4x_1</vt:lpstr>
      <vt:lpstr>'204'!OSRRefE21_4x_1</vt:lpstr>
      <vt:lpstr>'205'!OSRRefE21_4x_1</vt:lpstr>
      <vt:lpstr>'206'!OSRRefE21_4x_1</vt:lpstr>
      <vt:lpstr>'300'!OSRRefE21_4x_1</vt:lpstr>
      <vt:lpstr>'300 &amp; 317'!OSRRefE21_4x_1</vt:lpstr>
      <vt:lpstr>'301'!OSRRefE21_4x_1</vt:lpstr>
      <vt:lpstr>'307'!OSRRefE21_4x_1</vt:lpstr>
      <vt:lpstr>'308'!OSRRefE21_4x_1</vt:lpstr>
      <vt:lpstr>'309'!OSRRefE21_4x_1</vt:lpstr>
      <vt:lpstr>'310'!OSRRefE21_4x_1</vt:lpstr>
      <vt:lpstr>'310 &amp; 491'!OSRRefE21_4x_1</vt:lpstr>
      <vt:lpstr>'311'!OSRRefE21_4x_1</vt:lpstr>
      <vt:lpstr>'313'!OSRRefE21_4x_1</vt:lpstr>
      <vt:lpstr>'315'!OSRRefE21_4x_1</vt:lpstr>
      <vt:lpstr>'316'!OSRRefE21_4x_1</vt:lpstr>
      <vt:lpstr>'317'!OSRRefE21_4x_1</vt:lpstr>
      <vt:lpstr>'321'!OSRRefE21_4x_1</vt:lpstr>
      <vt:lpstr>'322'!OSRRefE21_4x_1</vt:lpstr>
      <vt:lpstr>'325'!OSRRefE21_4x_1</vt:lpstr>
      <vt:lpstr>'326'!OSRRefE21_4x_1</vt:lpstr>
      <vt:lpstr>'330'!OSRRefE21_4x_1</vt:lpstr>
      <vt:lpstr>'331'!OSRRefE21_4x_1</vt:lpstr>
      <vt:lpstr>'332'!OSRRefE21_4x_1</vt:lpstr>
      <vt:lpstr>'405'!OSRRefE21_4x_1</vt:lpstr>
      <vt:lpstr>'406'!OSRRefE21_4x_1</vt:lpstr>
      <vt:lpstr>'411'!OSRRefE21_4x_1</vt:lpstr>
      <vt:lpstr>'412'!OSRRefE21_4x_1</vt:lpstr>
      <vt:lpstr>'413'!OSRRefE21_4x_1</vt:lpstr>
      <vt:lpstr>'414'!OSRRefE21_4x_1</vt:lpstr>
      <vt:lpstr>'415'!OSRRefE21_4x_1</vt:lpstr>
      <vt:lpstr>'418'!OSRRefE21_4x_1</vt:lpstr>
      <vt:lpstr>'423'!OSRRefE21_4x_1</vt:lpstr>
      <vt:lpstr>'425'!OSRRefE21_4x_1</vt:lpstr>
      <vt:lpstr>'430'!OSRRefE21_4x_1</vt:lpstr>
      <vt:lpstr>'433'!OSRRefE21_4x_1</vt:lpstr>
      <vt:lpstr>'444'!OSRRefE21_4x_1</vt:lpstr>
      <vt:lpstr>'450'!OSRRefE21_4x_1</vt:lpstr>
      <vt:lpstr>'491'!OSRRefE21_4x_1</vt:lpstr>
      <vt:lpstr>'492'!OSRRefE21_4x_1</vt:lpstr>
      <vt:lpstr>'501'!OSRRefE21_4x_1</vt:lpstr>
      <vt:lpstr>'Div 2'!OSRRefE21_4x_1</vt:lpstr>
      <vt:lpstr>'Div 3'!OSRRefE21_4x_1</vt:lpstr>
      <vt:lpstr>'Div 4'!OSRRefE21_4x_1</vt:lpstr>
      <vt:lpstr>'Div 5'!OSRRefE21_4x_1</vt:lpstr>
      <vt:lpstr>'Div 6'!OSRRefE21_4x_1</vt:lpstr>
      <vt:lpstr>Summary!OSRRefE21_4x_1</vt:lpstr>
      <vt:lpstr>'200'!OSRRefE21_4x_2</vt:lpstr>
      <vt:lpstr>'201'!OSRRefE21_4x_2</vt:lpstr>
      <vt:lpstr>'202'!OSRRefE21_4x_2</vt:lpstr>
      <vt:lpstr>'203'!OSRRefE21_4x_2</vt:lpstr>
      <vt:lpstr>'204'!OSRRefE21_4x_2</vt:lpstr>
      <vt:lpstr>'205'!OSRRefE21_4x_2</vt:lpstr>
      <vt:lpstr>'206'!OSRRefE21_4x_2</vt:lpstr>
      <vt:lpstr>'300'!OSRRefE21_4x_2</vt:lpstr>
      <vt:lpstr>'300 &amp; 317'!OSRRefE21_4x_2</vt:lpstr>
      <vt:lpstr>'301'!OSRRefE21_4x_2</vt:lpstr>
      <vt:lpstr>'307'!OSRRefE21_4x_2</vt:lpstr>
      <vt:lpstr>'308'!OSRRefE21_4x_2</vt:lpstr>
      <vt:lpstr>'309'!OSRRefE21_4x_2</vt:lpstr>
      <vt:lpstr>'310'!OSRRefE21_4x_2</vt:lpstr>
      <vt:lpstr>'310 &amp; 491'!OSRRefE21_4x_2</vt:lpstr>
      <vt:lpstr>'311'!OSRRefE21_4x_2</vt:lpstr>
      <vt:lpstr>'313'!OSRRefE21_4x_2</vt:lpstr>
      <vt:lpstr>'315'!OSRRefE21_4x_2</vt:lpstr>
      <vt:lpstr>'316'!OSRRefE21_4x_2</vt:lpstr>
      <vt:lpstr>'317'!OSRRefE21_4x_2</vt:lpstr>
      <vt:lpstr>'321'!OSRRefE21_4x_2</vt:lpstr>
      <vt:lpstr>'322'!OSRRefE21_4x_2</vt:lpstr>
      <vt:lpstr>'325'!OSRRefE21_4x_2</vt:lpstr>
      <vt:lpstr>'326'!OSRRefE21_4x_2</vt:lpstr>
      <vt:lpstr>'330'!OSRRefE21_4x_2</vt:lpstr>
      <vt:lpstr>'331'!OSRRefE21_4x_2</vt:lpstr>
      <vt:lpstr>'332'!OSRRefE21_4x_2</vt:lpstr>
      <vt:lpstr>'405'!OSRRefE21_4x_2</vt:lpstr>
      <vt:lpstr>'406'!OSRRefE21_4x_2</vt:lpstr>
      <vt:lpstr>'411'!OSRRefE21_4x_2</vt:lpstr>
      <vt:lpstr>'412'!OSRRefE21_4x_2</vt:lpstr>
      <vt:lpstr>'413'!OSRRefE21_4x_2</vt:lpstr>
      <vt:lpstr>'414'!OSRRefE21_4x_2</vt:lpstr>
      <vt:lpstr>'415'!OSRRefE21_4x_2</vt:lpstr>
      <vt:lpstr>'418'!OSRRefE21_4x_2</vt:lpstr>
      <vt:lpstr>'423'!OSRRefE21_4x_2</vt:lpstr>
      <vt:lpstr>'425'!OSRRefE21_4x_2</vt:lpstr>
      <vt:lpstr>'430'!OSRRefE21_4x_2</vt:lpstr>
      <vt:lpstr>'433'!OSRRefE21_4x_2</vt:lpstr>
      <vt:lpstr>'444'!OSRRefE21_4x_2</vt:lpstr>
      <vt:lpstr>'450'!OSRRefE21_4x_2</vt:lpstr>
      <vt:lpstr>'491'!OSRRefE21_4x_2</vt:lpstr>
      <vt:lpstr>'492'!OSRRefE21_4x_2</vt:lpstr>
      <vt:lpstr>'501'!OSRRefE21_4x_2</vt:lpstr>
      <vt:lpstr>'Div 2'!OSRRefE21_4x_2</vt:lpstr>
      <vt:lpstr>'Div 3'!OSRRefE21_4x_2</vt:lpstr>
      <vt:lpstr>'Div 4'!OSRRefE21_4x_2</vt:lpstr>
      <vt:lpstr>'Div 5'!OSRRefE21_4x_2</vt:lpstr>
      <vt:lpstr>'Div 6'!OSRRefE21_4x_2</vt:lpstr>
      <vt:lpstr>Summary!OSRRefE21_4x_2</vt:lpstr>
      <vt:lpstr>'200'!OSRRefE21_4x_3</vt:lpstr>
      <vt:lpstr>'201'!OSRRefE21_4x_3</vt:lpstr>
      <vt:lpstr>'202'!OSRRefE21_4x_3</vt:lpstr>
      <vt:lpstr>'203'!OSRRefE21_4x_3</vt:lpstr>
      <vt:lpstr>'204'!OSRRefE21_4x_3</vt:lpstr>
      <vt:lpstr>'205'!OSRRefE21_4x_3</vt:lpstr>
      <vt:lpstr>'206'!OSRRefE21_4x_3</vt:lpstr>
      <vt:lpstr>'300'!OSRRefE21_4x_3</vt:lpstr>
      <vt:lpstr>'300 &amp; 317'!OSRRefE21_4x_3</vt:lpstr>
      <vt:lpstr>'301'!OSRRefE21_4x_3</vt:lpstr>
      <vt:lpstr>'307'!OSRRefE21_4x_3</vt:lpstr>
      <vt:lpstr>'308'!OSRRefE21_4x_3</vt:lpstr>
      <vt:lpstr>'309'!OSRRefE21_4x_3</vt:lpstr>
      <vt:lpstr>'310'!OSRRefE21_4x_3</vt:lpstr>
      <vt:lpstr>'310 &amp; 491'!OSRRefE21_4x_3</vt:lpstr>
      <vt:lpstr>'311'!OSRRefE21_4x_3</vt:lpstr>
      <vt:lpstr>'313'!OSRRefE21_4x_3</vt:lpstr>
      <vt:lpstr>'315'!OSRRefE21_4x_3</vt:lpstr>
      <vt:lpstr>'316'!OSRRefE21_4x_3</vt:lpstr>
      <vt:lpstr>'317'!OSRRefE21_4x_3</vt:lpstr>
      <vt:lpstr>'321'!OSRRefE21_4x_3</vt:lpstr>
      <vt:lpstr>'322'!OSRRefE21_4x_3</vt:lpstr>
      <vt:lpstr>'325'!OSRRefE21_4x_3</vt:lpstr>
      <vt:lpstr>'326'!OSRRefE21_4x_3</vt:lpstr>
      <vt:lpstr>'330'!OSRRefE21_4x_3</vt:lpstr>
      <vt:lpstr>'331'!OSRRefE21_4x_3</vt:lpstr>
      <vt:lpstr>'332'!OSRRefE21_4x_3</vt:lpstr>
      <vt:lpstr>'405'!OSRRefE21_4x_3</vt:lpstr>
      <vt:lpstr>'406'!OSRRefE21_4x_3</vt:lpstr>
      <vt:lpstr>'411'!OSRRefE21_4x_3</vt:lpstr>
      <vt:lpstr>'412'!OSRRefE21_4x_3</vt:lpstr>
      <vt:lpstr>'413'!OSRRefE21_4x_3</vt:lpstr>
      <vt:lpstr>'414'!OSRRefE21_4x_3</vt:lpstr>
      <vt:lpstr>'415'!OSRRefE21_4x_3</vt:lpstr>
      <vt:lpstr>'418'!OSRRefE21_4x_3</vt:lpstr>
      <vt:lpstr>'423'!OSRRefE21_4x_3</vt:lpstr>
      <vt:lpstr>'425'!OSRRefE21_4x_3</vt:lpstr>
      <vt:lpstr>'430'!OSRRefE21_4x_3</vt:lpstr>
      <vt:lpstr>'433'!OSRRefE21_4x_3</vt:lpstr>
      <vt:lpstr>'444'!OSRRefE21_4x_3</vt:lpstr>
      <vt:lpstr>'450'!OSRRefE21_4x_3</vt:lpstr>
      <vt:lpstr>'491'!OSRRefE21_4x_3</vt:lpstr>
      <vt:lpstr>'492'!OSRRefE21_4x_3</vt:lpstr>
      <vt:lpstr>'501'!OSRRefE21_4x_3</vt:lpstr>
      <vt:lpstr>'Div 2'!OSRRefE21_4x_3</vt:lpstr>
      <vt:lpstr>'Div 3'!OSRRefE21_4x_3</vt:lpstr>
      <vt:lpstr>'Div 4'!OSRRefE21_4x_3</vt:lpstr>
      <vt:lpstr>'Div 5'!OSRRefE21_4x_3</vt:lpstr>
      <vt:lpstr>'Div 6'!OSRRefE21_4x_3</vt:lpstr>
      <vt:lpstr>Summary!OSRRefE21_4x_3</vt:lpstr>
      <vt:lpstr>'200'!OSRRefE21_4x_4</vt:lpstr>
      <vt:lpstr>'201'!OSRRefE21_4x_4</vt:lpstr>
      <vt:lpstr>'202'!OSRRefE21_4x_4</vt:lpstr>
      <vt:lpstr>'203'!OSRRefE21_4x_4</vt:lpstr>
      <vt:lpstr>'204'!OSRRefE21_4x_4</vt:lpstr>
      <vt:lpstr>'205'!OSRRefE21_4x_4</vt:lpstr>
      <vt:lpstr>'206'!OSRRefE21_4x_4</vt:lpstr>
      <vt:lpstr>'300'!OSRRefE21_4x_4</vt:lpstr>
      <vt:lpstr>'300 &amp; 317'!OSRRefE21_4x_4</vt:lpstr>
      <vt:lpstr>'301'!OSRRefE21_4x_4</vt:lpstr>
      <vt:lpstr>'307'!OSRRefE21_4x_4</vt:lpstr>
      <vt:lpstr>'308'!OSRRefE21_4x_4</vt:lpstr>
      <vt:lpstr>'309'!OSRRefE21_4x_4</vt:lpstr>
      <vt:lpstr>'310'!OSRRefE21_4x_4</vt:lpstr>
      <vt:lpstr>'310 &amp; 491'!OSRRefE21_4x_4</vt:lpstr>
      <vt:lpstr>'311'!OSRRefE21_4x_4</vt:lpstr>
      <vt:lpstr>'313'!OSRRefE21_4x_4</vt:lpstr>
      <vt:lpstr>'315'!OSRRefE21_4x_4</vt:lpstr>
      <vt:lpstr>'316'!OSRRefE21_4x_4</vt:lpstr>
      <vt:lpstr>'317'!OSRRefE21_4x_4</vt:lpstr>
      <vt:lpstr>'321'!OSRRefE21_4x_4</vt:lpstr>
      <vt:lpstr>'322'!OSRRefE21_4x_4</vt:lpstr>
      <vt:lpstr>'325'!OSRRefE21_4x_4</vt:lpstr>
      <vt:lpstr>'326'!OSRRefE21_4x_4</vt:lpstr>
      <vt:lpstr>'330'!OSRRefE21_4x_4</vt:lpstr>
      <vt:lpstr>'331'!OSRRefE21_4x_4</vt:lpstr>
      <vt:lpstr>'332'!OSRRefE21_4x_4</vt:lpstr>
      <vt:lpstr>'405'!OSRRefE21_4x_4</vt:lpstr>
      <vt:lpstr>'406'!OSRRefE21_4x_4</vt:lpstr>
      <vt:lpstr>'411'!OSRRefE21_4x_4</vt:lpstr>
      <vt:lpstr>'412'!OSRRefE21_4x_4</vt:lpstr>
      <vt:lpstr>'413'!OSRRefE21_4x_4</vt:lpstr>
      <vt:lpstr>'414'!OSRRefE21_4x_4</vt:lpstr>
      <vt:lpstr>'415'!OSRRefE21_4x_4</vt:lpstr>
      <vt:lpstr>'418'!OSRRefE21_4x_4</vt:lpstr>
      <vt:lpstr>'423'!OSRRefE21_4x_4</vt:lpstr>
      <vt:lpstr>'425'!OSRRefE21_4x_4</vt:lpstr>
      <vt:lpstr>'430'!OSRRefE21_4x_4</vt:lpstr>
      <vt:lpstr>'433'!OSRRefE21_4x_4</vt:lpstr>
      <vt:lpstr>'444'!OSRRefE21_4x_4</vt:lpstr>
      <vt:lpstr>'450'!OSRRefE21_4x_4</vt:lpstr>
      <vt:lpstr>'491'!OSRRefE21_4x_4</vt:lpstr>
      <vt:lpstr>'492'!OSRRefE21_4x_4</vt:lpstr>
      <vt:lpstr>'501'!OSRRefE21_4x_4</vt:lpstr>
      <vt:lpstr>'Div 2'!OSRRefE21_4x_4</vt:lpstr>
      <vt:lpstr>'Div 3'!OSRRefE21_4x_4</vt:lpstr>
      <vt:lpstr>'Div 4'!OSRRefE21_4x_4</vt:lpstr>
      <vt:lpstr>'Div 5'!OSRRefE21_4x_4</vt:lpstr>
      <vt:lpstr>'Div 6'!OSRRefE21_4x_4</vt:lpstr>
      <vt:lpstr>Summary!OSRRefE21_4x_4</vt:lpstr>
      <vt:lpstr>'200'!OSRRefE21_4x_5</vt:lpstr>
      <vt:lpstr>'201'!OSRRefE21_4x_5</vt:lpstr>
      <vt:lpstr>'202'!OSRRefE21_4x_5</vt:lpstr>
      <vt:lpstr>'203'!OSRRefE21_4x_5</vt:lpstr>
      <vt:lpstr>'204'!OSRRefE21_4x_5</vt:lpstr>
      <vt:lpstr>'205'!OSRRefE21_4x_5</vt:lpstr>
      <vt:lpstr>'206'!OSRRefE21_4x_5</vt:lpstr>
      <vt:lpstr>'300'!OSRRefE21_4x_5</vt:lpstr>
      <vt:lpstr>'300 &amp; 317'!OSRRefE21_4x_5</vt:lpstr>
      <vt:lpstr>'301'!OSRRefE21_4x_5</vt:lpstr>
      <vt:lpstr>'307'!OSRRefE21_4x_5</vt:lpstr>
      <vt:lpstr>'308'!OSRRefE21_4x_5</vt:lpstr>
      <vt:lpstr>'309'!OSRRefE21_4x_5</vt:lpstr>
      <vt:lpstr>'310'!OSRRefE21_4x_5</vt:lpstr>
      <vt:lpstr>'310 &amp; 491'!OSRRefE21_4x_5</vt:lpstr>
      <vt:lpstr>'311'!OSRRefE21_4x_5</vt:lpstr>
      <vt:lpstr>'313'!OSRRefE21_4x_5</vt:lpstr>
      <vt:lpstr>'315'!OSRRefE21_4x_5</vt:lpstr>
      <vt:lpstr>'316'!OSRRefE21_4x_5</vt:lpstr>
      <vt:lpstr>'317'!OSRRefE21_4x_5</vt:lpstr>
      <vt:lpstr>'321'!OSRRefE21_4x_5</vt:lpstr>
      <vt:lpstr>'322'!OSRRefE21_4x_5</vt:lpstr>
      <vt:lpstr>'325'!OSRRefE21_4x_5</vt:lpstr>
      <vt:lpstr>'326'!OSRRefE21_4x_5</vt:lpstr>
      <vt:lpstr>'330'!OSRRefE21_4x_5</vt:lpstr>
      <vt:lpstr>'331'!OSRRefE21_4x_5</vt:lpstr>
      <vt:lpstr>'332'!OSRRefE21_4x_5</vt:lpstr>
      <vt:lpstr>'405'!OSRRefE21_4x_5</vt:lpstr>
      <vt:lpstr>'406'!OSRRefE21_4x_5</vt:lpstr>
      <vt:lpstr>'411'!OSRRefE21_4x_5</vt:lpstr>
      <vt:lpstr>'412'!OSRRefE21_4x_5</vt:lpstr>
      <vt:lpstr>'413'!OSRRefE21_4x_5</vt:lpstr>
      <vt:lpstr>'414'!OSRRefE21_4x_5</vt:lpstr>
      <vt:lpstr>'415'!OSRRefE21_4x_5</vt:lpstr>
      <vt:lpstr>'418'!OSRRefE21_4x_5</vt:lpstr>
      <vt:lpstr>'423'!OSRRefE21_4x_5</vt:lpstr>
      <vt:lpstr>'425'!OSRRefE21_4x_5</vt:lpstr>
      <vt:lpstr>'430'!OSRRefE21_4x_5</vt:lpstr>
      <vt:lpstr>'433'!OSRRefE21_4x_5</vt:lpstr>
      <vt:lpstr>'444'!OSRRefE21_4x_5</vt:lpstr>
      <vt:lpstr>'450'!OSRRefE21_4x_5</vt:lpstr>
      <vt:lpstr>'491'!OSRRefE21_4x_5</vt:lpstr>
      <vt:lpstr>'492'!OSRRefE21_4x_5</vt:lpstr>
      <vt:lpstr>'501'!OSRRefE21_4x_5</vt:lpstr>
      <vt:lpstr>'Div 2'!OSRRefE21_4x_5</vt:lpstr>
      <vt:lpstr>'Div 3'!OSRRefE21_4x_5</vt:lpstr>
      <vt:lpstr>'Div 4'!OSRRefE21_4x_5</vt:lpstr>
      <vt:lpstr>'Div 5'!OSRRefE21_4x_5</vt:lpstr>
      <vt:lpstr>'Div 6'!OSRRefE21_4x_5</vt:lpstr>
      <vt:lpstr>Summary!OSRRefE21_4x_5</vt:lpstr>
      <vt:lpstr>'200'!OSRRefE21_4x_6</vt:lpstr>
      <vt:lpstr>'201'!OSRRefE21_4x_6</vt:lpstr>
      <vt:lpstr>'202'!OSRRefE21_4x_6</vt:lpstr>
      <vt:lpstr>'203'!OSRRefE21_4x_6</vt:lpstr>
      <vt:lpstr>'204'!OSRRefE21_4x_6</vt:lpstr>
      <vt:lpstr>'205'!OSRRefE21_4x_6</vt:lpstr>
      <vt:lpstr>'206'!OSRRefE21_4x_6</vt:lpstr>
      <vt:lpstr>'300'!OSRRefE21_4x_6</vt:lpstr>
      <vt:lpstr>'300 &amp; 317'!OSRRefE21_4x_6</vt:lpstr>
      <vt:lpstr>'301'!OSRRefE21_4x_6</vt:lpstr>
      <vt:lpstr>'307'!OSRRefE21_4x_6</vt:lpstr>
      <vt:lpstr>'308'!OSRRefE21_4x_6</vt:lpstr>
      <vt:lpstr>'309'!OSRRefE21_4x_6</vt:lpstr>
      <vt:lpstr>'310'!OSRRefE21_4x_6</vt:lpstr>
      <vt:lpstr>'310 &amp; 491'!OSRRefE21_4x_6</vt:lpstr>
      <vt:lpstr>'311'!OSRRefE21_4x_6</vt:lpstr>
      <vt:lpstr>'313'!OSRRefE21_4x_6</vt:lpstr>
      <vt:lpstr>'315'!OSRRefE21_4x_6</vt:lpstr>
      <vt:lpstr>'316'!OSRRefE21_4x_6</vt:lpstr>
      <vt:lpstr>'317'!OSRRefE21_4x_6</vt:lpstr>
      <vt:lpstr>'321'!OSRRefE21_4x_6</vt:lpstr>
      <vt:lpstr>'322'!OSRRefE21_4x_6</vt:lpstr>
      <vt:lpstr>'325'!OSRRefE21_4x_6</vt:lpstr>
      <vt:lpstr>'326'!OSRRefE21_4x_6</vt:lpstr>
      <vt:lpstr>'330'!OSRRefE21_4x_6</vt:lpstr>
      <vt:lpstr>'331'!OSRRefE21_4x_6</vt:lpstr>
      <vt:lpstr>'332'!OSRRefE21_4x_6</vt:lpstr>
      <vt:lpstr>'405'!OSRRefE21_4x_6</vt:lpstr>
      <vt:lpstr>'406'!OSRRefE21_4x_6</vt:lpstr>
      <vt:lpstr>'411'!OSRRefE21_4x_6</vt:lpstr>
      <vt:lpstr>'412'!OSRRefE21_4x_6</vt:lpstr>
      <vt:lpstr>'413'!OSRRefE21_4x_6</vt:lpstr>
      <vt:lpstr>'414'!OSRRefE21_4x_6</vt:lpstr>
      <vt:lpstr>'415'!OSRRefE21_4x_6</vt:lpstr>
      <vt:lpstr>'418'!OSRRefE21_4x_6</vt:lpstr>
      <vt:lpstr>'423'!OSRRefE21_4x_6</vt:lpstr>
      <vt:lpstr>'425'!OSRRefE21_4x_6</vt:lpstr>
      <vt:lpstr>'430'!OSRRefE21_4x_6</vt:lpstr>
      <vt:lpstr>'433'!OSRRefE21_4x_6</vt:lpstr>
      <vt:lpstr>'444'!OSRRefE21_4x_6</vt:lpstr>
      <vt:lpstr>'450'!OSRRefE21_4x_6</vt:lpstr>
      <vt:lpstr>'491'!OSRRefE21_4x_6</vt:lpstr>
      <vt:lpstr>'492'!OSRRefE21_4x_6</vt:lpstr>
      <vt:lpstr>'501'!OSRRefE21_4x_6</vt:lpstr>
      <vt:lpstr>'Div 2'!OSRRefE21_4x_6</vt:lpstr>
      <vt:lpstr>'Div 3'!OSRRefE21_4x_6</vt:lpstr>
      <vt:lpstr>'Div 4'!OSRRefE21_4x_6</vt:lpstr>
      <vt:lpstr>'Div 5'!OSRRefE21_4x_6</vt:lpstr>
      <vt:lpstr>'Div 6'!OSRRefE21_4x_6</vt:lpstr>
      <vt:lpstr>Summary!OSRRefE21_4x_6</vt:lpstr>
      <vt:lpstr>'200'!OSRRefE21_4x_7</vt:lpstr>
      <vt:lpstr>'201'!OSRRefE21_4x_7</vt:lpstr>
      <vt:lpstr>'202'!OSRRefE21_4x_7</vt:lpstr>
      <vt:lpstr>'203'!OSRRefE21_4x_7</vt:lpstr>
      <vt:lpstr>'204'!OSRRefE21_4x_7</vt:lpstr>
      <vt:lpstr>'205'!OSRRefE21_4x_7</vt:lpstr>
      <vt:lpstr>'206'!OSRRefE21_4x_7</vt:lpstr>
      <vt:lpstr>'300'!OSRRefE21_4x_7</vt:lpstr>
      <vt:lpstr>'300 &amp; 317'!OSRRefE21_4x_7</vt:lpstr>
      <vt:lpstr>'301'!OSRRefE21_4x_7</vt:lpstr>
      <vt:lpstr>'307'!OSRRefE21_4x_7</vt:lpstr>
      <vt:lpstr>'308'!OSRRefE21_4x_7</vt:lpstr>
      <vt:lpstr>'309'!OSRRefE21_4x_7</vt:lpstr>
      <vt:lpstr>'310'!OSRRefE21_4x_7</vt:lpstr>
      <vt:lpstr>'310 &amp; 491'!OSRRefE21_4x_7</vt:lpstr>
      <vt:lpstr>'311'!OSRRefE21_4x_7</vt:lpstr>
      <vt:lpstr>'313'!OSRRefE21_4x_7</vt:lpstr>
      <vt:lpstr>'315'!OSRRefE21_4x_7</vt:lpstr>
      <vt:lpstr>'316'!OSRRefE21_4x_7</vt:lpstr>
      <vt:lpstr>'317'!OSRRefE21_4x_7</vt:lpstr>
      <vt:lpstr>'321'!OSRRefE21_4x_7</vt:lpstr>
      <vt:lpstr>'322'!OSRRefE21_4x_7</vt:lpstr>
      <vt:lpstr>'325'!OSRRefE21_4x_7</vt:lpstr>
      <vt:lpstr>'326'!OSRRefE21_4x_7</vt:lpstr>
      <vt:lpstr>'330'!OSRRefE21_4x_7</vt:lpstr>
      <vt:lpstr>'331'!OSRRefE21_4x_7</vt:lpstr>
      <vt:lpstr>'332'!OSRRefE21_4x_7</vt:lpstr>
      <vt:lpstr>'405'!OSRRefE21_4x_7</vt:lpstr>
      <vt:lpstr>'406'!OSRRefE21_4x_7</vt:lpstr>
      <vt:lpstr>'411'!OSRRefE21_4x_7</vt:lpstr>
      <vt:lpstr>'412'!OSRRefE21_4x_7</vt:lpstr>
      <vt:lpstr>'413'!OSRRefE21_4x_7</vt:lpstr>
      <vt:lpstr>'414'!OSRRefE21_4x_7</vt:lpstr>
      <vt:lpstr>'415'!OSRRefE21_4x_7</vt:lpstr>
      <vt:lpstr>'418'!OSRRefE21_4x_7</vt:lpstr>
      <vt:lpstr>'423'!OSRRefE21_4x_7</vt:lpstr>
      <vt:lpstr>'425'!OSRRefE21_4x_7</vt:lpstr>
      <vt:lpstr>'430'!OSRRefE21_4x_7</vt:lpstr>
      <vt:lpstr>'433'!OSRRefE21_4x_7</vt:lpstr>
      <vt:lpstr>'444'!OSRRefE21_4x_7</vt:lpstr>
      <vt:lpstr>'450'!OSRRefE21_4x_7</vt:lpstr>
      <vt:lpstr>'491'!OSRRefE21_4x_7</vt:lpstr>
      <vt:lpstr>'492'!OSRRefE21_4x_7</vt:lpstr>
      <vt:lpstr>'501'!OSRRefE21_4x_7</vt:lpstr>
      <vt:lpstr>'Div 2'!OSRRefE21_4x_7</vt:lpstr>
      <vt:lpstr>'Div 3'!OSRRefE21_4x_7</vt:lpstr>
      <vt:lpstr>'Div 4'!OSRRefE21_4x_7</vt:lpstr>
      <vt:lpstr>'Div 5'!OSRRefE21_4x_7</vt:lpstr>
      <vt:lpstr>'Div 6'!OSRRefE21_4x_7</vt:lpstr>
      <vt:lpstr>Summary!OSRRefE21_4x_7</vt:lpstr>
      <vt:lpstr>'201'!OSRRefE21_5_0x</vt:lpstr>
      <vt:lpstr>'202'!OSRRefE21_5_0x</vt:lpstr>
      <vt:lpstr>'203'!OSRRefE21_5_0x</vt:lpstr>
      <vt:lpstr>'204'!OSRRefE21_5_0x</vt:lpstr>
      <vt:lpstr>'205'!OSRRefE21_5_0x</vt:lpstr>
      <vt:lpstr>'206'!OSRRefE21_5_0x</vt:lpstr>
      <vt:lpstr>'300'!OSRRefE21_5_0x</vt:lpstr>
      <vt:lpstr>'300 &amp; 317'!OSRRefE21_5_0x</vt:lpstr>
      <vt:lpstr>'301'!OSRRefE21_5_0x</vt:lpstr>
      <vt:lpstr>'307'!OSRRefE21_5_0x</vt:lpstr>
      <vt:lpstr>'308'!OSRRefE21_5_0x</vt:lpstr>
      <vt:lpstr>'309'!OSRRefE21_5_0x</vt:lpstr>
      <vt:lpstr>'310'!OSRRefE21_5_0x</vt:lpstr>
      <vt:lpstr>'310 &amp; 491'!OSRRefE21_5_0x</vt:lpstr>
      <vt:lpstr>'311'!OSRRefE21_5_0x</vt:lpstr>
      <vt:lpstr>'313'!OSRRefE21_5_0x</vt:lpstr>
      <vt:lpstr>'315'!OSRRefE21_5_0x</vt:lpstr>
      <vt:lpstr>'316'!OSRRefE21_5_0x</vt:lpstr>
      <vt:lpstr>'317'!OSRRefE21_5_0x</vt:lpstr>
      <vt:lpstr>'321'!OSRRefE21_5_0x</vt:lpstr>
      <vt:lpstr>'322'!OSRRefE21_5_0x</vt:lpstr>
      <vt:lpstr>'325'!OSRRefE21_5_0x</vt:lpstr>
      <vt:lpstr>'326'!OSRRefE21_5_0x</vt:lpstr>
      <vt:lpstr>'330'!OSRRefE21_5_0x</vt:lpstr>
      <vt:lpstr>'331'!OSRRefE21_5_0x</vt:lpstr>
      <vt:lpstr>'332'!OSRRefE21_5_0x</vt:lpstr>
      <vt:lpstr>'405'!OSRRefE21_5_0x</vt:lpstr>
      <vt:lpstr>'411'!OSRRefE21_5_0x</vt:lpstr>
      <vt:lpstr>'412'!OSRRefE21_5_0x</vt:lpstr>
      <vt:lpstr>'413'!OSRRefE21_5_0x</vt:lpstr>
      <vt:lpstr>'414'!OSRRefE21_5_0x</vt:lpstr>
      <vt:lpstr>'415'!OSRRefE21_5_0x</vt:lpstr>
      <vt:lpstr>'418'!OSRRefE21_5_0x</vt:lpstr>
      <vt:lpstr>'423'!OSRRefE21_5_0x</vt:lpstr>
      <vt:lpstr>'430'!OSRRefE21_5_0x</vt:lpstr>
      <vt:lpstr>'433'!OSRRefE21_5_0x</vt:lpstr>
      <vt:lpstr>'444'!OSRRefE21_5_0x</vt:lpstr>
      <vt:lpstr>'450'!OSRRefE21_5_0x</vt:lpstr>
      <vt:lpstr>'491'!OSRRefE21_5_0x</vt:lpstr>
      <vt:lpstr>'492'!OSRRefE21_5_0x</vt:lpstr>
      <vt:lpstr>'501'!OSRRefE21_5_0x</vt:lpstr>
      <vt:lpstr>'Div 2'!OSRRefE21_5_0x</vt:lpstr>
      <vt:lpstr>'Div 3'!OSRRefE21_5_0x</vt:lpstr>
      <vt:lpstr>'Div 4'!OSRRefE21_5_0x</vt:lpstr>
      <vt:lpstr>'Div 5'!OSRRefE21_5_0x</vt:lpstr>
      <vt:lpstr>'Div 6'!OSRRefE21_5_0x</vt:lpstr>
      <vt:lpstr>Summary!OSRRefE21_5_0x</vt:lpstr>
      <vt:lpstr>'300'!OSRRefE21_5_1x</vt:lpstr>
      <vt:lpstr>'300 &amp; 317'!OSRRefE21_5_1x</vt:lpstr>
      <vt:lpstr>'307'!OSRRefE21_5_1x</vt:lpstr>
      <vt:lpstr>'309'!OSRRefE21_5_1x</vt:lpstr>
      <vt:lpstr>'310'!OSRRefE21_5_1x</vt:lpstr>
      <vt:lpstr>'310 &amp; 491'!OSRRefE21_5_1x</vt:lpstr>
      <vt:lpstr>'325'!OSRRefE21_5_1x</vt:lpstr>
      <vt:lpstr>'330'!OSRRefE21_5_1x</vt:lpstr>
      <vt:lpstr>'415'!OSRRefE21_5_1x</vt:lpstr>
      <vt:lpstr>'430'!OSRRefE21_5_1x</vt:lpstr>
      <vt:lpstr>'491'!OSRRefE21_5_1x</vt:lpstr>
      <vt:lpstr>'501'!OSRRefE21_5_1x</vt:lpstr>
      <vt:lpstr>'Div 3'!OSRRefE21_5_1x</vt:lpstr>
      <vt:lpstr>'Div 4'!OSRRefE21_5_1x</vt:lpstr>
      <vt:lpstr>'Div 5'!OSRRefE21_5_1x</vt:lpstr>
      <vt:lpstr>Summary!OSRRefE21_5_1x</vt:lpstr>
      <vt:lpstr>'310 &amp; 491'!OSRRefE21_5_2x</vt:lpstr>
      <vt:lpstr>'491'!OSRRefE21_5_2x</vt:lpstr>
      <vt:lpstr>'Div 4'!OSRRefE21_5_2x</vt:lpstr>
      <vt:lpstr>Summary!OSRRefE21_5_2x</vt:lpstr>
      <vt:lpstr>'201'!OSRRefE21_5x_0</vt:lpstr>
      <vt:lpstr>'202'!OSRRefE21_5x_0</vt:lpstr>
      <vt:lpstr>'203'!OSRRefE21_5x_0</vt:lpstr>
      <vt:lpstr>'204'!OSRRefE21_5x_0</vt:lpstr>
      <vt:lpstr>'205'!OSRRefE21_5x_0</vt:lpstr>
      <vt:lpstr>'206'!OSRRefE21_5x_0</vt:lpstr>
      <vt:lpstr>'300'!OSRRefE21_5x_0</vt:lpstr>
      <vt:lpstr>'300 &amp; 317'!OSRRefE21_5x_0</vt:lpstr>
      <vt:lpstr>'301'!OSRRefE21_5x_0</vt:lpstr>
      <vt:lpstr>'307'!OSRRefE21_5x_0</vt:lpstr>
      <vt:lpstr>'308'!OSRRefE21_5x_0</vt:lpstr>
      <vt:lpstr>'309'!OSRRefE21_5x_0</vt:lpstr>
      <vt:lpstr>'310'!OSRRefE21_5x_0</vt:lpstr>
      <vt:lpstr>'310 &amp; 491'!OSRRefE21_5x_0</vt:lpstr>
      <vt:lpstr>'311'!OSRRefE21_5x_0</vt:lpstr>
      <vt:lpstr>'313'!OSRRefE21_5x_0</vt:lpstr>
      <vt:lpstr>'315'!OSRRefE21_5x_0</vt:lpstr>
      <vt:lpstr>'316'!OSRRefE21_5x_0</vt:lpstr>
      <vt:lpstr>'317'!OSRRefE21_5x_0</vt:lpstr>
      <vt:lpstr>'321'!OSRRefE21_5x_0</vt:lpstr>
      <vt:lpstr>'322'!OSRRefE21_5x_0</vt:lpstr>
      <vt:lpstr>'325'!OSRRefE21_5x_0</vt:lpstr>
      <vt:lpstr>'326'!OSRRefE21_5x_0</vt:lpstr>
      <vt:lpstr>'330'!OSRRefE21_5x_0</vt:lpstr>
      <vt:lpstr>'331'!OSRRefE21_5x_0</vt:lpstr>
      <vt:lpstr>'332'!OSRRefE21_5x_0</vt:lpstr>
      <vt:lpstr>'405'!OSRRefE21_5x_0</vt:lpstr>
      <vt:lpstr>'411'!OSRRefE21_5x_0</vt:lpstr>
      <vt:lpstr>'412'!OSRRefE21_5x_0</vt:lpstr>
      <vt:lpstr>'413'!OSRRefE21_5x_0</vt:lpstr>
      <vt:lpstr>'414'!OSRRefE21_5x_0</vt:lpstr>
      <vt:lpstr>'415'!OSRRefE21_5x_0</vt:lpstr>
      <vt:lpstr>'418'!OSRRefE21_5x_0</vt:lpstr>
      <vt:lpstr>'423'!OSRRefE21_5x_0</vt:lpstr>
      <vt:lpstr>'430'!OSRRefE21_5x_0</vt:lpstr>
      <vt:lpstr>'433'!OSRRefE21_5x_0</vt:lpstr>
      <vt:lpstr>'444'!OSRRefE21_5x_0</vt:lpstr>
      <vt:lpstr>'450'!OSRRefE21_5x_0</vt:lpstr>
      <vt:lpstr>'491'!OSRRefE21_5x_0</vt:lpstr>
      <vt:lpstr>'492'!OSRRefE21_5x_0</vt:lpstr>
      <vt:lpstr>'501'!OSRRefE21_5x_0</vt:lpstr>
      <vt:lpstr>'Div 2'!OSRRefE21_5x_0</vt:lpstr>
      <vt:lpstr>'Div 3'!OSRRefE21_5x_0</vt:lpstr>
      <vt:lpstr>'Div 4'!OSRRefE21_5x_0</vt:lpstr>
      <vt:lpstr>'Div 5'!OSRRefE21_5x_0</vt:lpstr>
      <vt:lpstr>'Div 6'!OSRRefE21_5x_0</vt:lpstr>
      <vt:lpstr>Summary!OSRRefE21_5x_0</vt:lpstr>
      <vt:lpstr>'201'!OSRRefE21_5x_1</vt:lpstr>
      <vt:lpstr>'202'!OSRRefE21_5x_1</vt:lpstr>
      <vt:lpstr>'203'!OSRRefE21_5x_1</vt:lpstr>
      <vt:lpstr>'204'!OSRRefE21_5x_1</vt:lpstr>
      <vt:lpstr>'205'!OSRRefE21_5x_1</vt:lpstr>
      <vt:lpstr>'206'!OSRRefE21_5x_1</vt:lpstr>
      <vt:lpstr>'300'!OSRRefE21_5x_1</vt:lpstr>
      <vt:lpstr>'300 &amp; 317'!OSRRefE21_5x_1</vt:lpstr>
      <vt:lpstr>'301'!OSRRefE21_5x_1</vt:lpstr>
      <vt:lpstr>'307'!OSRRefE21_5x_1</vt:lpstr>
      <vt:lpstr>'308'!OSRRefE21_5x_1</vt:lpstr>
      <vt:lpstr>'309'!OSRRefE21_5x_1</vt:lpstr>
      <vt:lpstr>'310'!OSRRefE21_5x_1</vt:lpstr>
      <vt:lpstr>'310 &amp; 491'!OSRRefE21_5x_1</vt:lpstr>
      <vt:lpstr>'311'!OSRRefE21_5x_1</vt:lpstr>
      <vt:lpstr>'313'!OSRRefE21_5x_1</vt:lpstr>
      <vt:lpstr>'315'!OSRRefE21_5x_1</vt:lpstr>
      <vt:lpstr>'316'!OSRRefE21_5x_1</vt:lpstr>
      <vt:lpstr>'317'!OSRRefE21_5x_1</vt:lpstr>
      <vt:lpstr>'321'!OSRRefE21_5x_1</vt:lpstr>
      <vt:lpstr>'322'!OSRRefE21_5x_1</vt:lpstr>
      <vt:lpstr>'325'!OSRRefE21_5x_1</vt:lpstr>
      <vt:lpstr>'326'!OSRRefE21_5x_1</vt:lpstr>
      <vt:lpstr>'330'!OSRRefE21_5x_1</vt:lpstr>
      <vt:lpstr>'331'!OSRRefE21_5x_1</vt:lpstr>
      <vt:lpstr>'332'!OSRRefE21_5x_1</vt:lpstr>
      <vt:lpstr>'405'!OSRRefE21_5x_1</vt:lpstr>
      <vt:lpstr>'411'!OSRRefE21_5x_1</vt:lpstr>
      <vt:lpstr>'412'!OSRRefE21_5x_1</vt:lpstr>
      <vt:lpstr>'413'!OSRRefE21_5x_1</vt:lpstr>
      <vt:lpstr>'414'!OSRRefE21_5x_1</vt:lpstr>
      <vt:lpstr>'415'!OSRRefE21_5x_1</vt:lpstr>
      <vt:lpstr>'418'!OSRRefE21_5x_1</vt:lpstr>
      <vt:lpstr>'423'!OSRRefE21_5x_1</vt:lpstr>
      <vt:lpstr>'430'!OSRRefE21_5x_1</vt:lpstr>
      <vt:lpstr>'433'!OSRRefE21_5x_1</vt:lpstr>
      <vt:lpstr>'444'!OSRRefE21_5x_1</vt:lpstr>
      <vt:lpstr>'450'!OSRRefE21_5x_1</vt:lpstr>
      <vt:lpstr>'491'!OSRRefE21_5x_1</vt:lpstr>
      <vt:lpstr>'492'!OSRRefE21_5x_1</vt:lpstr>
      <vt:lpstr>'501'!OSRRefE21_5x_1</vt:lpstr>
      <vt:lpstr>'Div 2'!OSRRefE21_5x_1</vt:lpstr>
      <vt:lpstr>'Div 3'!OSRRefE21_5x_1</vt:lpstr>
      <vt:lpstr>'Div 4'!OSRRefE21_5x_1</vt:lpstr>
      <vt:lpstr>'Div 5'!OSRRefE21_5x_1</vt:lpstr>
      <vt:lpstr>'Div 6'!OSRRefE21_5x_1</vt:lpstr>
      <vt:lpstr>Summary!OSRRefE21_5x_1</vt:lpstr>
      <vt:lpstr>'201'!OSRRefE21_5x_2</vt:lpstr>
      <vt:lpstr>'202'!OSRRefE21_5x_2</vt:lpstr>
      <vt:lpstr>'203'!OSRRefE21_5x_2</vt:lpstr>
      <vt:lpstr>'204'!OSRRefE21_5x_2</vt:lpstr>
      <vt:lpstr>'205'!OSRRefE21_5x_2</vt:lpstr>
      <vt:lpstr>'206'!OSRRefE21_5x_2</vt:lpstr>
      <vt:lpstr>'300'!OSRRefE21_5x_2</vt:lpstr>
      <vt:lpstr>'300 &amp; 317'!OSRRefE21_5x_2</vt:lpstr>
      <vt:lpstr>'301'!OSRRefE21_5x_2</vt:lpstr>
      <vt:lpstr>'307'!OSRRefE21_5x_2</vt:lpstr>
      <vt:lpstr>'308'!OSRRefE21_5x_2</vt:lpstr>
      <vt:lpstr>'309'!OSRRefE21_5x_2</vt:lpstr>
      <vt:lpstr>'310'!OSRRefE21_5x_2</vt:lpstr>
      <vt:lpstr>'310 &amp; 491'!OSRRefE21_5x_2</vt:lpstr>
      <vt:lpstr>'311'!OSRRefE21_5x_2</vt:lpstr>
      <vt:lpstr>'313'!OSRRefE21_5x_2</vt:lpstr>
      <vt:lpstr>'315'!OSRRefE21_5x_2</vt:lpstr>
      <vt:lpstr>'316'!OSRRefE21_5x_2</vt:lpstr>
      <vt:lpstr>'317'!OSRRefE21_5x_2</vt:lpstr>
      <vt:lpstr>'321'!OSRRefE21_5x_2</vt:lpstr>
      <vt:lpstr>'322'!OSRRefE21_5x_2</vt:lpstr>
      <vt:lpstr>'325'!OSRRefE21_5x_2</vt:lpstr>
      <vt:lpstr>'326'!OSRRefE21_5x_2</vt:lpstr>
      <vt:lpstr>'330'!OSRRefE21_5x_2</vt:lpstr>
      <vt:lpstr>'331'!OSRRefE21_5x_2</vt:lpstr>
      <vt:lpstr>'332'!OSRRefE21_5x_2</vt:lpstr>
      <vt:lpstr>'405'!OSRRefE21_5x_2</vt:lpstr>
      <vt:lpstr>'411'!OSRRefE21_5x_2</vt:lpstr>
      <vt:lpstr>'412'!OSRRefE21_5x_2</vt:lpstr>
      <vt:lpstr>'413'!OSRRefE21_5x_2</vt:lpstr>
      <vt:lpstr>'414'!OSRRefE21_5x_2</vt:lpstr>
      <vt:lpstr>'415'!OSRRefE21_5x_2</vt:lpstr>
      <vt:lpstr>'418'!OSRRefE21_5x_2</vt:lpstr>
      <vt:lpstr>'423'!OSRRefE21_5x_2</vt:lpstr>
      <vt:lpstr>'430'!OSRRefE21_5x_2</vt:lpstr>
      <vt:lpstr>'433'!OSRRefE21_5x_2</vt:lpstr>
      <vt:lpstr>'444'!OSRRefE21_5x_2</vt:lpstr>
      <vt:lpstr>'450'!OSRRefE21_5x_2</vt:lpstr>
      <vt:lpstr>'491'!OSRRefE21_5x_2</vt:lpstr>
      <vt:lpstr>'492'!OSRRefE21_5x_2</vt:lpstr>
      <vt:lpstr>'501'!OSRRefE21_5x_2</vt:lpstr>
      <vt:lpstr>'Div 2'!OSRRefE21_5x_2</vt:lpstr>
      <vt:lpstr>'Div 3'!OSRRefE21_5x_2</vt:lpstr>
      <vt:lpstr>'Div 4'!OSRRefE21_5x_2</vt:lpstr>
      <vt:lpstr>'Div 5'!OSRRefE21_5x_2</vt:lpstr>
      <vt:lpstr>'Div 6'!OSRRefE21_5x_2</vt:lpstr>
      <vt:lpstr>Summary!OSRRefE21_5x_2</vt:lpstr>
      <vt:lpstr>'201'!OSRRefE21_5x_3</vt:lpstr>
      <vt:lpstr>'202'!OSRRefE21_5x_3</vt:lpstr>
      <vt:lpstr>'203'!OSRRefE21_5x_3</vt:lpstr>
      <vt:lpstr>'204'!OSRRefE21_5x_3</vt:lpstr>
      <vt:lpstr>'205'!OSRRefE21_5x_3</vt:lpstr>
      <vt:lpstr>'206'!OSRRefE21_5x_3</vt:lpstr>
      <vt:lpstr>'300'!OSRRefE21_5x_3</vt:lpstr>
      <vt:lpstr>'300 &amp; 317'!OSRRefE21_5x_3</vt:lpstr>
      <vt:lpstr>'301'!OSRRefE21_5x_3</vt:lpstr>
      <vt:lpstr>'307'!OSRRefE21_5x_3</vt:lpstr>
      <vt:lpstr>'308'!OSRRefE21_5x_3</vt:lpstr>
      <vt:lpstr>'309'!OSRRefE21_5x_3</vt:lpstr>
      <vt:lpstr>'310'!OSRRefE21_5x_3</vt:lpstr>
      <vt:lpstr>'310 &amp; 491'!OSRRefE21_5x_3</vt:lpstr>
      <vt:lpstr>'311'!OSRRefE21_5x_3</vt:lpstr>
      <vt:lpstr>'313'!OSRRefE21_5x_3</vt:lpstr>
      <vt:lpstr>'315'!OSRRefE21_5x_3</vt:lpstr>
      <vt:lpstr>'316'!OSRRefE21_5x_3</vt:lpstr>
      <vt:lpstr>'317'!OSRRefE21_5x_3</vt:lpstr>
      <vt:lpstr>'321'!OSRRefE21_5x_3</vt:lpstr>
      <vt:lpstr>'322'!OSRRefE21_5x_3</vt:lpstr>
      <vt:lpstr>'325'!OSRRefE21_5x_3</vt:lpstr>
      <vt:lpstr>'326'!OSRRefE21_5x_3</vt:lpstr>
      <vt:lpstr>'330'!OSRRefE21_5x_3</vt:lpstr>
      <vt:lpstr>'331'!OSRRefE21_5x_3</vt:lpstr>
      <vt:lpstr>'332'!OSRRefE21_5x_3</vt:lpstr>
      <vt:lpstr>'405'!OSRRefE21_5x_3</vt:lpstr>
      <vt:lpstr>'411'!OSRRefE21_5x_3</vt:lpstr>
      <vt:lpstr>'412'!OSRRefE21_5x_3</vt:lpstr>
      <vt:lpstr>'413'!OSRRefE21_5x_3</vt:lpstr>
      <vt:lpstr>'414'!OSRRefE21_5x_3</vt:lpstr>
      <vt:lpstr>'415'!OSRRefE21_5x_3</vt:lpstr>
      <vt:lpstr>'418'!OSRRefE21_5x_3</vt:lpstr>
      <vt:lpstr>'423'!OSRRefE21_5x_3</vt:lpstr>
      <vt:lpstr>'430'!OSRRefE21_5x_3</vt:lpstr>
      <vt:lpstr>'433'!OSRRefE21_5x_3</vt:lpstr>
      <vt:lpstr>'444'!OSRRefE21_5x_3</vt:lpstr>
      <vt:lpstr>'450'!OSRRefE21_5x_3</vt:lpstr>
      <vt:lpstr>'491'!OSRRefE21_5x_3</vt:lpstr>
      <vt:lpstr>'492'!OSRRefE21_5x_3</vt:lpstr>
      <vt:lpstr>'501'!OSRRefE21_5x_3</vt:lpstr>
      <vt:lpstr>'Div 2'!OSRRefE21_5x_3</vt:lpstr>
      <vt:lpstr>'Div 3'!OSRRefE21_5x_3</vt:lpstr>
      <vt:lpstr>'Div 4'!OSRRefE21_5x_3</vt:lpstr>
      <vt:lpstr>'Div 5'!OSRRefE21_5x_3</vt:lpstr>
      <vt:lpstr>'Div 6'!OSRRefE21_5x_3</vt:lpstr>
      <vt:lpstr>Summary!OSRRefE21_5x_3</vt:lpstr>
      <vt:lpstr>'201'!OSRRefE21_5x_4</vt:lpstr>
      <vt:lpstr>'202'!OSRRefE21_5x_4</vt:lpstr>
      <vt:lpstr>'203'!OSRRefE21_5x_4</vt:lpstr>
      <vt:lpstr>'204'!OSRRefE21_5x_4</vt:lpstr>
      <vt:lpstr>'205'!OSRRefE21_5x_4</vt:lpstr>
      <vt:lpstr>'206'!OSRRefE21_5x_4</vt:lpstr>
      <vt:lpstr>'300'!OSRRefE21_5x_4</vt:lpstr>
      <vt:lpstr>'300 &amp; 317'!OSRRefE21_5x_4</vt:lpstr>
      <vt:lpstr>'301'!OSRRefE21_5x_4</vt:lpstr>
      <vt:lpstr>'307'!OSRRefE21_5x_4</vt:lpstr>
      <vt:lpstr>'308'!OSRRefE21_5x_4</vt:lpstr>
      <vt:lpstr>'309'!OSRRefE21_5x_4</vt:lpstr>
      <vt:lpstr>'310'!OSRRefE21_5x_4</vt:lpstr>
      <vt:lpstr>'310 &amp; 491'!OSRRefE21_5x_4</vt:lpstr>
      <vt:lpstr>'311'!OSRRefE21_5x_4</vt:lpstr>
      <vt:lpstr>'313'!OSRRefE21_5x_4</vt:lpstr>
      <vt:lpstr>'315'!OSRRefE21_5x_4</vt:lpstr>
      <vt:lpstr>'316'!OSRRefE21_5x_4</vt:lpstr>
      <vt:lpstr>'317'!OSRRefE21_5x_4</vt:lpstr>
      <vt:lpstr>'321'!OSRRefE21_5x_4</vt:lpstr>
      <vt:lpstr>'322'!OSRRefE21_5x_4</vt:lpstr>
      <vt:lpstr>'325'!OSRRefE21_5x_4</vt:lpstr>
      <vt:lpstr>'326'!OSRRefE21_5x_4</vt:lpstr>
      <vt:lpstr>'330'!OSRRefE21_5x_4</vt:lpstr>
      <vt:lpstr>'331'!OSRRefE21_5x_4</vt:lpstr>
      <vt:lpstr>'332'!OSRRefE21_5x_4</vt:lpstr>
      <vt:lpstr>'405'!OSRRefE21_5x_4</vt:lpstr>
      <vt:lpstr>'411'!OSRRefE21_5x_4</vt:lpstr>
      <vt:lpstr>'412'!OSRRefE21_5x_4</vt:lpstr>
      <vt:lpstr>'413'!OSRRefE21_5x_4</vt:lpstr>
      <vt:lpstr>'414'!OSRRefE21_5x_4</vt:lpstr>
      <vt:lpstr>'415'!OSRRefE21_5x_4</vt:lpstr>
      <vt:lpstr>'418'!OSRRefE21_5x_4</vt:lpstr>
      <vt:lpstr>'423'!OSRRefE21_5x_4</vt:lpstr>
      <vt:lpstr>'430'!OSRRefE21_5x_4</vt:lpstr>
      <vt:lpstr>'433'!OSRRefE21_5x_4</vt:lpstr>
      <vt:lpstr>'444'!OSRRefE21_5x_4</vt:lpstr>
      <vt:lpstr>'450'!OSRRefE21_5x_4</vt:lpstr>
      <vt:lpstr>'491'!OSRRefE21_5x_4</vt:lpstr>
      <vt:lpstr>'492'!OSRRefE21_5x_4</vt:lpstr>
      <vt:lpstr>'501'!OSRRefE21_5x_4</vt:lpstr>
      <vt:lpstr>'Div 2'!OSRRefE21_5x_4</vt:lpstr>
      <vt:lpstr>'Div 3'!OSRRefE21_5x_4</vt:lpstr>
      <vt:lpstr>'Div 4'!OSRRefE21_5x_4</vt:lpstr>
      <vt:lpstr>'Div 5'!OSRRefE21_5x_4</vt:lpstr>
      <vt:lpstr>'Div 6'!OSRRefE21_5x_4</vt:lpstr>
      <vt:lpstr>Summary!OSRRefE21_5x_4</vt:lpstr>
      <vt:lpstr>'201'!OSRRefE21_5x_5</vt:lpstr>
      <vt:lpstr>'202'!OSRRefE21_5x_5</vt:lpstr>
      <vt:lpstr>'203'!OSRRefE21_5x_5</vt:lpstr>
      <vt:lpstr>'204'!OSRRefE21_5x_5</vt:lpstr>
      <vt:lpstr>'205'!OSRRefE21_5x_5</vt:lpstr>
      <vt:lpstr>'206'!OSRRefE21_5x_5</vt:lpstr>
      <vt:lpstr>'300'!OSRRefE21_5x_5</vt:lpstr>
      <vt:lpstr>'300 &amp; 317'!OSRRefE21_5x_5</vt:lpstr>
      <vt:lpstr>'301'!OSRRefE21_5x_5</vt:lpstr>
      <vt:lpstr>'307'!OSRRefE21_5x_5</vt:lpstr>
      <vt:lpstr>'308'!OSRRefE21_5x_5</vt:lpstr>
      <vt:lpstr>'309'!OSRRefE21_5x_5</vt:lpstr>
      <vt:lpstr>'310'!OSRRefE21_5x_5</vt:lpstr>
      <vt:lpstr>'310 &amp; 491'!OSRRefE21_5x_5</vt:lpstr>
      <vt:lpstr>'311'!OSRRefE21_5x_5</vt:lpstr>
      <vt:lpstr>'313'!OSRRefE21_5x_5</vt:lpstr>
      <vt:lpstr>'315'!OSRRefE21_5x_5</vt:lpstr>
      <vt:lpstr>'316'!OSRRefE21_5x_5</vt:lpstr>
      <vt:lpstr>'317'!OSRRefE21_5x_5</vt:lpstr>
      <vt:lpstr>'321'!OSRRefE21_5x_5</vt:lpstr>
      <vt:lpstr>'322'!OSRRefE21_5x_5</vt:lpstr>
      <vt:lpstr>'325'!OSRRefE21_5x_5</vt:lpstr>
      <vt:lpstr>'326'!OSRRefE21_5x_5</vt:lpstr>
      <vt:lpstr>'330'!OSRRefE21_5x_5</vt:lpstr>
      <vt:lpstr>'331'!OSRRefE21_5x_5</vt:lpstr>
      <vt:lpstr>'332'!OSRRefE21_5x_5</vt:lpstr>
      <vt:lpstr>'405'!OSRRefE21_5x_5</vt:lpstr>
      <vt:lpstr>'411'!OSRRefE21_5x_5</vt:lpstr>
      <vt:lpstr>'412'!OSRRefE21_5x_5</vt:lpstr>
      <vt:lpstr>'413'!OSRRefE21_5x_5</vt:lpstr>
      <vt:lpstr>'414'!OSRRefE21_5x_5</vt:lpstr>
      <vt:lpstr>'415'!OSRRefE21_5x_5</vt:lpstr>
      <vt:lpstr>'418'!OSRRefE21_5x_5</vt:lpstr>
      <vt:lpstr>'423'!OSRRefE21_5x_5</vt:lpstr>
      <vt:lpstr>'430'!OSRRefE21_5x_5</vt:lpstr>
      <vt:lpstr>'433'!OSRRefE21_5x_5</vt:lpstr>
      <vt:lpstr>'444'!OSRRefE21_5x_5</vt:lpstr>
      <vt:lpstr>'450'!OSRRefE21_5x_5</vt:lpstr>
      <vt:lpstr>'491'!OSRRefE21_5x_5</vt:lpstr>
      <vt:lpstr>'492'!OSRRefE21_5x_5</vt:lpstr>
      <vt:lpstr>'501'!OSRRefE21_5x_5</vt:lpstr>
      <vt:lpstr>'Div 2'!OSRRefE21_5x_5</vt:lpstr>
      <vt:lpstr>'Div 3'!OSRRefE21_5x_5</vt:lpstr>
      <vt:lpstr>'Div 4'!OSRRefE21_5x_5</vt:lpstr>
      <vt:lpstr>'Div 5'!OSRRefE21_5x_5</vt:lpstr>
      <vt:lpstr>'Div 6'!OSRRefE21_5x_5</vt:lpstr>
      <vt:lpstr>Summary!OSRRefE21_5x_5</vt:lpstr>
      <vt:lpstr>'201'!OSRRefE21_5x_6</vt:lpstr>
      <vt:lpstr>'202'!OSRRefE21_5x_6</vt:lpstr>
      <vt:lpstr>'203'!OSRRefE21_5x_6</vt:lpstr>
      <vt:lpstr>'204'!OSRRefE21_5x_6</vt:lpstr>
      <vt:lpstr>'205'!OSRRefE21_5x_6</vt:lpstr>
      <vt:lpstr>'206'!OSRRefE21_5x_6</vt:lpstr>
      <vt:lpstr>'300'!OSRRefE21_5x_6</vt:lpstr>
      <vt:lpstr>'300 &amp; 317'!OSRRefE21_5x_6</vt:lpstr>
      <vt:lpstr>'301'!OSRRefE21_5x_6</vt:lpstr>
      <vt:lpstr>'307'!OSRRefE21_5x_6</vt:lpstr>
      <vt:lpstr>'308'!OSRRefE21_5x_6</vt:lpstr>
      <vt:lpstr>'309'!OSRRefE21_5x_6</vt:lpstr>
      <vt:lpstr>'310'!OSRRefE21_5x_6</vt:lpstr>
      <vt:lpstr>'310 &amp; 491'!OSRRefE21_5x_6</vt:lpstr>
      <vt:lpstr>'311'!OSRRefE21_5x_6</vt:lpstr>
      <vt:lpstr>'313'!OSRRefE21_5x_6</vt:lpstr>
      <vt:lpstr>'315'!OSRRefE21_5x_6</vt:lpstr>
      <vt:lpstr>'316'!OSRRefE21_5x_6</vt:lpstr>
      <vt:lpstr>'317'!OSRRefE21_5x_6</vt:lpstr>
      <vt:lpstr>'321'!OSRRefE21_5x_6</vt:lpstr>
      <vt:lpstr>'322'!OSRRefE21_5x_6</vt:lpstr>
      <vt:lpstr>'325'!OSRRefE21_5x_6</vt:lpstr>
      <vt:lpstr>'326'!OSRRefE21_5x_6</vt:lpstr>
      <vt:lpstr>'330'!OSRRefE21_5x_6</vt:lpstr>
      <vt:lpstr>'331'!OSRRefE21_5x_6</vt:lpstr>
      <vt:lpstr>'332'!OSRRefE21_5x_6</vt:lpstr>
      <vt:lpstr>'405'!OSRRefE21_5x_6</vt:lpstr>
      <vt:lpstr>'411'!OSRRefE21_5x_6</vt:lpstr>
      <vt:lpstr>'412'!OSRRefE21_5x_6</vt:lpstr>
      <vt:lpstr>'413'!OSRRefE21_5x_6</vt:lpstr>
      <vt:lpstr>'414'!OSRRefE21_5x_6</vt:lpstr>
      <vt:lpstr>'415'!OSRRefE21_5x_6</vt:lpstr>
      <vt:lpstr>'418'!OSRRefE21_5x_6</vt:lpstr>
      <vt:lpstr>'423'!OSRRefE21_5x_6</vt:lpstr>
      <vt:lpstr>'430'!OSRRefE21_5x_6</vt:lpstr>
      <vt:lpstr>'433'!OSRRefE21_5x_6</vt:lpstr>
      <vt:lpstr>'444'!OSRRefE21_5x_6</vt:lpstr>
      <vt:lpstr>'450'!OSRRefE21_5x_6</vt:lpstr>
      <vt:lpstr>'491'!OSRRefE21_5x_6</vt:lpstr>
      <vt:lpstr>'492'!OSRRefE21_5x_6</vt:lpstr>
      <vt:lpstr>'501'!OSRRefE21_5x_6</vt:lpstr>
      <vt:lpstr>'Div 2'!OSRRefE21_5x_6</vt:lpstr>
      <vt:lpstr>'Div 3'!OSRRefE21_5x_6</vt:lpstr>
      <vt:lpstr>'Div 4'!OSRRefE21_5x_6</vt:lpstr>
      <vt:lpstr>'Div 5'!OSRRefE21_5x_6</vt:lpstr>
      <vt:lpstr>'Div 6'!OSRRefE21_5x_6</vt:lpstr>
      <vt:lpstr>Summary!OSRRefE21_5x_6</vt:lpstr>
      <vt:lpstr>'201'!OSRRefE21_5x_7</vt:lpstr>
      <vt:lpstr>'202'!OSRRefE21_5x_7</vt:lpstr>
      <vt:lpstr>'203'!OSRRefE21_5x_7</vt:lpstr>
      <vt:lpstr>'204'!OSRRefE21_5x_7</vt:lpstr>
      <vt:lpstr>'205'!OSRRefE21_5x_7</vt:lpstr>
      <vt:lpstr>'206'!OSRRefE21_5x_7</vt:lpstr>
      <vt:lpstr>'300'!OSRRefE21_5x_7</vt:lpstr>
      <vt:lpstr>'300 &amp; 317'!OSRRefE21_5x_7</vt:lpstr>
      <vt:lpstr>'301'!OSRRefE21_5x_7</vt:lpstr>
      <vt:lpstr>'307'!OSRRefE21_5x_7</vt:lpstr>
      <vt:lpstr>'308'!OSRRefE21_5x_7</vt:lpstr>
      <vt:lpstr>'309'!OSRRefE21_5x_7</vt:lpstr>
      <vt:lpstr>'310'!OSRRefE21_5x_7</vt:lpstr>
      <vt:lpstr>'310 &amp; 491'!OSRRefE21_5x_7</vt:lpstr>
      <vt:lpstr>'311'!OSRRefE21_5x_7</vt:lpstr>
      <vt:lpstr>'313'!OSRRefE21_5x_7</vt:lpstr>
      <vt:lpstr>'315'!OSRRefE21_5x_7</vt:lpstr>
      <vt:lpstr>'316'!OSRRefE21_5x_7</vt:lpstr>
      <vt:lpstr>'317'!OSRRefE21_5x_7</vt:lpstr>
      <vt:lpstr>'321'!OSRRefE21_5x_7</vt:lpstr>
      <vt:lpstr>'322'!OSRRefE21_5x_7</vt:lpstr>
      <vt:lpstr>'325'!OSRRefE21_5x_7</vt:lpstr>
      <vt:lpstr>'326'!OSRRefE21_5x_7</vt:lpstr>
      <vt:lpstr>'330'!OSRRefE21_5x_7</vt:lpstr>
      <vt:lpstr>'331'!OSRRefE21_5x_7</vt:lpstr>
      <vt:lpstr>'332'!OSRRefE21_5x_7</vt:lpstr>
      <vt:lpstr>'405'!OSRRefE21_5x_7</vt:lpstr>
      <vt:lpstr>'411'!OSRRefE21_5x_7</vt:lpstr>
      <vt:lpstr>'412'!OSRRefE21_5x_7</vt:lpstr>
      <vt:lpstr>'413'!OSRRefE21_5x_7</vt:lpstr>
      <vt:lpstr>'414'!OSRRefE21_5x_7</vt:lpstr>
      <vt:lpstr>'415'!OSRRefE21_5x_7</vt:lpstr>
      <vt:lpstr>'418'!OSRRefE21_5x_7</vt:lpstr>
      <vt:lpstr>'423'!OSRRefE21_5x_7</vt:lpstr>
      <vt:lpstr>'430'!OSRRefE21_5x_7</vt:lpstr>
      <vt:lpstr>'433'!OSRRefE21_5x_7</vt:lpstr>
      <vt:lpstr>'444'!OSRRefE21_5x_7</vt:lpstr>
      <vt:lpstr>'450'!OSRRefE21_5x_7</vt:lpstr>
      <vt:lpstr>'491'!OSRRefE21_5x_7</vt:lpstr>
      <vt:lpstr>'492'!OSRRefE21_5x_7</vt:lpstr>
      <vt:lpstr>'501'!OSRRefE21_5x_7</vt:lpstr>
      <vt:lpstr>'Div 2'!OSRRefE21_5x_7</vt:lpstr>
      <vt:lpstr>'Div 3'!OSRRefE21_5x_7</vt:lpstr>
      <vt:lpstr>'Div 4'!OSRRefE21_5x_7</vt:lpstr>
      <vt:lpstr>'Div 5'!OSRRefE21_5x_7</vt:lpstr>
      <vt:lpstr>'Div 6'!OSRRefE21_5x_7</vt:lpstr>
      <vt:lpstr>Summary!OSRRefE21_5x_7</vt:lpstr>
      <vt:lpstr>'201'!OSRRefE21_6_0x</vt:lpstr>
      <vt:lpstr>'202'!OSRRefE21_6_0x</vt:lpstr>
      <vt:lpstr>'203'!OSRRefE21_6_0x</vt:lpstr>
      <vt:lpstr>'204'!OSRRefE21_6_0x</vt:lpstr>
      <vt:lpstr>'205'!OSRRefE21_6_0x</vt:lpstr>
      <vt:lpstr>'206'!OSRRefE21_6_0x</vt:lpstr>
      <vt:lpstr>'300'!OSRRefE21_6_0x</vt:lpstr>
      <vt:lpstr>'300 &amp; 317'!OSRRefE21_6_0x</vt:lpstr>
      <vt:lpstr>'301'!OSRRefE21_6_0x</vt:lpstr>
      <vt:lpstr>'307'!OSRRefE21_6_0x</vt:lpstr>
      <vt:lpstr>'308'!OSRRefE21_6_0x</vt:lpstr>
      <vt:lpstr>'309'!OSRRefE21_6_0x</vt:lpstr>
      <vt:lpstr>'310'!OSRRefE21_6_0x</vt:lpstr>
      <vt:lpstr>'310 &amp; 491'!OSRRefE21_6_0x</vt:lpstr>
      <vt:lpstr>'311'!OSRRefE21_6_0x</vt:lpstr>
      <vt:lpstr>'313'!OSRRefE21_6_0x</vt:lpstr>
      <vt:lpstr>'315'!OSRRefE21_6_0x</vt:lpstr>
      <vt:lpstr>'316'!OSRRefE21_6_0x</vt:lpstr>
      <vt:lpstr>'317'!OSRRefE21_6_0x</vt:lpstr>
      <vt:lpstr>'321'!OSRRefE21_6_0x</vt:lpstr>
      <vt:lpstr>'322'!OSRRefE21_6_0x</vt:lpstr>
      <vt:lpstr>'325'!OSRRefE21_6_0x</vt:lpstr>
      <vt:lpstr>'326'!OSRRefE21_6_0x</vt:lpstr>
      <vt:lpstr>'330'!OSRRefE21_6_0x</vt:lpstr>
      <vt:lpstr>'331'!OSRRefE21_6_0x</vt:lpstr>
      <vt:lpstr>'332'!OSRRefE21_6_0x</vt:lpstr>
      <vt:lpstr>'405'!OSRRefE21_6_0x</vt:lpstr>
      <vt:lpstr>'411'!OSRRefE21_6_0x</vt:lpstr>
      <vt:lpstr>'412'!OSRRefE21_6_0x</vt:lpstr>
      <vt:lpstr>'413'!OSRRefE21_6_0x</vt:lpstr>
      <vt:lpstr>'414'!OSRRefE21_6_0x</vt:lpstr>
      <vt:lpstr>'415'!OSRRefE21_6_0x</vt:lpstr>
      <vt:lpstr>'418'!OSRRefE21_6_0x</vt:lpstr>
      <vt:lpstr>'423'!OSRRefE21_6_0x</vt:lpstr>
      <vt:lpstr>'430'!OSRRefE21_6_0x</vt:lpstr>
      <vt:lpstr>'433'!OSRRefE21_6_0x</vt:lpstr>
      <vt:lpstr>'444'!OSRRefE21_6_0x</vt:lpstr>
      <vt:lpstr>'450'!OSRRefE21_6_0x</vt:lpstr>
      <vt:lpstr>'491'!OSRRefE21_6_0x</vt:lpstr>
      <vt:lpstr>'492'!OSRRefE21_6_0x</vt:lpstr>
      <vt:lpstr>'501'!OSRRefE21_6_0x</vt:lpstr>
      <vt:lpstr>'Div 2'!OSRRefE21_6_0x</vt:lpstr>
      <vt:lpstr>'Div 3'!OSRRefE21_6_0x</vt:lpstr>
      <vt:lpstr>'Div 4'!OSRRefE21_6_0x</vt:lpstr>
      <vt:lpstr>'Div 5'!OSRRefE21_6_0x</vt:lpstr>
      <vt:lpstr>'Div 6'!OSRRefE21_6_0x</vt:lpstr>
      <vt:lpstr>Summary!OSRRefE21_6_0x</vt:lpstr>
      <vt:lpstr>'300'!OSRRefE21_6_1x</vt:lpstr>
      <vt:lpstr>'300 &amp; 317'!OSRRefE21_6_1x</vt:lpstr>
      <vt:lpstr>'307'!OSRRefE21_6_1x</vt:lpstr>
      <vt:lpstr>'309'!OSRRefE21_6_1x</vt:lpstr>
      <vt:lpstr>'316'!OSRRefE21_6_1x</vt:lpstr>
      <vt:lpstr>'317'!OSRRefE21_6_1x</vt:lpstr>
      <vt:lpstr>'321'!OSRRefE21_6_1x</vt:lpstr>
      <vt:lpstr>'322'!OSRRefE21_6_1x</vt:lpstr>
      <vt:lpstr>'330'!OSRRefE21_6_1x</vt:lpstr>
      <vt:lpstr>'332'!OSRRefE21_6_1x</vt:lpstr>
      <vt:lpstr>'Div 2'!OSRRefE21_6_1x</vt:lpstr>
      <vt:lpstr>'Div 3'!OSRRefE21_6_1x</vt:lpstr>
      <vt:lpstr>'Div 6'!OSRRefE21_6_1x</vt:lpstr>
      <vt:lpstr>Summary!OSRRefE21_6_1x</vt:lpstr>
      <vt:lpstr>'201'!OSRRefE21_6x_0</vt:lpstr>
      <vt:lpstr>'202'!OSRRefE21_6x_0</vt:lpstr>
      <vt:lpstr>'203'!OSRRefE21_6x_0</vt:lpstr>
      <vt:lpstr>'204'!OSRRefE21_6x_0</vt:lpstr>
      <vt:lpstr>'205'!OSRRefE21_6x_0</vt:lpstr>
      <vt:lpstr>'206'!OSRRefE21_6x_0</vt:lpstr>
      <vt:lpstr>'300'!OSRRefE21_6x_0</vt:lpstr>
      <vt:lpstr>'300 &amp; 317'!OSRRefE21_6x_0</vt:lpstr>
      <vt:lpstr>'301'!OSRRefE21_6x_0</vt:lpstr>
      <vt:lpstr>'307'!OSRRefE21_6x_0</vt:lpstr>
      <vt:lpstr>'308'!OSRRefE21_6x_0</vt:lpstr>
      <vt:lpstr>'309'!OSRRefE21_6x_0</vt:lpstr>
      <vt:lpstr>'310'!OSRRefE21_6x_0</vt:lpstr>
      <vt:lpstr>'310 &amp; 491'!OSRRefE21_6x_0</vt:lpstr>
      <vt:lpstr>'311'!OSRRefE21_6x_0</vt:lpstr>
      <vt:lpstr>'313'!OSRRefE21_6x_0</vt:lpstr>
      <vt:lpstr>'315'!OSRRefE21_6x_0</vt:lpstr>
      <vt:lpstr>'316'!OSRRefE21_6x_0</vt:lpstr>
      <vt:lpstr>'317'!OSRRefE21_6x_0</vt:lpstr>
      <vt:lpstr>'321'!OSRRefE21_6x_0</vt:lpstr>
      <vt:lpstr>'322'!OSRRefE21_6x_0</vt:lpstr>
      <vt:lpstr>'325'!OSRRefE21_6x_0</vt:lpstr>
      <vt:lpstr>'326'!OSRRefE21_6x_0</vt:lpstr>
      <vt:lpstr>'330'!OSRRefE21_6x_0</vt:lpstr>
      <vt:lpstr>'331'!OSRRefE21_6x_0</vt:lpstr>
      <vt:lpstr>'332'!OSRRefE21_6x_0</vt:lpstr>
      <vt:lpstr>'405'!OSRRefE21_6x_0</vt:lpstr>
      <vt:lpstr>'411'!OSRRefE21_6x_0</vt:lpstr>
      <vt:lpstr>'412'!OSRRefE21_6x_0</vt:lpstr>
      <vt:lpstr>'413'!OSRRefE21_6x_0</vt:lpstr>
      <vt:lpstr>'414'!OSRRefE21_6x_0</vt:lpstr>
      <vt:lpstr>'415'!OSRRefE21_6x_0</vt:lpstr>
      <vt:lpstr>'418'!OSRRefE21_6x_0</vt:lpstr>
      <vt:lpstr>'423'!OSRRefE21_6x_0</vt:lpstr>
      <vt:lpstr>'430'!OSRRefE21_6x_0</vt:lpstr>
      <vt:lpstr>'433'!OSRRefE21_6x_0</vt:lpstr>
      <vt:lpstr>'444'!OSRRefE21_6x_0</vt:lpstr>
      <vt:lpstr>'450'!OSRRefE21_6x_0</vt:lpstr>
      <vt:lpstr>'491'!OSRRefE21_6x_0</vt:lpstr>
      <vt:lpstr>'492'!OSRRefE21_6x_0</vt:lpstr>
      <vt:lpstr>'501'!OSRRefE21_6x_0</vt:lpstr>
      <vt:lpstr>'Div 2'!OSRRefE21_6x_0</vt:lpstr>
      <vt:lpstr>'Div 3'!OSRRefE21_6x_0</vt:lpstr>
      <vt:lpstr>'Div 4'!OSRRefE21_6x_0</vt:lpstr>
      <vt:lpstr>'Div 5'!OSRRefE21_6x_0</vt:lpstr>
      <vt:lpstr>'Div 6'!OSRRefE21_6x_0</vt:lpstr>
      <vt:lpstr>Summary!OSRRefE21_6x_0</vt:lpstr>
      <vt:lpstr>'201'!OSRRefE21_6x_1</vt:lpstr>
      <vt:lpstr>'202'!OSRRefE21_6x_1</vt:lpstr>
      <vt:lpstr>'203'!OSRRefE21_6x_1</vt:lpstr>
      <vt:lpstr>'204'!OSRRefE21_6x_1</vt:lpstr>
      <vt:lpstr>'205'!OSRRefE21_6x_1</vt:lpstr>
      <vt:lpstr>'206'!OSRRefE21_6x_1</vt:lpstr>
      <vt:lpstr>'300'!OSRRefE21_6x_1</vt:lpstr>
      <vt:lpstr>'300 &amp; 317'!OSRRefE21_6x_1</vt:lpstr>
      <vt:lpstr>'301'!OSRRefE21_6x_1</vt:lpstr>
      <vt:lpstr>'307'!OSRRefE21_6x_1</vt:lpstr>
      <vt:lpstr>'308'!OSRRefE21_6x_1</vt:lpstr>
      <vt:lpstr>'309'!OSRRefE21_6x_1</vt:lpstr>
      <vt:lpstr>'310'!OSRRefE21_6x_1</vt:lpstr>
      <vt:lpstr>'310 &amp; 491'!OSRRefE21_6x_1</vt:lpstr>
      <vt:lpstr>'311'!OSRRefE21_6x_1</vt:lpstr>
      <vt:lpstr>'313'!OSRRefE21_6x_1</vt:lpstr>
      <vt:lpstr>'315'!OSRRefE21_6x_1</vt:lpstr>
      <vt:lpstr>'316'!OSRRefE21_6x_1</vt:lpstr>
      <vt:lpstr>'317'!OSRRefE21_6x_1</vt:lpstr>
      <vt:lpstr>'321'!OSRRefE21_6x_1</vt:lpstr>
      <vt:lpstr>'322'!OSRRefE21_6x_1</vt:lpstr>
      <vt:lpstr>'325'!OSRRefE21_6x_1</vt:lpstr>
      <vt:lpstr>'326'!OSRRefE21_6x_1</vt:lpstr>
      <vt:lpstr>'330'!OSRRefE21_6x_1</vt:lpstr>
      <vt:lpstr>'331'!OSRRefE21_6x_1</vt:lpstr>
      <vt:lpstr>'332'!OSRRefE21_6x_1</vt:lpstr>
      <vt:lpstr>'405'!OSRRefE21_6x_1</vt:lpstr>
      <vt:lpstr>'411'!OSRRefE21_6x_1</vt:lpstr>
      <vt:lpstr>'412'!OSRRefE21_6x_1</vt:lpstr>
      <vt:lpstr>'413'!OSRRefE21_6x_1</vt:lpstr>
      <vt:lpstr>'414'!OSRRefE21_6x_1</vt:lpstr>
      <vt:lpstr>'415'!OSRRefE21_6x_1</vt:lpstr>
      <vt:lpstr>'418'!OSRRefE21_6x_1</vt:lpstr>
      <vt:lpstr>'423'!OSRRefE21_6x_1</vt:lpstr>
      <vt:lpstr>'430'!OSRRefE21_6x_1</vt:lpstr>
      <vt:lpstr>'433'!OSRRefE21_6x_1</vt:lpstr>
      <vt:lpstr>'444'!OSRRefE21_6x_1</vt:lpstr>
      <vt:lpstr>'450'!OSRRefE21_6x_1</vt:lpstr>
      <vt:lpstr>'491'!OSRRefE21_6x_1</vt:lpstr>
      <vt:lpstr>'492'!OSRRefE21_6x_1</vt:lpstr>
      <vt:lpstr>'501'!OSRRefE21_6x_1</vt:lpstr>
      <vt:lpstr>'Div 2'!OSRRefE21_6x_1</vt:lpstr>
      <vt:lpstr>'Div 3'!OSRRefE21_6x_1</vt:lpstr>
      <vt:lpstr>'Div 4'!OSRRefE21_6x_1</vt:lpstr>
      <vt:lpstr>'Div 5'!OSRRefE21_6x_1</vt:lpstr>
      <vt:lpstr>'Div 6'!OSRRefE21_6x_1</vt:lpstr>
      <vt:lpstr>Summary!OSRRefE21_6x_1</vt:lpstr>
      <vt:lpstr>'201'!OSRRefE21_6x_2</vt:lpstr>
      <vt:lpstr>'202'!OSRRefE21_6x_2</vt:lpstr>
      <vt:lpstr>'203'!OSRRefE21_6x_2</vt:lpstr>
      <vt:lpstr>'204'!OSRRefE21_6x_2</vt:lpstr>
      <vt:lpstr>'205'!OSRRefE21_6x_2</vt:lpstr>
      <vt:lpstr>'206'!OSRRefE21_6x_2</vt:lpstr>
      <vt:lpstr>'300'!OSRRefE21_6x_2</vt:lpstr>
      <vt:lpstr>'300 &amp; 317'!OSRRefE21_6x_2</vt:lpstr>
      <vt:lpstr>'301'!OSRRefE21_6x_2</vt:lpstr>
      <vt:lpstr>'307'!OSRRefE21_6x_2</vt:lpstr>
      <vt:lpstr>'308'!OSRRefE21_6x_2</vt:lpstr>
      <vt:lpstr>'309'!OSRRefE21_6x_2</vt:lpstr>
      <vt:lpstr>'310'!OSRRefE21_6x_2</vt:lpstr>
      <vt:lpstr>'310 &amp; 491'!OSRRefE21_6x_2</vt:lpstr>
      <vt:lpstr>'311'!OSRRefE21_6x_2</vt:lpstr>
      <vt:lpstr>'313'!OSRRefE21_6x_2</vt:lpstr>
      <vt:lpstr>'315'!OSRRefE21_6x_2</vt:lpstr>
      <vt:lpstr>'316'!OSRRefE21_6x_2</vt:lpstr>
      <vt:lpstr>'317'!OSRRefE21_6x_2</vt:lpstr>
      <vt:lpstr>'321'!OSRRefE21_6x_2</vt:lpstr>
      <vt:lpstr>'322'!OSRRefE21_6x_2</vt:lpstr>
      <vt:lpstr>'325'!OSRRefE21_6x_2</vt:lpstr>
      <vt:lpstr>'326'!OSRRefE21_6x_2</vt:lpstr>
      <vt:lpstr>'330'!OSRRefE21_6x_2</vt:lpstr>
      <vt:lpstr>'331'!OSRRefE21_6x_2</vt:lpstr>
      <vt:lpstr>'332'!OSRRefE21_6x_2</vt:lpstr>
      <vt:lpstr>'405'!OSRRefE21_6x_2</vt:lpstr>
      <vt:lpstr>'411'!OSRRefE21_6x_2</vt:lpstr>
      <vt:lpstr>'412'!OSRRefE21_6x_2</vt:lpstr>
      <vt:lpstr>'413'!OSRRefE21_6x_2</vt:lpstr>
      <vt:lpstr>'414'!OSRRefE21_6x_2</vt:lpstr>
      <vt:lpstr>'415'!OSRRefE21_6x_2</vt:lpstr>
      <vt:lpstr>'418'!OSRRefE21_6x_2</vt:lpstr>
      <vt:lpstr>'423'!OSRRefE21_6x_2</vt:lpstr>
      <vt:lpstr>'430'!OSRRefE21_6x_2</vt:lpstr>
      <vt:lpstr>'433'!OSRRefE21_6x_2</vt:lpstr>
      <vt:lpstr>'444'!OSRRefE21_6x_2</vt:lpstr>
      <vt:lpstr>'450'!OSRRefE21_6x_2</vt:lpstr>
      <vt:lpstr>'491'!OSRRefE21_6x_2</vt:lpstr>
      <vt:lpstr>'492'!OSRRefE21_6x_2</vt:lpstr>
      <vt:lpstr>'501'!OSRRefE21_6x_2</vt:lpstr>
      <vt:lpstr>'Div 2'!OSRRefE21_6x_2</vt:lpstr>
      <vt:lpstr>'Div 3'!OSRRefE21_6x_2</vt:lpstr>
      <vt:lpstr>'Div 4'!OSRRefE21_6x_2</vt:lpstr>
      <vt:lpstr>'Div 5'!OSRRefE21_6x_2</vt:lpstr>
      <vt:lpstr>'Div 6'!OSRRefE21_6x_2</vt:lpstr>
      <vt:lpstr>Summary!OSRRefE21_6x_2</vt:lpstr>
      <vt:lpstr>'201'!OSRRefE21_6x_3</vt:lpstr>
      <vt:lpstr>'202'!OSRRefE21_6x_3</vt:lpstr>
      <vt:lpstr>'203'!OSRRefE21_6x_3</vt:lpstr>
      <vt:lpstr>'204'!OSRRefE21_6x_3</vt:lpstr>
      <vt:lpstr>'205'!OSRRefE21_6x_3</vt:lpstr>
      <vt:lpstr>'206'!OSRRefE21_6x_3</vt:lpstr>
      <vt:lpstr>'300'!OSRRefE21_6x_3</vt:lpstr>
      <vt:lpstr>'300 &amp; 317'!OSRRefE21_6x_3</vt:lpstr>
      <vt:lpstr>'301'!OSRRefE21_6x_3</vt:lpstr>
      <vt:lpstr>'307'!OSRRefE21_6x_3</vt:lpstr>
      <vt:lpstr>'308'!OSRRefE21_6x_3</vt:lpstr>
      <vt:lpstr>'309'!OSRRefE21_6x_3</vt:lpstr>
      <vt:lpstr>'310'!OSRRefE21_6x_3</vt:lpstr>
      <vt:lpstr>'310 &amp; 491'!OSRRefE21_6x_3</vt:lpstr>
      <vt:lpstr>'311'!OSRRefE21_6x_3</vt:lpstr>
      <vt:lpstr>'313'!OSRRefE21_6x_3</vt:lpstr>
      <vt:lpstr>'315'!OSRRefE21_6x_3</vt:lpstr>
      <vt:lpstr>'316'!OSRRefE21_6x_3</vt:lpstr>
      <vt:lpstr>'317'!OSRRefE21_6x_3</vt:lpstr>
      <vt:lpstr>'321'!OSRRefE21_6x_3</vt:lpstr>
      <vt:lpstr>'322'!OSRRefE21_6x_3</vt:lpstr>
      <vt:lpstr>'325'!OSRRefE21_6x_3</vt:lpstr>
      <vt:lpstr>'326'!OSRRefE21_6x_3</vt:lpstr>
      <vt:lpstr>'330'!OSRRefE21_6x_3</vt:lpstr>
      <vt:lpstr>'331'!OSRRefE21_6x_3</vt:lpstr>
      <vt:lpstr>'332'!OSRRefE21_6x_3</vt:lpstr>
      <vt:lpstr>'405'!OSRRefE21_6x_3</vt:lpstr>
      <vt:lpstr>'411'!OSRRefE21_6x_3</vt:lpstr>
      <vt:lpstr>'412'!OSRRefE21_6x_3</vt:lpstr>
      <vt:lpstr>'413'!OSRRefE21_6x_3</vt:lpstr>
      <vt:lpstr>'414'!OSRRefE21_6x_3</vt:lpstr>
      <vt:lpstr>'415'!OSRRefE21_6x_3</vt:lpstr>
      <vt:lpstr>'418'!OSRRefE21_6x_3</vt:lpstr>
      <vt:lpstr>'423'!OSRRefE21_6x_3</vt:lpstr>
      <vt:lpstr>'430'!OSRRefE21_6x_3</vt:lpstr>
      <vt:lpstr>'433'!OSRRefE21_6x_3</vt:lpstr>
      <vt:lpstr>'444'!OSRRefE21_6x_3</vt:lpstr>
      <vt:lpstr>'450'!OSRRefE21_6x_3</vt:lpstr>
      <vt:lpstr>'491'!OSRRefE21_6x_3</vt:lpstr>
      <vt:lpstr>'492'!OSRRefE21_6x_3</vt:lpstr>
      <vt:lpstr>'501'!OSRRefE21_6x_3</vt:lpstr>
      <vt:lpstr>'Div 2'!OSRRefE21_6x_3</vt:lpstr>
      <vt:lpstr>'Div 3'!OSRRefE21_6x_3</vt:lpstr>
      <vt:lpstr>'Div 4'!OSRRefE21_6x_3</vt:lpstr>
      <vt:lpstr>'Div 5'!OSRRefE21_6x_3</vt:lpstr>
      <vt:lpstr>'Div 6'!OSRRefE21_6x_3</vt:lpstr>
      <vt:lpstr>Summary!OSRRefE21_6x_3</vt:lpstr>
      <vt:lpstr>'201'!OSRRefE21_6x_4</vt:lpstr>
      <vt:lpstr>'202'!OSRRefE21_6x_4</vt:lpstr>
      <vt:lpstr>'203'!OSRRefE21_6x_4</vt:lpstr>
      <vt:lpstr>'204'!OSRRefE21_6x_4</vt:lpstr>
      <vt:lpstr>'205'!OSRRefE21_6x_4</vt:lpstr>
      <vt:lpstr>'206'!OSRRefE21_6x_4</vt:lpstr>
      <vt:lpstr>'300'!OSRRefE21_6x_4</vt:lpstr>
      <vt:lpstr>'300 &amp; 317'!OSRRefE21_6x_4</vt:lpstr>
      <vt:lpstr>'301'!OSRRefE21_6x_4</vt:lpstr>
      <vt:lpstr>'307'!OSRRefE21_6x_4</vt:lpstr>
      <vt:lpstr>'308'!OSRRefE21_6x_4</vt:lpstr>
      <vt:lpstr>'309'!OSRRefE21_6x_4</vt:lpstr>
      <vt:lpstr>'310'!OSRRefE21_6x_4</vt:lpstr>
      <vt:lpstr>'310 &amp; 491'!OSRRefE21_6x_4</vt:lpstr>
      <vt:lpstr>'311'!OSRRefE21_6x_4</vt:lpstr>
      <vt:lpstr>'313'!OSRRefE21_6x_4</vt:lpstr>
      <vt:lpstr>'315'!OSRRefE21_6x_4</vt:lpstr>
      <vt:lpstr>'316'!OSRRefE21_6x_4</vt:lpstr>
      <vt:lpstr>'317'!OSRRefE21_6x_4</vt:lpstr>
      <vt:lpstr>'321'!OSRRefE21_6x_4</vt:lpstr>
      <vt:lpstr>'322'!OSRRefE21_6x_4</vt:lpstr>
      <vt:lpstr>'325'!OSRRefE21_6x_4</vt:lpstr>
      <vt:lpstr>'326'!OSRRefE21_6x_4</vt:lpstr>
      <vt:lpstr>'330'!OSRRefE21_6x_4</vt:lpstr>
      <vt:lpstr>'331'!OSRRefE21_6x_4</vt:lpstr>
      <vt:lpstr>'332'!OSRRefE21_6x_4</vt:lpstr>
      <vt:lpstr>'405'!OSRRefE21_6x_4</vt:lpstr>
      <vt:lpstr>'411'!OSRRefE21_6x_4</vt:lpstr>
      <vt:lpstr>'412'!OSRRefE21_6x_4</vt:lpstr>
      <vt:lpstr>'413'!OSRRefE21_6x_4</vt:lpstr>
      <vt:lpstr>'414'!OSRRefE21_6x_4</vt:lpstr>
      <vt:lpstr>'415'!OSRRefE21_6x_4</vt:lpstr>
      <vt:lpstr>'418'!OSRRefE21_6x_4</vt:lpstr>
      <vt:lpstr>'423'!OSRRefE21_6x_4</vt:lpstr>
      <vt:lpstr>'430'!OSRRefE21_6x_4</vt:lpstr>
      <vt:lpstr>'433'!OSRRefE21_6x_4</vt:lpstr>
      <vt:lpstr>'444'!OSRRefE21_6x_4</vt:lpstr>
      <vt:lpstr>'450'!OSRRefE21_6x_4</vt:lpstr>
      <vt:lpstr>'491'!OSRRefE21_6x_4</vt:lpstr>
      <vt:lpstr>'492'!OSRRefE21_6x_4</vt:lpstr>
      <vt:lpstr>'501'!OSRRefE21_6x_4</vt:lpstr>
      <vt:lpstr>'Div 2'!OSRRefE21_6x_4</vt:lpstr>
      <vt:lpstr>'Div 3'!OSRRefE21_6x_4</vt:lpstr>
      <vt:lpstr>'Div 4'!OSRRefE21_6x_4</vt:lpstr>
      <vt:lpstr>'Div 5'!OSRRefE21_6x_4</vt:lpstr>
      <vt:lpstr>'Div 6'!OSRRefE21_6x_4</vt:lpstr>
      <vt:lpstr>Summary!OSRRefE21_6x_4</vt:lpstr>
      <vt:lpstr>'201'!OSRRefE21_6x_5</vt:lpstr>
      <vt:lpstr>'202'!OSRRefE21_6x_5</vt:lpstr>
      <vt:lpstr>'203'!OSRRefE21_6x_5</vt:lpstr>
      <vt:lpstr>'204'!OSRRefE21_6x_5</vt:lpstr>
      <vt:lpstr>'205'!OSRRefE21_6x_5</vt:lpstr>
      <vt:lpstr>'206'!OSRRefE21_6x_5</vt:lpstr>
      <vt:lpstr>'300'!OSRRefE21_6x_5</vt:lpstr>
      <vt:lpstr>'300 &amp; 317'!OSRRefE21_6x_5</vt:lpstr>
      <vt:lpstr>'301'!OSRRefE21_6x_5</vt:lpstr>
      <vt:lpstr>'307'!OSRRefE21_6x_5</vt:lpstr>
      <vt:lpstr>'308'!OSRRefE21_6x_5</vt:lpstr>
      <vt:lpstr>'309'!OSRRefE21_6x_5</vt:lpstr>
      <vt:lpstr>'310'!OSRRefE21_6x_5</vt:lpstr>
      <vt:lpstr>'310 &amp; 491'!OSRRefE21_6x_5</vt:lpstr>
      <vt:lpstr>'311'!OSRRefE21_6x_5</vt:lpstr>
      <vt:lpstr>'313'!OSRRefE21_6x_5</vt:lpstr>
      <vt:lpstr>'315'!OSRRefE21_6x_5</vt:lpstr>
      <vt:lpstr>'316'!OSRRefE21_6x_5</vt:lpstr>
      <vt:lpstr>'317'!OSRRefE21_6x_5</vt:lpstr>
      <vt:lpstr>'321'!OSRRefE21_6x_5</vt:lpstr>
      <vt:lpstr>'322'!OSRRefE21_6x_5</vt:lpstr>
      <vt:lpstr>'325'!OSRRefE21_6x_5</vt:lpstr>
      <vt:lpstr>'326'!OSRRefE21_6x_5</vt:lpstr>
      <vt:lpstr>'330'!OSRRefE21_6x_5</vt:lpstr>
      <vt:lpstr>'331'!OSRRefE21_6x_5</vt:lpstr>
      <vt:lpstr>'332'!OSRRefE21_6x_5</vt:lpstr>
      <vt:lpstr>'405'!OSRRefE21_6x_5</vt:lpstr>
      <vt:lpstr>'411'!OSRRefE21_6x_5</vt:lpstr>
      <vt:lpstr>'412'!OSRRefE21_6x_5</vt:lpstr>
      <vt:lpstr>'413'!OSRRefE21_6x_5</vt:lpstr>
      <vt:lpstr>'414'!OSRRefE21_6x_5</vt:lpstr>
      <vt:lpstr>'415'!OSRRefE21_6x_5</vt:lpstr>
      <vt:lpstr>'418'!OSRRefE21_6x_5</vt:lpstr>
      <vt:lpstr>'423'!OSRRefE21_6x_5</vt:lpstr>
      <vt:lpstr>'430'!OSRRefE21_6x_5</vt:lpstr>
      <vt:lpstr>'433'!OSRRefE21_6x_5</vt:lpstr>
      <vt:lpstr>'444'!OSRRefE21_6x_5</vt:lpstr>
      <vt:lpstr>'450'!OSRRefE21_6x_5</vt:lpstr>
      <vt:lpstr>'491'!OSRRefE21_6x_5</vt:lpstr>
      <vt:lpstr>'492'!OSRRefE21_6x_5</vt:lpstr>
      <vt:lpstr>'501'!OSRRefE21_6x_5</vt:lpstr>
      <vt:lpstr>'Div 2'!OSRRefE21_6x_5</vt:lpstr>
      <vt:lpstr>'Div 3'!OSRRefE21_6x_5</vt:lpstr>
      <vt:lpstr>'Div 4'!OSRRefE21_6x_5</vt:lpstr>
      <vt:lpstr>'Div 5'!OSRRefE21_6x_5</vt:lpstr>
      <vt:lpstr>'Div 6'!OSRRefE21_6x_5</vt:lpstr>
      <vt:lpstr>Summary!OSRRefE21_6x_5</vt:lpstr>
      <vt:lpstr>'201'!OSRRefE21_6x_6</vt:lpstr>
      <vt:lpstr>'202'!OSRRefE21_6x_6</vt:lpstr>
      <vt:lpstr>'203'!OSRRefE21_6x_6</vt:lpstr>
      <vt:lpstr>'204'!OSRRefE21_6x_6</vt:lpstr>
      <vt:lpstr>'205'!OSRRefE21_6x_6</vt:lpstr>
      <vt:lpstr>'206'!OSRRefE21_6x_6</vt:lpstr>
      <vt:lpstr>'300'!OSRRefE21_6x_6</vt:lpstr>
      <vt:lpstr>'300 &amp; 317'!OSRRefE21_6x_6</vt:lpstr>
      <vt:lpstr>'301'!OSRRefE21_6x_6</vt:lpstr>
      <vt:lpstr>'307'!OSRRefE21_6x_6</vt:lpstr>
      <vt:lpstr>'308'!OSRRefE21_6x_6</vt:lpstr>
      <vt:lpstr>'309'!OSRRefE21_6x_6</vt:lpstr>
      <vt:lpstr>'310'!OSRRefE21_6x_6</vt:lpstr>
      <vt:lpstr>'310 &amp; 491'!OSRRefE21_6x_6</vt:lpstr>
      <vt:lpstr>'311'!OSRRefE21_6x_6</vt:lpstr>
      <vt:lpstr>'313'!OSRRefE21_6x_6</vt:lpstr>
      <vt:lpstr>'315'!OSRRefE21_6x_6</vt:lpstr>
      <vt:lpstr>'316'!OSRRefE21_6x_6</vt:lpstr>
      <vt:lpstr>'317'!OSRRefE21_6x_6</vt:lpstr>
      <vt:lpstr>'321'!OSRRefE21_6x_6</vt:lpstr>
      <vt:lpstr>'322'!OSRRefE21_6x_6</vt:lpstr>
      <vt:lpstr>'325'!OSRRefE21_6x_6</vt:lpstr>
      <vt:lpstr>'326'!OSRRefE21_6x_6</vt:lpstr>
      <vt:lpstr>'330'!OSRRefE21_6x_6</vt:lpstr>
      <vt:lpstr>'331'!OSRRefE21_6x_6</vt:lpstr>
      <vt:lpstr>'332'!OSRRefE21_6x_6</vt:lpstr>
      <vt:lpstr>'405'!OSRRefE21_6x_6</vt:lpstr>
      <vt:lpstr>'411'!OSRRefE21_6x_6</vt:lpstr>
      <vt:lpstr>'412'!OSRRefE21_6x_6</vt:lpstr>
      <vt:lpstr>'413'!OSRRefE21_6x_6</vt:lpstr>
      <vt:lpstr>'414'!OSRRefE21_6x_6</vt:lpstr>
      <vt:lpstr>'415'!OSRRefE21_6x_6</vt:lpstr>
      <vt:lpstr>'418'!OSRRefE21_6x_6</vt:lpstr>
      <vt:lpstr>'423'!OSRRefE21_6x_6</vt:lpstr>
      <vt:lpstr>'430'!OSRRefE21_6x_6</vt:lpstr>
      <vt:lpstr>'433'!OSRRefE21_6x_6</vt:lpstr>
      <vt:lpstr>'444'!OSRRefE21_6x_6</vt:lpstr>
      <vt:lpstr>'450'!OSRRefE21_6x_6</vt:lpstr>
      <vt:lpstr>'491'!OSRRefE21_6x_6</vt:lpstr>
      <vt:lpstr>'492'!OSRRefE21_6x_6</vt:lpstr>
      <vt:lpstr>'501'!OSRRefE21_6x_6</vt:lpstr>
      <vt:lpstr>'Div 2'!OSRRefE21_6x_6</vt:lpstr>
      <vt:lpstr>'Div 3'!OSRRefE21_6x_6</vt:lpstr>
      <vt:lpstr>'Div 4'!OSRRefE21_6x_6</vt:lpstr>
      <vt:lpstr>'Div 5'!OSRRefE21_6x_6</vt:lpstr>
      <vt:lpstr>'Div 6'!OSRRefE21_6x_6</vt:lpstr>
      <vt:lpstr>Summary!OSRRefE21_6x_6</vt:lpstr>
      <vt:lpstr>'201'!OSRRefE21_6x_7</vt:lpstr>
      <vt:lpstr>'202'!OSRRefE21_6x_7</vt:lpstr>
      <vt:lpstr>'203'!OSRRefE21_6x_7</vt:lpstr>
      <vt:lpstr>'204'!OSRRefE21_6x_7</vt:lpstr>
      <vt:lpstr>'205'!OSRRefE21_6x_7</vt:lpstr>
      <vt:lpstr>'206'!OSRRefE21_6x_7</vt:lpstr>
      <vt:lpstr>'300'!OSRRefE21_6x_7</vt:lpstr>
      <vt:lpstr>'300 &amp; 317'!OSRRefE21_6x_7</vt:lpstr>
      <vt:lpstr>'301'!OSRRefE21_6x_7</vt:lpstr>
      <vt:lpstr>'307'!OSRRefE21_6x_7</vt:lpstr>
      <vt:lpstr>'308'!OSRRefE21_6x_7</vt:lpstr>
      <vt:lpstr>'309'!OSRRefE21_6x_7</vt:lpstr>
      <vt:lpstr>'310'!OSRRefE21_6x_7</vt:lpstr>
      <vt:lpstr>'310 &amp; 491'!OSRRefE21_6x_7</vt:lpstr>
      <vt:lpstr>'311'!OSRRefE21_6x_7</vt:lpstr>
      <vt:lpstr>'313'!OSRRefE21_6x_7</vt:lpstr>
      <vt:lpstr>'315'!OSRRefE21_6x_7</vt:lpstr>
      <vt:lpstr>'316'!OSRRefE21_6x_7</vt:lpstr>
      <vt:lpstr>'317'!OSRRefE21_6x_7</vt:lpstr>
      <vt:lpstr>'321'!OSRRefE21_6x_7</vt:lpstr>
      <vt:lpstr>'322'!OSRRefE21_6x_7</vt:lpstr>
      <vt:lpstr>'325'!OSRRefE21_6x_7</vt:lpstr>
      <vt:lpstr>'326'!OSRRefE21_6x_7</vt:lpstr>
      <vt:lpstr>'330'!OSRRefE21_6x_7</vt:lpstr>
      <vt:lpstr>'331'!OSRRefE21_6x_7</vt:lpstr>
      <vt:lpstr>'332'!OSRRefE21_6x_7</vt:lpstr>
      <vt:lpstr>'405'!OSRRefE21_6x_7</vt:lpstr>
      <vt:lpstr>'411'!OSRRefE21_6x_7</vt:lpstr>
      <vt:lpstr>'412'!OSRRefE21_6x_7</vt:lpstr>
      <vt:lpstr>'413'!OSRRefE21_6x_7</vt:lpstr>
      <vt:lpstr>'414'!OSRRefE21_6x_7</vt:lpstr>
      <vt:lpstr>'415'!OSRRefE21_6x_7</vt:lpstr>
      <vt:lpstr>'418'!OSRRefE21_6x_7</vt:lpstr>
      <vt:lpstr>'423'!OSRRefE21_6x_7</vt:lpstr>
      <vt:lpstr>'430'!OSRRefE21_6x_7</vt:lpstr>
      <vt:lpstr>'433'!OSRRefE21_6x_7</vt:lpstr>
      <vt:lpstr>'444'!OSRRefE21_6x_7</vt:lpstr>
      <vt:lpstr>'450'!OSRRefE21_6x_7</vt:lpstr>
      <vt:lpstr>'491'!OSRRefE21_6x_7</vt:lpstr>
      <vt:lpstr>'492'!OSRRefE21_6x_7</vt:lpstr>
      <vt:lpstr>'501'!OSRRefE21_6x_7</vt:lpstr>
      <vt:lpstr>'Div 2'!OSRRefE21_6x_7</vt:lpstr>
      <vt:lpstr>'Div 3'!OSRRefE21_6x_7</vt:lpstr>
      <vt:lpstr>'Div 4'!OSRRefE21_6x_7</vt:lpstr>
      <vt:lpstr>'Div 5'!OSRRefE21_6x_7</vt:lpstr>
      <vt:lpstr>'Div 6'!OSRRefE21_6x_7</vt:lpstr>
      <vt:lpstr>Summary!OSRRefE21_6x_7</vt:lpstr>
      <vt:lpstr>'201'!OSRRefE21_7_0x</vt:lpstr>
      <vt:lpstr>'202'!OSRRefE21_7_0x</vt:lpstr>
      <vt:lpstr>'203'!OSRRefE21_7_0x</vt:lpstr>
      <vt:lpstr>'204'!OSRRefE21_7_0x</vt:lpstr>
      <vt:lpstr>'205'!OSRRefE21_7_0x</vt:lpstr>
      <vt:lpstr>'300'!OSRRefE21_7_0x</vt:lpstr>
      <vt:lpstr>'300 &amp; 317'!OSRRefE21_7_0x</vt:lpstr>
      <vt:lpstr>'301'!OSRRefE21_7_0x</vt:lpstr>
      <vt:lpstr>'307'!OSRRefE21_7_0x</vt:lpstr>
      <vt:lpstr>'308'!OSRRefE21_7_0x</vt:lpstr>
      <vt:lpstr>'309'!OSRRefE21_7_0x</vt:lpstr>
      <vt:lpstr>'310'!OSRRefE21_7_0x</vt:lpstr>
      <vt:lpstr>'310 &amp; 491'!OSRRefE21_7_0x</vt:lpstr>
      <vt:lpstr>'311'!OSRRefE21_7_0x</vt:lpstr>
      <vt:lpstr>'313'!OSRRefE21_7_0x</vt:lpstr>
      <vt:lpstr>'315'!OSRRefE21_7_0x</vt:lpstr>
      <vt:lpstr>'316'!OSRRefE21_7_0x</vt:lpstr>
      <vt:lpstr>'317'!OSRRefE21_7_0x</vt:lpstr>
      <vt:lpstr>'321'!OSRRefE21_7_0x</vt:lpstr>
      <vt:lpstr>'322'!OSRRefE21_7_0x</vt:lpstr>
      <vt:lpstr>'325'!OSRRefE21_7_0x</vt:lpstr>
      <vt:lpstr>'326'!OSRRefE21_7_0x</vt:lpstr>
      <vt:lpstr>'330'!OSRRefE21_7_0x</vt:lpstr>
      <vt:lpstr>'331'!OSRRefE21_7_0x</vt:lpstr>
      <vt:lpstr>'332'!OSRRefE21_7_0x</vt:lpstr>
      <vt:lpstr>'405'!OSRRefE21_7_0x</vt:lpstr>
      <vt:lpstr>'411'!OSRRefE21_7_0x</vt:lpstr>
      <vt:lpstr>'412'!OSRRefE21_7_0x</vt:lpstr>
      <vt:lpstr>'413'!OSRRefE21_7_0x</vt:lpstr>
      <vt:lpstr>'414'!OSRRefE21_7_0x</vt:lpstr>
      <vt:lpstr>'415'!OSRRefE21_7_0x</vt:lpstr>
      <vt:lpstr>'418'!OSRRefE21_7_0x</vt:lpstr>
      <vt:lpstr>'430'!OSRRefE21_7_0x</vt:lpstr>
      <vt:lpstr>'433'!OSRRefE21_7_0x</vt:lpstr>
      <vt:lpstr>'444'!OSRRefE21_7_0x</vt:lpstr>
      <vt:lpstr>'450'!OSRRefE21_7_0x</vt:lpstr>
      <vt:lpstr>'491'!OSRRefE21_7_0x</vt:lpstr>
      <vt:lpstr>'492'!OSRRefE21_7_0x</vt:lpstr>
      <vt:lpstr>'501'!OSRRefE21_7_0x</vt:lpstr>
      <vt:lpstr>'Div 2'!OSRRefE21_7_0x</vt:lpstr>
      <vt:lpstr>'Div 3'!OSRRefE21_7_0x</vt:lpstr>
      <vt:lpstr>'Div 4'!OSRRefE21_7_0x</vt:lpstr>
      <vt:lpstr>'Div 5'!OSRRefE21_7_0x</vt:lpstr>
      <vt:lpstr>'Div 6'!OSRRefE21_7_0x</vt:lpstr>
      <vt:lpstr>Summary!OSRRefE21_7_0x</vt:lpstr>
      <vt:lpstr>'202'!OSRRefE21_7_1x</vt:lpstr>
      <vt:lpstr>'204'!OSRRefE21_7_1x</vt:lpstr>
      <vt:lpstr>'308'!OSRRefE21_7_1x</vt:lpstr>
      <vt:lpstr>'309'!OSRRefE21_7_1x</vt:lpstr>
      <vt:lpstr>'311'!OSRRefE21_7_1x</vt:lpstr>
      <vt:lpstr>'315'!OSRRefE21_7_1x</vt:lpstr>
      <vt:lpstr>'316'!OSRRefE21_7_1x</vt:lpstr>
      <vt:lpstr>'322'!OSRRefE21_7_1x</vt:lpstr>
      <vt:lpstr>'331'!OSRRefE21_7_1x</vt:lpstr>
      <vt:lpstr>'332'!OSRRefE21_7_1x</vt:lpstr>
      <vt:lpstr>'309'!OSRRefE21_7_2x</vt:lpstr>
      <vt:lpstr>'201'!OSRRefE21_7x_0</vt:lpstr>
      <vt:lpstr>'202'!OSRRefE21_7x_0</vt:lpstr>
      <vt:lpstr>'203'!OSRRefE21_7x_0</vt:lpstr>
      <vt:lpstr>'204'!OSRRefE21_7x_0</vt:lpstr>
      <vt:lpstr>'205'!OSRRefE21_7x_0</vt:lpstr>
      <vt:lpstr>'300'!OSRRefE21_7x_0</vt:lpstr>
      <vt:lpstr>'300 &amp; 317'!OSRRefE21_7x_0</vt:lpstr>
      <vt:lpstr>'301'!OSRRefE21_7x_0</vt:lpstr>
      <vt:lpstr>'307'!OSRRefE21_7x_0</vt:lpstr>
      <vt:lpstr>'308'!OSRRefE21_7x_0</vt:lpstr>
      <vt:lpstr>'309'!OSRRefE21_7x_0</vt:lpstr>
      <vt:lpstr>'310'!OSRRefE21_7x_0</vt:lpstr>
      <vt:lpstr>'310 &amp; 491'!OSRRefE21_7x_0</vt:lpstr>
      <vt:lpstr>'311'!OSRRefE21_7x_0</vt:lpstr>
      <vt:lpstr>'313'!OSRRefE21_7x_0</vt:lpstr>
      <vt:lpstr>'315'!OSRRefE21_7x_0</vt:lpstr>
      <vt:lpstr>'316'!OSRRefE21_7x_0</vt:lpstr>
      <vt:lpstr>'317'!OSRRefE21_7x_0</vt:lpstr>
      <vt:lpstr>'321'!OSRRefE21_7x_0</vt:lpstr>
      <vt:lpstr>'322'!OSRRefE21_7x_0</vt:lpstr>
      <vt:lpstr>'325'!OSRRefE21_7x_0</vt:lpstr>
      <vt:lpstr>'326'!OSRRefE21_7x_0</vt:lpstr>
      <vt:lpstr>'330'!OSRRefE21_7x_0</vt:lpstr>
      <vt:lpstr>'331'!OSRRefE21_7x_0</vt:lpstr>
      <vt:lpstr>'332'!OSRRefE21_7x_0</vt:lpstr>
      <vt:lpstr>'405'!OSRRefE21_7x_0</vt:lpstr>
      <vt:lpstr>'411'!OSRRefE21_7x_0</vt:lpstr>
      <vt:lpstr>'412'!OSRRefE21_7x_0</vt:lpstr>
      <vt:lpstr>'413'!OSRRefE21_7x_0</vt:lpstr>
      <vt:lpstr>'414'!OSRRefE21_7x_0</vt:lpstr>
      <vt:lpstr>'415'!OSRRefE21_7x_0</vt:lpstr>
      <vt:lpstr>'418'!OSRRefE21_7x_0</vt:lpstr>
      <vt:lpstr>'430'!OSRRefE21_7x_0</vt:lpstr>
      <vt:lpstr>'433'!OSRRefE21_7x_0</vt:lpstr>
      <vt:lpstr>'444'!OSRRefE21_7x_0</vt:lpstr>
      <vt:lpstr>'450'!OSRRefE21_7x_0</vt:lpstr>
      <vt:lpstr>'491'!OSRRefE21_7x_0</vt:lpstr>
      <vt:lpstr>'492'!OSRRefE21_7x_0</vt:lpstr>
      <vt:lpstr>'501'!OSRRefE21_7x_0</vt:lpstr>
      <vt:lpstr>'Div 2'!OSRRefE21_7x_0</vt:lpstr>
      <vt:lpstr>'Div 3'!OSRRefE21_7x_0</vt:lpstr>
      <vt:lpstr>'Div 4'!OSRRefE21_7x_0</vt:lpstr>
      <vt:lpstr>'Div 5'!OSRRefE21_7x_0</vt:lpstr>
      <vt:lpstr>'Div 6'!OSRRefE21_7x_0</vt:lpstr>
      <vt:lpstr>Summary!OSRRefE21_7x_0</vt:lpstr>
      <vt:lpstr>'201'!OSRRefE21_7x_1</vt:lpstr>
      <vt:lpstr>'202'!OSRRefE21_7x_1</vt:lpstr>
      <vt:lpstr>'203'!OSRRefE21_7x_1</vt:lpstr>
      <vt:lpstr>'204'!OSRRefE21_7x_1</vt:lpstr>
      <vt:lpstr>'205'!OSRRefE21_7x_1</vt:lpstr>
      <vt:lpstr>'300'!OSRRefE21_7x_1</vt:lpstr>
      <vt:lpstr>'300 &amp; 317'!OSRRefE21_7x_1</vt:lpstr>
      <vt:lpstr>'301'!OSRRefE21_7x_1</vt:lpstr>
      <vt:lpstr>'307'!OSRRefE21_7x_1</vt:lpstr>
      <vt:lpstr>'308'!OSRRefE21_7x_1</vt:lpstr>
      <vt:lpstr>'309'!OSRRefE21_7x_1</vt:lpstr>
      <vt:lpstr>'310'!OSRRefE21_7x_1</vt:lpstr>
      <vt:lpstr>'310 &amp; 491'!OSRRefE21_7x_1</vt:lpstr>
      <vt:lpstr>'311'!OSRRefE21_7x_1</vt:lpstr>
      <vt:lpstr>'313'!OSRRefE21_7x_1</vt:lpstr>
      <vt:lpstr>'315'!OSRRefE21_7x_1</vt:lpstr>
      <vt:lpstr>'316'!OSRRefE21_7x_1</vt:lpstr>
      <vt:lpstr>'317'!OSRRefE21_7x_1</vt:lpstr>
      <vt:lpstr>'321'!OSRRefE21_7x_1</vt:lpstr>
      <vt:lpstr>'322'!OSRRefE21_7x_1</vt:lpstr>
      <vt:lpstr>'325'!OSRRefE21_7x_1</vt:lpstr>
      <vt:lpstr>'326'!OSRRefE21_7x_1</vt:lpstr>
      <vt:lpstr>'330'!OSRRefE21_7x_1</vt:lpstr>
      <vt:lpstr>'331'!OSRRefE21_7x_1</vt:lpstr>
      <vt:lpstr>'332'!OSRRefE21_7x_1</vt:lpstr>
      <vt:lpstr>'405'!OSRRefE21_7x_1</vt:lpstr>
      <vt:lpstr>'411'!OSRRefE21_7x_1</vt:lpstr>
      <vt:lpstr>'412'!OSRRefE21_7x_1</vt:lpstr>
      <vt:lpstr>'413'!OSRRefE21_7x_1</vt:lpstr>
      <vt:lpstr>'414'!OSRRefE21_7x_1</vt:lpstr>
      <vt:lpstr>'415'!OSRRefE21_7x_1</vt:lpstr>
      <vt:lpstr>'418'!OSRRefE21_7x_1</vt:lpstr>
      <vt:lpstr>'430'!OSRRefE21_7x_1</vt:lpstr>
      <vt:lpstr>'433'!OSRRefE21_7x_1</vt:lpstr>
      <vt:lpstr>'444'!OSRRefE21_7x_1</vt:lpstr>
      <vt:lpstr>'450'!OSRRefE21_7x_1</vt:lpstr>
      <vt:lpstr>'491'!OSRRefE21_7x_1</vt:lpstr>
      <vt:lpstr>'492'!OSRRefE21_7x_1</vt:lpstr>
      <vt:lpstr>'501'!OSRRefE21_7x_1</vt:lpstr>
      <vt:lpstr>'Div 2'!OSRRefE21_7x_1</vt:lpstr>
      <vt:lpstr>'Div 3'!OSRRefE21_7x_1</vt:lpstr>
      <vt:lpstr>'Div 4'!OSRRefE21_7x_1</vt:lpstr>
      <vt:lpstr>'Div 5'!OSRRefE21_7x_1</vt:lpstr>
      <vt:lpstr>'Div 6'!OSRRefE21_7x_1</vt:lpstr>
      <vt:lpstr>Summary!OSRRefE21_7x_1</vt:lpstr>
      <vt:lpstr>'201'!OSRRefE21_7x_2</vt:lpstr>
      <vt:lpstr>'202'!OSRRefE21_7x_2</vt:lpstr>
      <vt:lpstr>'203'!OSRRefE21_7x_2</vt:lpstr>
      <vt:lpstr>'204'!OSRRefE21_7x_2</vt:lpstr>
      <vt:lpstr>'205'!OSRRefE21_7x_2</vt:lpstr>
      <vt:lpstr>'300'!OSRRefE21_7x_2</vt:lpstr>
      <vt:lpstr>'300 &amp; 317'!OSRRefE21_7x_2</vt:lpstr>
      <vt:lpstr>'301'!OSRRefE21_7x_2</vt:lpstr>
      <vt:lpstr>'307'!OSRRefE21_7x_2</vt:lpstr>
      <vt:lpstr>'308'!OSRRefE21_7x_2</vt:lpstr>
      <vt:lpstr>'309'!OSRRefE21_7x_2</vt:lpstr>
      <vt:lpstr>'310'!OSRRefE21_7x_2</vt:lpstr>
      <vt:lpstr>'310 &amp; 491'!OSRRefE21_7x_2</vt:lpstr>
      <vt:lpstr>'311'!OSRRefE21_7x_2</vt:lpstr>
      <vt:lpstr>'313'!OSRRefE21_7x_2</vt:lpstr>
      <vt:lpstr>'315'!OSRRefE21_7x_2</vt:lpstr>
      <vt:lpstr>'316'!OSRRefE21_7x_2</vt:lpstr>
      <vt:lpstr>'317'!OSRRefE21_7x_2</vt:lpstr>
      <vt:lpstr>'321'!OSRRefE21_7x_2</vt:lpstr>
      <vt:lpstr>'322'!OSRRefE21_7x_2</vt:lpstr>
      <vt:lpstr>'325'!OSRRefE21_7x_2</vt:lpstr>
      <vt:lpstr>'326'!OSRRefE21_7x_2</vt:lpstr>
      <vt:lpstr>'330'!OSRRefE21_7x_2</vt:lpstr>
      <vt:lpstr>'331'!OSRRefE21_7x_2</vt:lpstr>
      <vt:lpstr>'332'!OSRRefE21_7x_2</vt:lpstr>
      <vt:lpstr>'405'!OSRRefE21_7x_2</vt:lpstr>
      <vt:lpstr>'411'!OSRRefE21_7x_2</vt:lpstr>
      <vt:lpstr>'412'!OSRRefE21_7x_2</vt:lpstr>
      <vt:lpstr>'413'!OSRRefE21_7x_2</vt:lpstr>
      <vt:lpstr>'414'!OSRRefE21_7x_2</vt:lpstr>
      <vt:lpstr>'415'!OSRRefE21_7x_2</vt:lpstr>
      <vt:lpstr>'418'!OSRRefE21_7x_2</vt:lpstr>
      <vt:lpstr>'430'!OSRRefE21_7x_2</vt:lpstr>
      <vt:lpstr>'433'!OSRRefE21_7x_2</vt:lpstr>
      <vt:lpstr>'444'!OSRRefE21_7x_2</vt:lpstr>
      <vt:lpstr>'450'!OSRRefE21_7x_2</vt:lpstr>
      <vt:lpstr>'491'!OSRRefE21_7x_2</vt:lpstr>
      <vt:lpstr>'492'!OSRRefE21_7x_2</vt:lpstr>
      <vt:lpstr>'501'!OSRRefE21_7x_2</vt:lpstr>
      <vt:lpstr>'Div 2'!OSRRefE21_7x_2</vt:lpstr>
      <vt:lpstr>'Div 3'!OSRRefE21_7x_2</vt:lpstr>
      <vt:lpstr>'Div 4'!OSRRefE21_7x_2</vt:lpstr>
      <vt:lpstr>'Div 5'!OSRRefE21_7x_2</vt:lpstr>
      <vt:lpstr>'Div 6'!OSRRefE21_7x_2</vt:lpstr>
      <vt:lpstr>Summary!OSRRefE21_7x_2</vt:lpstr>
      <vt:lpstr>'201'!OSRRefE21_7x_3</vt:lpstr>
      <vt:lpstr>'202'!OSRRefE21_7x_3</vt:lpstr>
      <vt:lpstr>'203'!OSRRefE21_7x_3</vt:lpstr>
      <vt:lpstr>'204'!OSRRefE21_7x_3</vt:lpstr>
      <vt:lpstr>'205'!OSRRefE21_7x_3</vt:lpstr>
      <vt:lpstr>'300'!OSRRefE21_7x_3</vt:lpstr>
      <vt:lpstr>'300 &amp; 317'!OSRRefE21_7x_3</vt:lpstr>
      <vt:lpstr>'301'!OSRRefE21_7x_3</vt:lpstr>
      <vt:lpstr>'307'!OSRRefE21_7x_3</vt:lpstr>
      <vt:lpstr>'308'!OSRRefE21_7x_3</vt:lpstr>
      <vt:lpstr>'309'!OSRRefE21_7x_3</vt:lpstr>
      <vt:lpstr>'310'!OSRRefE21_7x_3</vt:lpstr>
      <vt:lpstr>'310 &amp; 491'!OSRRefE21_7x_3</vt:lpstr>
      <vt:lpstr>'311'!OSRRefE21_7x_3</vt:lpstr>
      <vt:lpstr>'313'!OSRRefE21_7x_3</vt:lpstr>
      <vt:lpstr>'315'!OSRRefE21_7x_3</vt:lpstr>
      <vt:lpstr>'316'!OSRRefE21_7x_3</vt:lpstr>
      <vt:lpstr>'317'!OSRRefE21_7x_3</vt:lpstr>
      <vt:lpstr>'321'!OSRRefE21_7x_3</vt:lpstr>
      <vt:lpstr>'322'!OSRRefE21_7x_3</vt:lpstr>
      <vt:lpstr>'325'!OSRRefE21_7x_3</vt:lpstr>
      <vt:lpstr>'326'!OSRRefE21_7x_3</vt:lpstr>
      <vt:lpstr>'330'!OSRRefE21_7x_3</vt:lpstr>
      <vt:lpstr>'331'!OSRRefE21_7x_3</vt:lpstr>
      <vt:lpstr>'332'!OSRRefE21_7x_3</vt:lpstr>
      <vt:lpstr>'405'!OSRRefE21_7x_3</vt:lpstr>
      <vt:lpstr>'411'!OSRRefE21_7x_3</vt:lpstr>
      <vt:lpstr>'412'!OSRRefE21_7x_3</vt:lpstr>
      <vt:lpstr>'413'!OSRRefE21_7x_3</vt:lpstr>
      <vt:lpstr>'414'!OSRRefE21_7x_3</vt:lpstr>
      <vt:lpstr>'415'!OSRRefE21_7x_3</vt:lpstr>
      <vt:lpstr>'418'!OSRRefE21_7x_3</vt:lpstr>
      <vt:lpstr>'430'!OSRRefE21_7x_3</vt:lpstr>
      <vt:lpstr>'433'!OSRRefE21_7x_3</vt:lpstr>
      <vt:lpstr>'444'!OSRRefE21_7x_3</vt:lpstr>
      <vt:lpstr>'450'!OSRRefE21_7x_3</vt:lpstr>
      <vt:lpstr>'491'!OSRRefE21_7x_3</vt:lpstr>
      <vt:lpstr>'492'!OSRRefE21_7x_3</vt:lpstr>
      <vt:lpstr>'501'!OSRRefE21_7x_3</vt:lpstr>
      <vt:lpstr>'Div 2'!OSRRefE21_7x_3</vt:lpstr>
      <vt:lpstr>'Div 3'!OSRRefE21_7x_3</vt:lpstr>
      <vt:lpstr>'Div 4'!OSRRefE21_7x_3</vt:lpstr>
      <vt:lpstr>'Div 5'!OSRRefE21_7x_3</vt:lpstr>
      <vt:lpstr>'Div 6'!OSRRefE21_7x_3</vt:lpstr>
      <vt:lpstr>Summary!OSRRefE21_7x_3</vt:lpstr>
      <vt:lpstr>'201'!OSRRefE21_7x_4</vt:lpstr>
      <vt:lpstr>'202'!OSRRefE21_7x_4</vt:lpstr>
      <vt:lpstr>'203'!OSRRefE21_7x_4</vt:lpstr>
      <vt:lpstr>'204'!OSRRefE21_7x_4</vt:lpstr>
      <vt:lpstr>'205'!OSRRefE21_7x_4</vt:lpstr>
      <vt:lpstr>'300'!OSRRefE21_7x_4</vt:lpstr>
      <vt:lpstr>'300 &amp; 317'!OSRRefE21_7x_4</vt:lpstr>
      <vt:lpstr>'301'!OSRRefE21_7x_4</vt:lpstr>
      <vt:lpstr>'307'!OSRRefE21_7x_4</vt:lpstr>
      <vt:lpstr>'308'!OSRRefE21_7x_4</vt:lpstr>
      <vt:lpstr>'309'!OSRRefE21_7x_4</vt:lpstr>
      <vt:lpstr>'310'!OSRRefE21_7x_4</vt:lpstr>
      <vt:lpstr>'310 &amp; 491'!OSRRefE21_7x_4</vt:lpstr>
      <vt:lpstr>'311'!OSRRefE21_7x_4</vt:lpstr>
      <vt:lpstr>'313'!OSRRefE21_7x_4</vt:lpstr>
      <vt:lpstr>'315'!OSRRefE21_7x_4</vt:lpstr>
      <vt:lpstr>'316'!OSRRefE21_7x_4</vt:lpstr>
      <vt:lpstr>'317'!OSRRefE21_7x_4</vt:lpstr>
      <vt:lpstr>'321'!OSRRefE21_7x_4</vt:lpstr>
      <vt:lpstr>'322'!OSRRefE21_7x_4</vt:lpstr>
      <vt:lpstr>'325'!OSRRefE21_7x_4</vt:lpstr>
      <vt:lpstr>'326'!OSRRefE21_7x_4</vt:lpstr>
      <vt:lpstr>'330'!OSRRefE21_7x_4</vt:lpstr>
      <vt:lpstr>'331'!OSRRefE21_7x_4</vt:lpstr>
      <vt:lpstr>'332'!OSRRefE21_7x_4</vt:lpstr>
      <vt:lpstr>'405'!OSRRefE21_7x_4</vt:lpstr>
      <vt:lpstr>'411'!OSRRefE21_7x_4</vt:lpstr>
      <vt:lpstr>'412'!OSRRefE21_7x_4</vt:lpstr>
      <vt:lpstr>'413'!OSRRefE21_7x_4</vt:lpstr>
      <vt:lpstr>'414'!OSRRefE21_7x_4</vt:lpstr>
      <vt:lpstr>'415'!OSRRefE21_7x_4</vt:lpstr>
      <vt:lpstr>'418'!OSRRefE21_7x_4</vt:lpstr>
      <vt:lpstr>'430'!OSRRefE21_7x_4</vt:lpstr>
      <vt:lpstr>'433'!OSRRefE21_7x_4</vt:lpstr>
      <vt:lpstr>'444'!OSRRefE21_7x_4</vt:lpstr>
      <vt:lpstr>'450'!OSRRefE21_7x_4</vt:lpstr>
      <vt:lpstr>'491'!OSRRefE21_7x_4</vt:lpstr>
      <vt:lpstr>'492'!OSRRefE21_7x_4</vt:lpstr>
      <vt:lpstr>'501'!OSRRefE21_7x_4</vt:lpstr>
      <vt:lpstr>'Div 2'!OSRRefE21_7x_4</vt:lpstr>
      <vt:lpstr>'Div 3'!OSRRefE21_7x_4</vt:lpstr>
      <vt:lpstr>'Div 4'!OSRRefE21_7x_4</vt:lpstr>
      <vt:lpstr>'Div 5'!OSRRefE21_7x_4</vt:lpstr>
      <vt:lpstr>'Div 6'!OSRRefE21_7x_4</vt:lpstr>
      <vt:lpstr>Summary!OSRRefE21_7x_4</vt:lpstr>
      <vt:lpstr>'201'!OSRRefE21_7x_5</vt:lpstr>
      <vt:lpstr>'202'!OSRRefE21_7x_5</vt:lpstr>
      <vt:lpstr>'203'!OSRRefE21_7x_5</vt:lpstr>
      <vt:lpstr>'204'!OSRRefE21_7x_5</vt:lpstr>
      <vt:lpstr>'205'!OSRRefE21_7x_5</vt:lpstr>
      <vt:lpstr>'300'!OSRRefE21_7x_5</vt:lpstr>
      <vt:lpstr>'300 &amp; 317'!OSRRefE21_7x_5</vt:lpstr>
      <vt:lpstr>'301'!OSRRefE21_7x_5</vt:lpstr>
      <vt:lpstr>'307'!OSRRefE21_7x_5</vt:lpstr>
      <vt:lpstr>'308'!OSRRefE21_7x_5</vt:lpstr>
      <vt:lpstr>'309'!OSRRefE21_7x_5</vt:lpstr>
      <vt:lpstr>'310'!OSRRefE21_7x_5</vt:lpstr>
      <vt:lpstr>'310 &amp; 491'!OSRRefE21_7x_5</vt:lpstr>
      <vt:lpstr>'311'!OSRRefE21_7x_5</vt:lpstr>
      <vt:lpstr>'313'!OSRRefE21_7x_5</vt:lpstr>
      <vt:lpstr>'315'!OSRRefE21_7x_5</vt:lpstr>
      <vt:lpstr>'316'!OSRRefE21_7x_5</vt:lpstr>
      <vt:lpstr>'317'!OSRRefE21_7x_5</vt:lpstr>
      <vt:lpstr>'321'!OSRRefE21_7x_5</vt:lpstr>
      <vt:lpstr>'322'!OSRRefE21_7x_5</vt:lpstr>
      <vt:lpstr>'325'!OSRRefE21_7x_5</vt:lpstr>
      <vt:lpstr>'326'!OSRRefE21_7x_5</vt:lpstr>
      <vt:lpstr>'330'!OSRRefE21_7x_5</vt:lpstr>
      <vt:lpstr>'331'!OSRRefE21_7x_5</vt:lpstr>
      <vt:lpstr>'332'!OSRRefE21_7x_5</vt:lpstr>
      <vt:lpstr>'405'!OSRRefE21_7x_5</vt:lpstr>
      <vt:lpstr>'411'!OSRRefE21_7x_5</vt:lpstr>
      <vt:lpstr>'412'!OSRRefE21_7x_5</vt:lpstr>
      <vt:lpstr>'413'!OSRRefE21_7x_5</vt:lpstr>
      <vt:lpstr>'414'!OSRRefE21_7x_5</vt:lpstr>
      <vt:lpstr>'415'!OSRRefE21_7x_5</vt:lpstr>
      <vt:lpstr>'418'!OSRRefE21_7x_5</vt:lpstr>
      <vt:lpstr>'430'!OSRRefE21_7x_5</vt:lpstr>
      <vt:lpstr>'433'!OSRRefE21_7x_5</vt:lpstr>
      <vt:lpstr>'444'!OSRRefE21_7x_5</vt:lpstr>
      <vt:lpstr>'450'!OSRRefE21_7x_5</vt:lpstr>
      <vt:lpstr>'491'!OSRRefE21_7x_5</vt:lpstr>
      <vt:lpstr>'492'!OSRRefE21_7x_5</vt:lpstr>
      <vt:lpstr>'501'!OSRRefE21_7x_5</vt:lpstr>
      <vt:lpstr>'Div 2'!OSRRefE21_7x_5</vt:lpstr>
      <vt:lpstr>'Div 3'!OSRRefE21_7x_5</vt:lpstr>
      <vt:lpstr>'Div 4'!OSRRefE21_7x_5</vt:lpstr>
      <vt:lpstr>'Div 5'!OSRRefE21_7x_5</vt:lpstr>
      <vt:lpstr>'Div 6'!OSRRefE21_7x_5</vt:lpstr>
      <vt:lpstr>Summary!OSRRefE21_7x_5</vt:lpstr>
      <vt:lpstr>'201'!OSRRefE21_7x_6</vt:lpstr>
      <vt:lpstr>'202'!OSRRefE21_7x_6</vt:lpstr>
      <vt:lpstr>'203'!OSRRefE21_7x_6</vt:lpstr>
      <vt:lpstr>'204'!OSRRefE21_7x_6</vt:lpstr>
      <vt:lpstr>'205'!OSRRefE21_7x_6</vt:lpstr>
      <vt:lpstr>'300'!OSRRefE21_7x_6</vt:lpstr>
      <vt:lpstr>'300 &amp; 317'!OSRRefE21_7x_6</vt:lpstr>
      <vt:lpstr>'301'!OSRRefE21_7x_6</vt:lpstr>
      <vt:lpstr>'307'!OSRRefE21_7x_6</vt:lpstr>
      <vt:lpstr>'308'!OSRRefE21_7x_6</vt:lpstr>
      <vt:lpstr>'309'!OSRRefE21_7x_6</vt:lpstr>
      <vt:lpstr>'310'!OSRRefE21_7x_6</vt:lpstr>
      <vt:lpstr>'310 &amp; 491'!OSRRefE21_7x_6</vt:lpstr>
      <vt:lpstr>'311'!OSRRefE21_7x_6</vt:lpstr>
      <vt:lpstr>'313'!OSRRefE21_7x_6</vt:lpstr>
      <vt:lpstr>'315'!OSRRefE21_7x_6</vt:lpstr>
      <vt:lpstr>'316'!OSRRefE21_7x_6</vt:lpstr>
      <vt:lpstr>'317'!OSRRefE21_7x_6</vt:lpstr>
      <vt:lpstr>'321'!OSRRefE21_7x_6</vt:lpstr>
      <vt:lpstr>'322'!OSRRefE21_7x_6</vt:lpstr>
      <vt:lpstr>'325'!OSRRefE21_7x_6</vt:lpstr>
      <vt:lpstr>'326'!OSRRefE21_7x_6</vt:lpstr>
      <vt:lpstr>'330'!OSRRefE21_7x_6</vt:lpstr>
      <vt:lpstr>'331'!OSRRefE21_7x_6</vt:lpstr>
      <vt:lpstr>'332'!OSRRefE21_7x_6</vt:lpstr>
      <vt:lpstr>'405'!OSRRefE21_7x_6</vt:lpstr>
      <vt:lpstr>'411'!OSRRefE21_7x_6</vt:lpstr>
      <vt:lpstr>'412'!OSRRefE21_7x_6</vt:lpstr>
      <vt:lpstr>'413'!OSRRefE21_7x_6</vt:lpstr>
      <vt:lpstr>'414'!OSRRefE21_7x_6</vt:lpstr>
      <vt:lpstr>'415'!OSRRefE21_7x_6</vt:lpstr>
      <vt:lpstr>'418'!OSRRefE21_7x_6</vt:lpstr>
      <vt:lpstr>'430'!OSRRefE21_7x_6</vt:lpstr>
      <vt:lpstr>'433'!OSRRefE21_7x_6</vt:lpstr>
      <vt:lpstr>'444'!OSRRefE21_7x_6</vt:lpstr>
      <vt:lpstr>'450'!OSRRefE21_7x_6</vt:lpstr>
      <vt:lpstr>'491'!OSRRefE21_7x_6</vt:lpstr>
      <vt:lpstr>'492'!OSRRefE21_7x_6</vt:lpstr>
      <vt:lpstr>'501'!OSRRefE21_7x_6</vt:lpstr>
      <vt:lpstr>'Div 2'!OSRRefE21_7x_6</vt:lpstr>
      <vt:lpstr>'Div 3'!OSRRefE21_7x_6</vt:lpstr>
      <vt:lpstr>'Div 4'!OSRRefE21_7x_6</vt:lpstr>
      <vt:lpstr>'Div 5'!OSRRefE21_7x_6</vt:lpstr>
      <vt:lpstr>'Div 6'!OSRRefE21_7x_6</vt:lpstr>
      <vt:lpstr>Summary!OSRRefE21_7x_6</vt:lpstr>
      <vt:lpstr>'201'!OSRRefE21_7x_7</vt:lpstr>
      <vt:lpstr>'202'!OSRRefE21_7x_7</vt:lpstr>
      <vt:lpstr>'203'!OSRRefE21_7x_7</vt:lpstr>
      <vt:lpstr>'204'!OSRRefE21_7x_7</vt:lpstr>
      <vt:lpstr>'205'!OSRRefE21_7x_7</vt:lpstr>
      <vt:lpstr>'300'!OSRRefE21_7x_7</vt:lpstr>
      <vt:lpstr>'300 &amp; 317'!OSRRefE21_7x_7</vt:lpstr>
      <vt:lpstr>'301'!OSRRefE21_7x_7</vt:lpstr>
      <vt:lpstr>'307'!OSRRefE21_7x_7</vt:lpstr>
      <vt:lpstr>'308'!OSRRefE21_7x_7</vt:lpstr>
      <vt:lpstr>'309'!OSRRefE21_7x_7</vt:lpstr>
      <vt:lpstr>'310'!OSRRefE21_7x_7</vt:lpstr>
      <vt:lpstr>'310 &amp; 491'!OSRRefE21_7x_7</vt:lpstr>
      <vt:lpstr>'311'!OSRRefE21_7x_7</vt:lpstr>
      <vt:lpstr>'313'!OSRRefE21_7x_7</vt:lpstr>
      <vt:lpstr>'315'!OSRRefE21_7x_7</vt:lpstr>
      <vt:lpstr>'316'!OSRRefE21_7x_7</vt:lpstr>
      <vt:lpstr>'317'!OSRRefE21_7x_7</vt:lpstr>
      <vt:lpstr>'321'!OSRRefE21_7x_7</vt:lpstr>
      <vt:lpstr>'322'!OSRRefE21_7x_7</vt:lpstr>
      <vt:lpstr>'325'!OSRRefE21_7x_7</vt:lpstr>
      <vt:lpstr>'326'!OSRRefE21_7x_7</vt:lpstr>
      <vt:lpstr>'330'!OSRRefE21_7x_7</vt:lpstr>
      <vt:lpstr>'331'!OSRRefE21_7x_7</vt:lpstr>
      <vt:lpstr>'332'!OSRRefE21_7x_7</vt:lpstr>
      <vt:lpstr>'405'!OSRRefE21_7x_7</vt:lpstr>
      <vt:lpstr>'411'!OSRRefE21_7x_7</vt:lpstr>
      <vt:lpstr>'412'!OSRRefE21_7x_7</vt:lpstr>
      <vt:lpstr>'413'!OSRRefE21_7x_7</vt:lpstr>
      <vt:lpstr>'414'!OSRRefE21_7x_7</vt:lpstr>
      <vt:lpstr>'415'!OSRRefE21_7x_7</vt:lpstr>
      <vt:lpstr>'418'!OSRRefE21_7x_7</vt:lpstr>
      <vt:lpstr>'430'!OSRRefE21_7x_7</vt:lpstr>
      <vt:lpstr>'433'!OSRRefE21_7x_7</vt:lpstr>
      <vt:lpstr>'444'!OSRRefE21_7x_7</vt:lpstr>
      <vt:lpstr>'450'!OSRRefE21_7x_7</vt:lpstr>
      <vt:lpstr>'491'!OSRRefE21_7x_7</vt:lpstr>
      <vt:lpstr>'492'!OSRRefE21_7x_7</vt:lpstr>
      <vt:lpstr>'501'!OSRRefE21_7x_7</vt:lpstr>
      <vt:lpstr>'Div 2'!OSRRefE21_7x_7</vt:lpstr>
      <vt:lpstr>'Div 3'!OSRRefE21_7x_7</vt:lpstr>
      <vt:lpstr>'Div 4'!OSRRefE21_7x_7</vt:lpstr>
      <vt:lpstr>'Div 5'!OSRRefE21_7x_7</vt:lpstr>
      <vt:lpstr>'Div 6'!OSRRefE21_7x_7</vt:lpstr>
      <vt:lpstr>Summary!OSRRefE21_7x_7</vt:lpstr>
      <vt:lpstr>'201'!OSRRefE21_8_0x</vt:lpstr>
      <vt:lpstr>'202'!OSRRefE21_8_0x</vt:lpstr>
      <vt:lpstr>'203'!OSRRefE21_8_0x</vt:lpstr>
      <vt:lpstr>'204'!OSRRefE21_8_0x</vt:lpstr>
      <vt:lpstr>'300'!OSRRefE21_8_0x</vt:lpstr>
      <vt:lpstr>'300 &amp; 317'!OSRRefE21_8_0x</vt:lpstr>
      <vt:lpstr>'301'!OSRRefE21_8_0x</vt:lpstr>
      <vt:lpstr>'307'!OSRRefE21_8_0x</vt:lpstr>
      <vt:lpstr>'308'!OSRRefE21_8_0x</vt:lpstr>
      <vt:lpstr>'309'!OSRRefE21_8_0x</vt:lpstr>
      <vt:lpstr>'310'!OSRRefE21_8_0x</vt:lpstr>
      <vt:lpstr>'310 &amp; 491'!OSRRefE21_8_0x</vt:lpstr>
      <vt:lpstr>'311'!OSRRefE21_8_0x</vt:lpstr>
      <vt:lpstr>'315'!OSRRefE21_8_0x</vt:lpstr>
      <vt:lpstr>'316'!OSRRefE21_8_0x</vt:lpstr>
      <vt:lpstr>'317'!OSRRefE21_8_0x</vt:lpstr>
      <vt:lpstr>'321'!OSRRefE21_8_0x</vt:lpstr>
      <vt:lpstr>'322'!OSRRefE21_8_0x</vt:lpstr>
      <vt:lpstr>'325'!OSRRefE21_8_0x</vt:lpstr>
      <vt:lpstr>'326'!OSRRefE21_8_0x</vt:lpstr>
      <vt:lpstr>'330'!OSRRefE21_8_0x</vt:lpstr>
      <vt:lpstr>'331'!OSRRefE21_8_0x</vt:lpstr>
      <vt:lpstr>'332'!OSRRefE21_8_0x</vt:lpstr>
      <vt:lpstr>'405'!OSRRefE21_8_0x</vt:lpstr>
      <vt:lpstr>'411'!OSRRefE21_8_0x</vt:lpstr>
      <vt:lpstr>'412'!OSRRefE21_8_0x</vt:lpstr>
      <vt:lpstr>'413'!OSRRefE21_8_0x</vt:lpstr>
      <vt:lpstr>'414'!OSRRefE21_8_0x</vt:lpstr>
      <vt:lpstr>'415'!OSRRefE21_8_0x</vt:lpstr>
      <vt:lpstr>'418'!OSRRefE21_8_0x</vt:lpstr>
      <vt:lpstr>'433'!OSRRefE21_8_0x</vt:lpstr>
      <vt:lpstr>'444'!OSRRefE21_8_0x</vt:lpstr>
      <vt:lpstr>'450'!OSRRefE21_8_0x</vt:lpstr>
      <vt:lpstr>'491'!OSRRefE21_8_0x</vt:lpstr>
      <vt:lpstr>'492'!OSRRefE21_8_0x</vt:lpstr>
      <vt:lpstr>'501'!OSRRefE21_8_0x</vt:lpstr>
      <vt:lpstr>'Div 2'!OSRRefE21_8_0x</vt:lpstr>
      <vt:lpstr>'Div 3'!OSRRefE21_8_0x</vt:lpstr>
      <vt:lpstr>'Div 4'!OSRRefE21_8_0x</vt:lpstr>
      <vt:lpstr>'Div 5'!OSRRefE21_8_0x</vt:lpstr>
      <vt:lpstr>'Div 6'!OSRRefE21_8_0x</vt:lpstr>
      <vt:lpstr>Summary!OSRRefE21_8_0x</vt:lpstr>
      <vt:lpstr>'203'!OSRRefE21_8_1x</vt:lpstr>
      <vt:lpstr>'307'!OSRRefE21_8_1x</vt:lpstr>
      <vt:lpstr>'310 &amp; 491'!OSRRefE21_8_1x</vt:lpstr>
      <vt:lpstr>'321'!OSRRefE21_8_1x</vt:lpstr>
      <vt:lpstr>'322'!OSRRefE21_8_1x</vt:lpstr>
      <vt:lpstr>'330'!OSRRefE21_8_1x</vt:lpstr>
      <vt:lpstr>'412'!OSRRefE21_8_1x</vt:lpstr>
      <vt:lpstr>'413'!OSRRefE21_8_1x</vt:lpstr>
      <vt:lpstr>'414'!OSRRefE21_8_1x</vt:lpstr>
      <vt:lpstr>'418'!OSRRefE21_8_1x</vt:lpstr>
      <vt:lpstr>'203'!OSRRefE21_8_2x</vt:lpstr>
      <vt:lpstr>'322'!OSRRefE21_8_2x</vt:lpstr>
      <vt:lpstr>'413'!OSRRefE21_8_2x</vt:lpstr>
      <vt:lpstr>'322'!OSRRefE21_8_3x</vt:lpstr>
      <vt:lpstr>'201'!OSRRefE21_8x_0</vt:lpstr>
      <vt:lpstr>'202'!OSRRefE21_8x_0</vt:lpstr>
      <vt:lpstr>'203'!OSRRefE21_8x_0</vt:lpstr>
      <vt:lpstr>'204'!OSRRefE21_8x_0</vt:lpstr>
      <vt:lpstr>'300'!OSRRefE21_8x_0</vt:lpstr>
      <vt:lpstr>'300 &amp; 317'!OSRRefE21_8x_0</vt:lpstr>
      <vt:lpstr>'301'!OSRRefE21_8x_0</vt:lpstr>
      <vt:lpstr>'307'!OSRRefE21_8x_0</vt:lpstr>
      <vt:lpstr>'308'!OSRRefE21_8x_0</vt:lpstr>
      <vt:lpstr>'309'!OSRRefE21_8x_0</vt:lpstr>
      <vt:lpstr>'310'!OSRRefE21_8x_0</vt:lpstr>
      <vt:lpstr>'310 &amp; 491'!OSRRefE21_8x_0</vt:lpstr>
      <vt:lpstr>'311'!OSRRefE21_8x_0</vt:lpstr>
      <vt:lpstr>'315'!OSRRefE21_8x_0</vt:lpstr>
      <vt:lpstr>'316'!OSRRefE21_8x_0</vt:lpstr>
      <vt:lpstr>'317'!OSRRefE21_8x_0</vt:lpstr>
      <vt:lpstr>'321'!OSRRefE21_8x_0</vt:lpstr>
      <vt:lpstr>'322'!OSRRefE21_8x_0</vt:lpstr>
      <vt:lpstr>'325'!OSRRefE21_8x_0</vt:lpstr>
      <vt:lpstr>'326'!OSRRefE21_8x_0</vt:lpstr>
      <vt:lpstr>'330'!OSRRefE21_8x_0</vt:lpstr>
      <vt:lpstr>'331'!OSRRefE21_8x_0</vt:lpstr>
      <vt:lpstr>'332'!OSRRefE21_8x_0</vt:lpstr>
      <vt:lpstr>'405'!OSRRefE21_8x_0</vt:lpstr>
      <vt:lpstr>'411'!OSRRefE21_8x_0</vt:lpstr>
      <vt:lpstr>'412'!OSRRefE21_8x_0</vt:lpstr>
      <vt:lpstr>'413'!OSRRefE21_8x_0</vt:lpstr>
      <vt:lpstr>'414'!OSRRefE21_8x_0</vt:lpstr>
      <vt:lpstr>'415'!OSRRefE21_8x_0</vt:lpstr>
      <vt:lpstr>'418'!OSRRefE21_8x_0</vt:lpstr>
      <vt:lpstr>'433'!OSRRefE21_8x_0</vt:lpstr>
      <vt:lpstr>'444'!OSRRefE21_8x_0</vt:lpstr>
      <vt:lpstr>'450'!OSRRefE21_8x_0</vt:lpstr>
      <vt:lpstr>'491'!OSRRefE21_8x_0</vt:lpstr>
      <vt:lpstr>'492'!OSRRefE21_8x_0</vt:lpstr>
      <vt:lpstr>'501'!OSRRefE21_8x_0</vt:lpstr>
      <vt:lpstr>'Div 2'!OSRRefE21_8x_0</vt:lpstr>
      <vt:lpstr>'Div 3'!OSRRefE21_8x_0</vt:lpstr>
      <vt:lpstr>'Div 4'!OSRRefE21_8x_0</vt:lpstr>
      <vt:lpstr>'Div 5'!OSRRefE21_8x_0</vt:lpstr>
      <vt:lpstr>'Div 6'!OSRRefE21_8x_0</vt:lpstr>
      <vt:lpstr>Summary!OSRRefE21_8x_0</vt:lpstr>
      <vt:lpstr>'201'!OSRRefE21_8x_1</vt:lpstr>
      <vt:lpstr>'202'!OSRRefE21_8x_1</vt:lpstr>
      <vt:lpstr>'203'!OSRRefE21_8x_1</vt:lpstr>
      <vt:lpstr>'204'!OSRRefE21_8x_1</vt:lpstr>
      <vt:lpstr>'300'!OSRRefE21_8x_1</vt:lpstr>
      <vt:lpstr>'300 &amp; 317'!OSRRefE21_8x_1</vt:lpstr>
      <vt:lpstr>'301'!OSRRefE21_8x_1</vt:lpstr>
      <vt:lpstr>'307'!OSRRefE21_8x_1</vt:lpstr>
      <vt:lpstr>'308'!OSRRefE21_8x_1</vt:lpstr>
      <vt:lpstr>'309'!OSRRefE21_8x_1</vt:lpstr>
      <vt:lpstr>'310'!OSRRefE21_8x_1</vt:lpstr>
      <vt:lpstr>'310 &amp; 491'!OSRRefE21_8x_1</vt:lpstr>
      <vt:lpstr>'311'!OSRRefE21_8x_1</vt:lpstr>
      <vt:lpstr>'315'!OSRRefE21_8x_1</vt:lpstr>
      <vt:lpstr>'316'!OSRRefE21_8x_1</vt:lpstr>
      <vt:lpstr>'317'!OSRRefE21_8x_1</vt:lpstr>
      <vt:lpstr>'321'!OSRRefE21_8x_1</vt:lpstr>
      <vt:lpstr>'322'!OSRRefE21_8x_1</vt:lpstr>
      <vt:lpstr>'325'!OSRRefE21_8x_1</vt:lpstr>
      <vt:lpstr>'326'!OSRRefE21_8x_1</vt:lpstr>
      <vt:lpstr>'330'!OSRRefE21_8x_1</vt:lpstr>
      <vt:lpstr>'331'!OSRRefE21_8x_1</vt:lpstr>
      <vt:lpstr>'332'!OSRRefE21_8x_1</vt:lpstr>
      <vt:lpstr>'405'!OSRRefE21_8x_1</vt:lpstr>
      <vt:lpstr>'411'!OSRRefE21_8x_1</vt:lpstr>
      <vt:lpstr>'412'!OSRRefE21_8x_1</vt:lpstr>
      <vt:lpstr>'413'!OSRRefE21_8x_1</vt:lpstr>
      <vt:lpstr>'414'!OSRRefE21_8x_1</vt:lpstr>
      <vt:lpstr>'415'!OSRRefE21_8x_1</vt:lpstr>
      <vt:lpstr>'418'!OSRRefE21_8x_1</vt:lpstr>
      <vt:lpstr>'433'!OSRRefE21_8x_1</vt:lpstr>
      <vt:lpstr>'444'!OSRRefE21_8x_1</vt:lpstr>
      <vt:lpstr>'450'!OSRRefE21_8x_1</vt:lpstr>
      <vt:lpstr>'491'!OSRRefE21_8x_1</vt:lpstr>
      <vt:lpstr>'492'!OSRRefE21_8x_1</vt:lpstr>
      <vt:lpstr>'501'!OSRRefE21_8x_1</vt:lpstr>
      <vt:lpstr>'Div 2'!OSRRefE21_8x_1</vt:lpstr>
      <vt:lpstr>'Div 3'!OSRRefE21_8x_1</vt:lpstr>
      <vt:lpstr>'Div 4'!OSRRefE21_8x_1</vt:lpstr>
      <vt:lpstr>'Div 5'!OSRRefE21_8x_1</vt:lpstr>
      <vt:lpstr>'Div 6'!OSRRefE21_8x_1</vt:lpstr>
      <vt:lpstr>Summary!OSRRefE21_8x_1</vt:lpstr>
      <vt:lpstr>'201'!OSRRefE21_8x_2</vt:lpstr>
      <vt:lpstr>'202'!OSRRefE21_8x_2</vt:lpstr>
      <vt:lpstr>'203'!OSRRefE21_8x_2</vt:lpstr>
      <vt:lpstr>'204'!OSRRefE21_8x_2</vt:lpstr>
      <vt:lpstr>'300'!OSRRefE21_8x_2</vt:lpstr>
      <vt:lpstr>'300 &amp; 317'!OSRRefE21_8x_2</vt:lpstr>
      <vt:lpstr>'301'!OSRRefE21_8x_2</vt:lpstr>
      <vt:lpstr>'307'!OSRRefE21_8x_2</vt:lpstr>
      <vt:lpstr>'308'!OSRRefE21_8x_2</vt:lpstr>
      <vt:lpstr>'309'!OSRRefE21_8x_2</vt:lpstr>
      <vt:lpstr>'310'!OSRRefE21_8x_2</vt:lpstr>
      <vt:lpstr>'310 &amp; 491'!OSRRefE21_8x_2</vt:lpstr>
      <vt:lpstr>'311'!OSRRefE21_8x_2</vt:lpstr>
      <vt:lpstr>'315'!OSRRefE21_8x_2</vt:lpstr>
      <vt:lpstr>'316'!OSRRefE21_8x_2</vt:lpstr>
      <vt:lpstr>'317'!OSRRefE21_8x_2</vt:lpstr>
      <vt:lpstr>'321'!OSRRefE21_8x_2</vt:lpstr>
      <vt:lpstr>'322'!OSRRefE21_8x_2</vt:lpstr>
      <vt:lpstr>'325'!OSRRefE21_8x_2</vt:lpstr>
      <vt:lpstr>'326'!OSRRefE21_8x_2</vt:lpstr>
      <vt:lpstr>'330'!OSRRefE21_8x_2</vt:lpstr>
      <vt:lpstr>'331'!OSRRefE21_8x_2</vt:lpstr>
      <vt:lpstr>'332'!OSRRefE21_8x_2</vt:lpstr>
      <vt:lpstr>'405'!OSRRefE21_8x_2</vt:lpstr>
      <vt:lpstr>'411'!OSRRefE21_8x_2</vt:lpstr>
      <vt:lpstr>'412'!OSRRefE21_8x_2</vt:lpstr>
      <vt:lpstr>'413'!OSRRefE21_8x_2</vt:lpstr>
      <vt:lpstr>'414'!OSRRefE21_8x_2</vt:lpstr>
      <vt:lpstr>'415'!OSRRefE21_8x_2</vt:lpstr>
      <vt:lpstr>'418'!OSRRefE21_8x_2</vt:lpstr>
      <vt:lpstr>'433'!OSRRefE21_8x_2</vt:lpstr>
      <vt:lpstr>'444'!OSRRefE21_8x_2</vt:lpstr>
      <vt:lpstr>'450'!OSRRefE21_8x_2</vt:lpstr>
      <vt:lpstr>'491'!OSRRefE21_8x_2</vt:lpstr>
      <vt:lpstr>'492'!OSRRefE21_8x_2</vt:lpstr>
      <vt:lpstr>'501'!OSRRefE21_8x_2</vt:lpstr>
      <vt:lpstr>'Div 2'!OSRRefE21_8x_2</vt:lpstr>
      <vt:lpstr>'Div 3'!OSRRefE21_8x_2</vt:lpstr>
      <vt:lpstr>'Div 4'!OSRRefE21_8x_2</vt:lpstr>
      <vt:lpstr>'Div 5'!OSRRefE21_8x_2</vt:lpstr>
      <vt:lpstr>'Div 6'!OSRRefE21_8x_2</vt:lpstr>
      <vt:lpstr>Summary!OSRRefE21_8x_2</vt:lpstr>
      <vt:lpstr>'201'!OSRRefE21_8x_3</vt:lpstr>
      <vt:lpstr>'202'!OSRRefE21_8x_3</vt:lpstr>
      <vt:lpstr>'203'!OSRRefE21_8x_3</vt:lpstr>
      <vt:lpstr>'204'!OSRRefE21_8x_3</vt:lpstr>
      <vt:lpstr>'300'!OSRRefE21_8x_3</vt:lpstr>
      <vt:lpstr>'300 &amp; 317'!OSRRefE21_8x_3</vt:lpstr>
      <vt:lpstr>'301'!OSRRefE21_8x_3</vt:lpstr>
      <vt:lpstr>'307'!OSRRefE21_8x_3</vt:lpstr>
      <vt:lpstr>'308'!OSRRefE21_8x_3</vt:lpstr>
      <vt:lpstr>'309'!OSRRefE21_8x_3</vt:lpstr>
      <vt:lpstr>'310'!OSRRefE21_8x_3</vt:lpstr>
      <vt:lpstr>'310 &amp; 491'!OSRRefE21_8x_3</vt:lpstr>
      <vt:lpstr>'311'!OSRRefE21_8x_3</vt:lpstr>
      <vt:lpstr>'315'!OSRRefE21_8x_3</vt:lpstr>
      <vt:lpstr>'316'!OSRRefE21_8x_3</vt:lpstr>
      <vt:lpstr>'317'!OSRRefE21_8x_3</vt:lpstr>
      <vt:lpstr>'321'!OSRRefE21_8x_3</vt:lpstr>
      <vt:lpstr>'322'!OSRRefE21_8x_3</vt:lpstr>
      <vt:lpstr>'325'!OSRRefE21_8x_3</vt:lpstr>
      <vt:lpstr>'326'!OSRRefE21_8x_3</vt:lpstr>
      <vt:lpstr>'330'!OSRRefE21_8x_3</vt:lpstr>
      <vt:lpstr>'331'!OSRRefE21_8x_3</vt:lpstr>
      <vt:lpstr>'332'!OSRRefE21_8x_3</vt:lpstr>
      <vt:lpstr>'405'!OSRRefE21_8x_3</vt:lpstr>
      <vt:lpstr>'411'!OSRRefE21_8x_3</vt:lpstr>
      <vt:lpstr>'412'!OSRRefE21_8x_3</vt:lpstr>
      <vt:lpstr>'413'!OSRRefE21_8x_3</vt:lpstr>
      <vt:lpstr>'414'!OSRRefE21_8x_3</vt:lpstr>
      <vt:lpstr>'415'!OSRRefE21_8x_3</vt:lpstr>
      <vt:lpstr>'418'!OSRRefE21_8x_3</vt:lpstr>
      <vt:lpstr>'433'!OSRRefE21_8x_3</vt:lpstr>
      <vt:lpstr>'444'!OSRRefE21_8x_3</vt:lpstr>
      <vt:lpstr>'450'!OSRRefE21_8x_3</vt:lpstr>
      <vt:lpstr>'491'!OSRRefE21_8x_3</vt:lpstr>
      <vt:lpstr>'492'!OSRRefE21_8x_3</vt:lpstr>
      <vt:lpstr>'501'!OSRRefE21_8x_3</vt:lpstr>
      <vt:lpstr>'Div 2'!OSRRefE21_8x_3</vt:lpstr>
      <vt:lpstr>'Div 3'!OSRRefE21_8x_3</vt:lpstr>
      <vt:lpstr>'Div 4'!OSRRefE21_8x_3</vt:lpstr>
      <vt:lpstr>'Div 5'!OSRRefE21_8x_3</vt:lpstr>
      <vt:lpstr>'Div 6'!OSRRefE21_8x_3</vt:lpstr>
      <vt:lpstr>Summary!OSRRefE21_8x_3</vt:lpstr>
      <vt:lpstr>'201'!OSRRefE21_8x_4</vt:lpstr>
      <vt:lpstr>'202'!OSRRefE21_8x_4</vt:lpstr>
      <vt:lpstr>'203'!OSRRefE21_8x_4</vt:lpstr>
      <vt:lpstr>'204'!OSRRefE21_8x_4</vt:lpstr>
      <vt:lpstr>'300'!OSRRefE21_8x_4</vt:lpstr>
      <vt:lpstr>'300 &amp; 317'!OSRRefE21_8x_4</vt:lpstr>
      <vt:lpstr>'301'!OSRRefE21_8x_4</vt:lpstr>
      <vt:lpstr>'307'!OSRRefE21_8x_4</vt:lpstr>
      <vt:lpstr>'308'!OSRRefE21_8x_4</vt:lpstr>
      <vt:lpstr>'309'!OSRRefE21_8x_4</vt:lpstr>
      <vt:lpstr>'310'!OSRRefE21_8x_4</vt:lpstr>
      <vt:lpstr>'310 &amp; 491'!OSRRefE21_8x_4</vt:lpstr>
      <vt:lpstr>'311'!OSRRefE21_8x_4</vt:lpstr>
      <vt:lpstr>'315'!OSRRefE21_8x_4</vt:lpstr>
      <vt:lpstr>'316'!OSRRefE21_8x_4</vt:lpstr>
      <vt:lpstr>'317'!OSRRefE21_8x_4</vt:lpstr>
      <vt:lpstr>'321'!OSRRefE21_8x_4</vt:lpstr>
      <vt:lpstr>'322'!OSRRefE21_8x_4</vt:lpstr>
      <vt:lpstr>'325'!OSRRefE21_8x_4</vt:lpstr>
      <vt:lpstr>'326'!OSRRefE21_8x_4</vt:lpstr>
      <vt:lpstr>'330'!OSRRefE21_8x_4</vt:lpstr>
      <vt:lpstr>'331'!OSRRefE21_8x_4</vt:lpstr>
      <vt:lpstr>'332'!OSRRefE21_8x_4</vt:lpstr>
      <vt:lpstr>'405'!OSRRefE21_8x_4</vt:lpstr>
      <vt:lpstr>'411'!OSRRefE21_8x_4</vt:lpstr>
      <vt:lpstr>'412'!OSRRefE21_8x_4</vt:lpstr>
      <vt:lpstr>'413'!OSRRefE21_8x_4</vt:lpstr>
      <vt:lpstr>'414'!OSRRefE21_8x_4</vt:lpstr>
      <vt:lpstr>'415'!OSRRefE21_8x_4</vt:lpstr>
      <vt:lpstr>'418'!OSRRefE21_8x_4</vt:lpstr>
      <vt:lpstr>'433'!OSRRefE21_8x_4</vt:lpstr>
      <vt:lpstr>'444'!OSRRefE21_8x_4</vt:lpstr>
      <vt:lpstr>'450'!OSRRefE21_8x_4</vt:lpstr>
      <vt:lpstr>'491'!OSRRefE21_8x_4</vt:lpstr>
      <vt:lpstr>'492'!OSRRefE21_8x_4</vt:lpstr>
      <vt:lpstr>'501'!OSRRefE21_8x_4</vt:lpstr>
      <vt:lpstr>'Div 2'!OSRRefE21_8x_4</vt:lpstr>
      <vt:lpstr>'Div 3'!OSRRefE21_8x_4</vt:lpstr>
      <vt:lpstr>'Div 4'!OSRRefE21_8x_4</vt:lpstr>
      <vt:lpstr>'Div 5'!OSRRefE21_8x_4</vt:lpstr>
      <vt:lpstr>'Div 6'!OSRRefE21_8x_4</vt:lpstr>
      <vt:lpstr>Summary!OSRRefE21_8x_4</vt:lpstr>
      <vt:lpstr>'201'!OSRRefE21_8x_5</vt:lpstr>
      <vt:lpstr>'202'!OSRRefE21_8x_5</vt:lpstr>
      <vt:lpstr>'203'!OSRRefE21_8x_5</vt:lpstr>
      <vt:lpstr>'204'!OSRRefE21_8x_5</vt:lpstr>
      <vt:lpstr>'300'!OSRRefE21_8x_5</vt:lpstr>
      <vt:lpstr>'300 &amp; 317'!OSRRefE21_8x_5</vt:lpstr>
      <vt:lpstr>'301'!OSRRefE21_8x_5</vt:lpstr>
      <vt:lpstr>'307'!OSRRefE21_8x_5</vt:lpstr>
      <vt:lpstr>'308'!OSRRefE21_8x_5</vt:lpstr>
      <vt:lpstr>'309'!OSRRefE21_8x_5</vt:lpstr>
      <vt:lpstr>'310'!OSRRefE21_8x_5</vt:lpstr>
      <vt:lpstr>'310 &amp; 491'!OSRRefE21_8x_5</vt:lpstr>
      <vt:lpstr>'311'!OSRRefE21_8x_5</vt:lpstr>
      <vt:lpstr>'315'!OSRRefE21_8x_5</vt:lpstr>
      <vt:lpstr>'316'!OSRRefE21_8x_5</vt:lpstr>
      <vt:lpstr>'317'!OSRRefE21_8x_5</vt:lpstr>
      <vt:lpstr>'321'!OSRRefE21_8x_5</vt:lpstr>
      <vt:lpstr>'322'!OSRRefE21_8x_5</vt:lpstr>
      <vt:lpstr>'325'!OSRRefE21_8x_5</vt:lpstr>
      <vt:lpstr>'326'!OSRRefE21_8x_5</vt:lpstr>
      <vt:lpstr>'330'!OSRRefE21_8x_5</vt:lpstr>
      <vt:lpstr>'331'!OSRRefE21_8x_5</vt:lpstr>
      <vt:lpstr>'332'!OSRRefE21_8x_5</vt:lpstr>
      <vt:lpstr>'405'!OSRRefE21_8x_5</vt:lpstr>
      <vt:lpstr>'411'!OSRRefE21_8x_5</vt:lpstr>
      <vt:lpstr>'412'!OSRRefE21_8x_5</vt:lpstr>
      <vt:lpstr>'413'!OSRRefE21_8x_5</vt:lpstr>
      <vt:lpstr>'414'!OSRRefE21_8x_5</vt:lpstr>
      <vt:lpstr>'415'!OSRRefE21_8x_5</vt:lpstr>
      <vt:lpstr>'418'!OSRRefE21_8x_5</vt:lpstr>
      <vt:lpstr>'433'!OSRRefE21_8x_5</vt:lpstr>
      <vt:lpstr>'444'!OSRRefE21_8x_5</vt:lpstr>
      <vt:lpstr>'450'!OSRRefE21_8x_5</vt:lpstr>
      <vt:lpstr>'491'!OSRRefE21_8x_5</vt:lpstr>
      <vt:lpstr>'492'!OSRRefE21_8x_5</vt:lpstr>
      <vt:lpstr>'501'!OSRRefE21_8x_5</vt:lpstr>
      <vt:lpstr>'Div 2'!OSRRefE21_8x_5</vt:lpstr>
      <vt:lpstr>'Div 3'!OSRRefE21_8x_5</vt:lpstr>
      <vt:lpstr>'Div 4'!OSRRefE21_8x_5</vt:lpstr>
      <vt:lpstr>'Div 5'!OSRRefE21_8x_5</vt:lpstr>
      <vt:lpstr>'Div 6'!OSRRefE21_8x_5</vt:lpstr>
      <vt:lpstr>Summary!OSRRefE21_8x_5</vt:lpstr>
      <vt:lpstr>'201'!OSRRefE21_8x_6</vt:lpstr>
      <vt:lpstr>'202'!OSRRefE21_8x_6</vt:lpstr>
      <vt:lpstr>'203'!OSRRefE21_8x_6</vt:lpstr>
      <vt:lpstr>'204'!OSRRefE21_8x_6</vt:lpstr>
      <vt:lpstr>'300'!OSRRefE21_8x_6</vt:lpstr>
      <vt:lpstr>'300 &amp; 317'!OSRRefE21_8x_6</vt:lpstr>
      <vt:lpstr>'301'!OSRRefE21_8x_6</vt:lpstr>
      <vt:lpstr>'307'!OSRRefE21_8x_6</vt:lpstr>
      <vt:lpstr>'308'!OSRRefE21_8x_6</vt:lpstr>
      <vt:lpstr>'309'!OSRRefE21_8x_6</vt:lpstr>
      <vt:lpstr>'310'!OSRRefE21_8x_6</vt:lpstr>
      <vt:lpstr>'310 &amp; 491'!OSRRefE21_8x_6</vt:lpstr>
      <vt:lpstr>'311'!OSRRefE21_8x_6</vt:lpstr>
      <vt:lpstr>'315'!OSRRefE21_8x_6</vt:lpstr>
      <vt:lpstr>'316'!OSRRefE21_8x_6</vt:lpstr>
      <vt:lpstr>'317'!OSRRefE21_8x_6</vt:lpstr>
      <vt:lpstr>'321'!OSRRefE21_8x_6</vt:lpstr>
      <vt:lpstr>'322'!OSRRefE21_8x_6</vt:lpstr>
      <vt:lpstr>'325'!OSRRefE21_8x_6</vt:lpstr>
      <vt:lpstr>'326'!OSRRefE21_8x_6</vt:lpstr>
      <vt:lpstr>'330'!OSRRefE21_8x_6</vt:lpstr>
      <vt:lpstr>'331'!OSRRefE21_8x_6</vt:lpstr>
      <vt:lpstr>'332'!OSRRefE21_8x_6</vt:lpstr>
      <vt:lpstr>'405'!OSRRefE21_8x_6</vt:lpstr>
      <vt:lpstr>'411'!OSRRefE21_8x_6</vt:lpstr>
      <vt:lpstr>'412'!OSRRefE21_8x_6</vt:lpstr>
      <vt:lpstr>'413'!OSRRefE21_8x_6</vt:lpstr>
      <vt:lpstr>'414'!OSRRefE21_8x_6</vt:lpstr>
      <vt:lpstr>'415'!OSRRefE21_8x_6</vt:lpstr>
      <vt:lpstr>'418'!OSRRefE21_8x_6</vt:lpstr>
      <vt:lpstr>'433'!OSRRefE21_8x_6</vt:lpstr>
      <vt:lpstr>'444'!OSRRefE21_8x_6</vt:lpstr>
      <vt:lpstr>'450'!OSRRefE21_8x_6</vt:lpstr>
      <vt:lpstr>'491'!OSRRefE21_8x_6</vt:lpstr>
      <vt:lpstr>'492'!OSRRefE21_8x_6</vt:lpstr>
      <vt:lpstr>'501'!OSRRefE21_8x_6</vt:lpstr>
      <vt:lpstr>'Div 2'!OSRRefE21_8x_6</vt:lpstr>
      <vt:lpstr>'Div 3'!OSRRefE21_8x_6</vt:lpstr>
      <vt:lpstr>'Div 4'!OSRRefE21_8x_6</vt:lpstr>
      <vt:lpstr>'Div 5'!OSRRefE21_8x_6</vt:lpstr>
      <vt:lpstr>'Div 6'!OSRRefE21_8x_6</vt:lpstr>
      <vt:lpstr>Summary!OSRRefE21_8x_6</vt:lpstr>
      <vt:lpstr>'201'!OSRRefE21_8x_7</vt:lpstr>
      <vt:lpstr>'202'!OSRRefE21_8x_7</vt:lpstr>
      <vt:lpstr>'203'!OSRRefE21_8x_7</vt:lpstr>
      <vt:lpstr>'204'!OSRRefE21_8x_7</vt:lpstr>
      <vt:lpstr>'300'!OSRRefE21_8x_7</vt:lpstr>
      <vt:lpstr>'300 &amp; 317'!OSRRefE21_8x_7</vt:lpstr>
      <vt:lpstr>'301'!OSRRefE21_8x_7</vt:lpstr>
      <vt:lpstr>'307'!OSRRefE21_8x_7</vt:lpstr>
      <vt:lpstr>'308'!OSRRefE21_8x_7</vt:lpstr>
      <vt:lpstr>'309'!OSRRefE21_8x_7</vt:lpstr>
      <vt:lpstr>'310'!OSRRefE21_8x_7</vt:lpstr>
      <vt:lpstr>'310 &amp; 491'!OSRRefE21_8x_7</vt:lpstr>
      <vt:lpstr>'311'!OSRRefE21_8x_7</vt:lpstr>
      <vt:lpstr>'315'!OSRRefE21_8x_7</vt:lpstr>
      <vt:lpstr>'316'!OSRRefE21_8x_7</vt:lpstr>
      <vt:lpstr>'317'!OSRRefE21_8x_7</vt:lpstr>
      <vt:lpstr>'321'!OSRRefE21_8x_7</vt:lpstr>
      <vt:lpstr>'322'!OSRRefE21_8x_7</vt:lpstr>
      <vt:lpstr>'325'!OSRRefE21_8x_7</vt:lpstr>
      <vt:lpstr>'326'!OSRRefE21_8x_7</vt:lpstr>
      <vt:lpstr>'330'!OSRRefE21_8x_7</vt:lpstr>
      <vt:lpstr>'331'!OSRRefE21_8x_7</vt:lpstr>
      <vt:lpstr>'332'!OSRRefE21_8x_7</vt:lpstr>
      <vt:lpstr>'405'!OSRRefE21_8x_7</vt:lpstr>
      <vt:lpstr>'411'!OSRRefE21_8x_7</vt:lpstr>
      <vt:lpstr>'412'!OSRRefE21_8x_7</vt:lpstr>
      <vt:lpstr>'413'!OSRRefE21_8x_7</vt:lpstr>
      <vt:lpstr>'414'!OSRRefE21_8x_7</vt:lpstr>
      <vt:lpstr>'415'!OSRRefE21_8x_7</vt:lpstr>
      <vt:lpstr>'418'!OSRRefE21_8x_7</vt:lpstr>
      <vt:lpstr>'433'!OSRRefE21_8x_7</vt:lpstr>
      <vt:lpstr>'444'!OSRRefE21_8x_7</vt:lpstr>
      <vt:lpstr>'450'!OSRRefE21_8x_7</vt:lpstr>
      <vt:lpstr>'491'!OSRRefE21_8x_7</vt:lpstr>
      <vt:lpstr>'492'!OSRRefE21_8x_7</vt:lpstr>
      <vt:lpstr>'501'!OSRRefE21_8x_7</vt:lpstr>
      <vt:lpstr>'Div 2'!OSRRefE21_8x_7</vt:lpstr>
      <vt:lpstr>'Div 3'!OSRRefE21_8x_7</vt:lpstr>
      <vt:lpstr>'Div 4'!OSRRefE21_8x_7</vt:lpstr>
      <vt:lpstr>'Div 5'!OSRRefE21_8x_7</vt:lpstr>
      <vt:lpstr>'Div 6'!OSRRefE21_8x_7</vt:lpstr>
      <vt:lpstr>Summary!OSRRefE21_8x_7</vt:lpstr>
      <vt:lpstr>'201'!OSRRefE21_9_0x</vt:lpstr>
      <vt:lpstr>'202'!OSRRefE21_9_0x</vt:lpstr>
      <vt:lpstr>'203'!OSRRefE21_9_0x</vt:lpstr>
      <vt:lpstr>'300'!OSRRefE21_9_0x</vt:lpstr>
      <vt:lpstr>'300 &amp; 317'!OSRRefE21_9_0x</vt:lpstr>
      <vt:lpstr>'301'!OSRRefE21_9_0x</vt:lpstr>
      <vt:lpstr>'307'!OSRRefE21_9_0x</vt:lpstr>
      <vt:lpstr>'308'!OSRRefE21_9_0x</vt:lpstr>
      <vt:lpstr>'310'!OSRRefE21_9_0x</vt:lpstr>
      <vt:lpstr>'310 &amp; 491'!OSRRefE21_9_0x</vt:lpstr>
      <vt:lpstr>'311'!OSRRefE21_9_0x</vt:lpstr>
      <vt:lpstr>'315'!OSRRefE21_9_0x</vt:lpstr>
      <vt:lpstr>'316'!OSRRefE21_9_0x</vt:lpstr>
      <vt:lpstr>'317'!OSRRefE21_9_0x</vt:lpstr>
      <vt:lpstr>'321'!OSRRefE21_9_0x</vt:lpstr>
      <vt:lpstr>'322'!OSRRefE21_9_0x</vt:lpstr>
      <vt:lpstr>'325'!OSRRefE21_9_0x</vt:lpstr>
      <vt:lpstr>'326'!OSRRefE21_9_0x</vt:lpstr>
      <vt:lpstr>'330'!OSRRefE21_9_0x</vt:lpstr>
      <vt:lpstr>'331'!OSRRefE21_9_0x</vt:lpstr>
      <vt:lpstr>'332'!OSRRefE21_9_0x</vt:lpstr>
      <vt:lpstr>'405'!OSRRefE21_9_0x</vt:lpstr>
      <vt:lpstr>'411'!OSRRefE21_9_0x</vt:lpstr>
      <vt:lpstr>'412'!OSRRefE21_9_0x</vt:lpstr>
      <vt:lpstr>'413'!OSRRefE21_9_0x</vt:lpstr>
      <vt:lpstr>'414'!OSRRefE21_9_0x</vt:lpstr>
      <vt:lpstr>'415'!OSRRefE21_9_0x</vt:lpstr>
      <vt:lpstr>'418'!OSRRefE21_9_0x</vt:lpstr>
      <vt:lpstr>'433'!OSRRefE21_9_0x</vt:lpstr>
      <vt:lpstr>'444'!OSRRefE21_9_0x</vt:lpstr>
      <vt:lpstr>'450'!OSRRefE21_9_0x</vt:lpstr>
      <vt:lpstr>'491'!OSRRefE21_9_0x</vt:lpstr>
      <vt:lpstr>'492'!OSRRefE21_9_0x</vt:lpstr>
      <vt:lpstr>'501'!OSRRefE21_9_0x</vt:lpstr>
      <vt:lpstr>'Div 2'!OSRRefE21_9_0x</vt:lpstr>
      <vt:lpstr>'Div 3'!OSRRefE21_9_0x</vt:lpstr>
      <vt:lpstr>'Div 4'!OSRRefE21_9_0x</vt:lpstr>
      <vt:lpstr>'Div 5'!OSRRefE21_9_0x</vt:lpstr>
      <vt:lpstr>'Div 6'!OSRRefE21_9_0x</vt:lpstr>
      <vt:lpstr>Summary!OSRRefE21_9_0x</vt:lpstr>
      <vt:lpstr>'202'!OSRRefE21_9_1x</vt:lpstr>
      <vt:lpstr>'307'!OSRRefE21_9_1x</vt:lpstr>
      <vt:lpstr>'308'!OSRRefE21_9_1x</vt:lpstr>
      <vt:lpstr>'311'!OSRRefE21_9_1x</vt:lpstr>
      <vt:lpstr>'316'!OSRRefE21_9_1x</vt:lpstr>
      <vt:lpstr>'321'!OSRRefE21_9_1x</vt:lpstr>
      <vt:lpstr>'330'!OSRRefE21_9_1x</vt:lpstr>
      <vt:lpstr>'332'!OSRRefE21_9_1x</vt:lpstr>
      <vt:lpstr>'405'!OSRRefE21_9_1x</vt:lpstr>
      <vt:lpstr>'411'!OSRRefE21_9_1x</vt:lpstr>
      <vt:lpstr>'413'!OSRRefE21_9_1x</vt:lpstr>
      <vt:lpstr>'418'!OSRRefE21_9_1x</vt:lpstr>
      <vt:lpstr>'501'!OSRRefE21_9_1x</vt:lpstr>
      <vt:lpstr>'Div 2'!OSRRefE21_9_1x</vt:lpstr>
      <vt:lpstr>'Div 5'!OSRRefE21_9_1x</vt:lpstr>
      <vt:lpstr>'308'!OSRRefE21_9_2x</vt:lpstr>
      <vt:lpstr>'311'!OSRRefE21_9_2x</vt:lpstr>
      <vt:lpstr>'316'!OSRRefE21_9_2x</vt:lpstr>
      <vt:lpstr>'332'!OSRRefE21_9_2x</vt:lpstr>
      <vt:lpstr>'501'!OSRRefE21_9_2x</vt:lpstr>
      <vt:lpstr>'Div 5'!OSRRefE21_9_2x</vt:lpstr>
      <vt:lpstr>'316'!OSRRefE21_9_3x</vt:lpstr>
      <vt:lpstr>'332'!OSRRefE21_9_3x</vt:lpstr>
      <vt:lpstr>'316'!OSRRefE21_9_4x</vt:lpstr>
      <vt:lpstr>'332'!OSRRefE21_9_4x</vt:lpstr>
      <vt:lpstr>'201'!OSRRefE21_9x_0</vt:lpstr>
      <vt:lpstr>'202'!OSRRefE21_9x_0</vt:lpstr>
      <vt:lpstr>'203'!OSRRefE21_9x_0</vt:lpstr>
      <vt:lpstr>'300'!OSRRefE21_9x_0</vt:lpstr>
      <vt:lpstr>'300 &amp; 317'!OSRRefE21_9x_0</vt:lpstr>
      <vt:lpstr>'301'!OSRRefE21_9x_0</vt:lpstr>
      <vt:lpstr>'307'!OSRRefE21_9x_0</vt:lpstr>
      <vt:lpstr>'308'!OSRRefE21_9x_0</vt:lpstr>
      <vt:lpstr>'310'!OSRRefE21_9x_0</vt:lpstr>
      <vt:lpstr>'310 &amp; 491'!OSRRefE21_9x_0</vt:lpstr>
      <vt:lpstr>'311'!OSRRefE21_9x_0</vt:lpstr>
      <vt:lpstr>'315'!OSRRefE21_9x_0</vt:lpstr>
      <vt:lpstr>'316'!OSRRefE21_9x_0</vt:lpstr>
      <vt:lpstr>'317'!OSRRefE21_9x_0</vt:lpstr>
      <vt:lpstr>'321'!OSRRefE21_9x_0</vt:lpstr>
      <vt:lpstr>'322'!OSRRefE21_9x_0</vt:lpstr>
      <vt:lpstr>'325'!OSRRefE21_9x_0</vt:lpstr>
      <vt:lpstr>'326'!OSRRefE21_9x_0</vt:lpstr>
      <vt:lpstr>'330'!OSRRefE21_9x_0</vt:lpstr>
      <vt:lpstr>'331'!OSRRefE21_9x_0</vt:lpstr>
      <vt:lpstr>'332'!OSRRefE21_9x_0</vt:lpstr>
      <vt:lpstr>'405'!OSRRefE21_9x_0</vt:lpstr>
      <vt:lpstr>'411'!OSRRefE21_9x_0</vt:lpstr>
      <vt:lpstr>'412'!OSRRefE21_9x_0</vt:lpstr>
      <vt:lpstr>'413'!OSRRefE21_9x_0</vt:lpstr>
      <vt:lpstr>'414'!OSRRefE21_9x_0</vt:lpstr>
      <vt:lpstr>'415'!OSRRefE21_9x_0</vt:lpstr>
      <vt:lpstr>'418'!OSRRefE21_9x_0</vt:lpstr>
      <vt:lpstr>'433'!OSRRefE21_9x_0</vt:lpstr>
      <vt:lpstr>'444'!OSRRefE21_9x_0</vt:lpstr>
      <vt:lpstr>'450'!OSRRefE21_9x_0</vt:lpstr>
      <vt:lpstr>'491'!OSRRefE21_9x_0</vt:lpstr>
      <vt:lpstr>'492'!OSRRefE21_9x_0</vt:lpstr>
      <vt:lpstr>'501'!OSRRefE21_9x_0</vt:lpstr>
      <vt:lpstr>'Div 2'!OSRRefE21_9x_0</vt:lpstr>
      <vt:lpstr>'Div 3'!OSRRefE21_9x_0</vt:lpstr>
      <vt:lpstr>'Div 4'!OSRRefE21_9x_0</vt:lpstr>
      <vt:lpstr>'Div 5'!OSRRefE21_9x_0</vt:lpstr>
      <vt:lpstr>'Div 6'!OSRRefE21_9x_0</vt:lpstr>
      <vt:lpstr>Summary!OSRRefE21_9x_0</vt:lpstr>
      <vt:lpstr>'201'!OSRRefE21_9x_1</vt:lpstr>
      <vt:lpstr>'202'!OSRRefE21_9x_1</vt:lpstr>
      <vt:lpstr>'203'!OSRRefE21_9x_1</vt:lpstr>
      <vt:lpstr>'300'!OSRRefE21_9x_1</vt:lpstr>
      <vt:lpstr>'300 &amp; 317'!OSRRefE21_9x_1</vt:lpstr>
      <vt:lpstr>'301'!OSRRefE21_9x_1</vt:lpstr>
      <vt:lpstr>'307'!OSRRefE21_9x_1</vt:lpstr>
      <vt:lpstr>'308'!OSRRefE21_9x_1</vt:lpstr>
      <vt:lpstr>'310'!OSRRefE21_9x_1</vt:lpstr>
      <vt:lpstr>'310 &amp; 491'!OSRRefE21_9x_1</vt:lpstr>
      <vt:lpstr>'311'!OSRRefE21_9x_1</vt:lpstr>
      <vt:lpstr>'315'!OSRRefE21_9x_1</vt:lpstr>
      <vt:lpstr>'316'!OSRRefE21_9x_1</vt:lpstr>
      <vt:lpstr>'317'!OSRRefE21_9x_1</vt:lpstr>
      <vt:lpstr>'321'!OSRRefE21_9x_1</vt:lpstr>
      <vt:lpstr>'322'!OSRRefE21_9x_1</vt:lpstr>
      <vt:lpstr>'325'!OSRRefE21_9x_1</vt:lpstr>
      <vt:lpstr>'326'!OSRRefE21_9x_1</vt:lpstr>
      <vt:lpstr>'330'!OSRRefE21_9x_1</vt:lpstr>
      <vt:lpstr>'331'!OSRRefE21_9x_1</vt:lpstr>
      <vt:lpstr>'332'!OSRRefE21_9x_1</vt:lpstr>
      <vt:lpstr>'405'!OSRRefE21_9x_1</vt:lpstr>
      <vt:lpstr>'411'!OSRRefE21_9x_1</vt:lpstr>
      <vt:lpstr>'412'!OSRRefE21_9x_1</vt:lpstr>
      <vt:lpstr>'413'!OSRRefE21_9x_1</vt:lpstr>
      <vt:lpstr>'414'!OSRRefE21_9x_1</vt:lpstr>
      <vt:lpstr>'415'!OSRRefE21_9x_1</vt:lpstr>
      <vt:lpstr>'418'!OSRRefE21_9x_1</vt:lpstr>
      <vt:lpstr>'433'!OSRRefE21_9x_1</vt:lpstr>
      <vt:lpstr>'444'!OSRRefE21_9x_1</vt:lpstr>
      <vt:lpstr>'450'!OSRRefE21_9x_1</vt:lpstr>
      <vt:lpstr>'491'!OSRRefE21_9x_1</vt:lpstr>
      <vt:lpstr>'492'!OSRRefE21_9x_1</vt:lpstr>
      <vt:lpstr>'501'!OSRRefE21_9x_1</vt:lpstr>
      <vt:lpstr>'Div 2'!OSRRefE21_9x_1</vt:lpstr>
      <vt:lpstr>'Div 3'!OSRRefE21_9x_1</vt:lpstr>
      <vt:lpstr>'Div 4'!OSRRefE21_9x_1</vt:lpstr>
      <vt:lpstr>'Div 5'!OSRRefE21_9x_1</vt:lpstr>
      <vt:lpstr>'Div 6'!OSRRefE21_9x_1</vt:lpstr>
      <vt:lpstr>Summary!OSRRefE21_9x_1</vt:lpstr>
      <vt:lpstr>'201'!OSRRefE21_9x_2</vt:lpstr>
      <vt:lpstr>'202'!OSRRefE21_9x_2</vt:lpstr>
      <vt:lpstr>'203'!OSRRefE21_9x_2</vt:lpstr>
      <vt:lpstr>'300'!OSRRefE21_9x_2</vt:lpstr>
      <vt:lpstr>'300 &amp; 317'!OSRRefE21_9x_2</vt:lpstr>
      <vt:lpstr>'301'!OSRRefE21_9x_2</vt:lpstr>
      <vt:lpstr>'307'!OSRRefE21_9x_2</vt:lpstr>
      <vt:lpstr>'308'!OSRRefE21_9x_2</vt:lpstr>
      <vt:lpstr>'310'!OSRRefE21_9x_2</vt:lpstr>
      <vt:lpstr>'310 &amp; 491'!OSRRefE21_9x_2</vt:lpstr>
      <vt:lpstr>'311'!OSRRefE21_9x_2</vt:lpstr>
      <vt:lpstr>'315'!OSRRefE21_9x_2</vt:lpstr>
      <vt:lpstr>'316'!OSRRefE21_9x_2</vt:lpstr>
      <vt:lpstr>'317'!OSRRefE21_9x_2</vt:lpstr>
      <vt:lpstr>'321'!OSRRefE21_9x_2</vt:lpstr>
      <vt:lpstr>'322'!OSRRefE21_9x_2</vt:lpstr>
      <vt:lpstr>'325'!OSRRefE21_9x_2</vt:lpstr>
      <vt:lpstr>'326'!OSRRefE21_9x_2</vt:lpstr>
      <vt:lpstr>'330'!OSRRefE21_9x_2</vt:lpstr>
      <vt:lpstr>'331'!OSRRefE21_9x_2</vt:lpstr>
      <vt:lpstr>'332'!OSRRefE21_9x_2</vt:lpstr>
      <vt:lpstr>'405'!OSRRefE21_9x_2</vt:lpstr>
      <vt:lpstr>'411'!OSRRefE21_9x_2</vt:lpstr>
      <vt:lpstr>'412'!OSRRefE21_9x_2</vt:lpstr>
      <vt:lpstr>'413'!OSRRefE21_9x_2</vt:lpstr>
      <vt:lpstr>'414'!OSRRefE21_9x_2</vt:lpstr>
      <vt:lpstr>'415'!OSRRefE21_9x_2</vt:lpstr>
      <vt:lpstr>'418'!OSRRefE21_9x_2</vt:lpstr>
      <vt:lpstr>'433'!OSRRefE21_9x_2</vt:lpstr>
      <vt:lpstr>'444'!OSRRefE21_9x_2</vt:lpstr>
      <vt:lpstr>'450'!OSRRefE21_9x_2</vt:lpstr>
      <vt:lpstr>'491'!OSRRefE21_9x_2</vt:lpstr>
      <vt:lpstr>'492'!OSRRefE21_9x_2</vt:lpstr>
      <vt:lpstr>'501'!OSRRefE21_9x_2</vt:lpstr>
      <vt:lpstr>'Div 2'!OSRRefE21_9x_2</vt:lpstr>
      <vt:lpstr>'Div 3'!OSRRefE21_9x_2</vt:lpstr>
      <vt:lpstr>'Div 4'!OSRRefE21_9x_2</vt:lpstr>
      <vt:lpstr>'Div 5'!OSRRefE21_9x_2</vt:lpstr>
      <vt:lpstr>'Div 6'!OSRRefE21_9x_2</vt:lpstr>
      <vt:lpstr>Summary!OSRRefE21_9x_2</vt:lpstr>
      <vt:lpstr>'201'!OSRRefE21_9x_3</vt:lpstr>
      <vt:lpstr>'202'!OSRRefE21_9x_3</vt:lpstr>
      <vt:lpstr>'203'!OSRRefE21_9x_3</vt:lpstr>
      <vt:lpstr>'300'!OSRRefE21_9x_3</vt:lpstr>
      <vt:lpstr>'300 &amp; 317'!OSRRefE21_9x_3</vt:lpstr>
      <vt:lpstr>'301'!OSRRefE21_9x_3</vt:lpstr>
      <vt:lpstr>'307'!OSRRefE21_9x_3</vt:lpstr>
      <vt:lpstr>'308'!OSRRefE21_9x_3</vt:lpstr>
      <vt:lpstr>'310'!OSRRefE21_9x_3</vt:lpstr>
      <vt:lpstr>'310 &amp; 491'!OSRRefE21_9x_3</vt:lpstr>
      <vt:lpstr>'311'!OSRRefE21_9x_3</vt:lpstr>
      <vt:lpstr>'315'!OSRRefE21_9x_3</vt:lpstr>
      <vt:lpstr>'316'!OSRRefE21_9x_3</vt:lpstr>
      <vt:lpstr>'317'!OSRRefE21_9x_3</vt:lpstr>
      <vt:lpstr>'321'!OSRRefE21_9x_3</vt:lpstr>
      <vt:lpstr>'322'!OSRRefE21_9x_3</vt:lpstr>
      <vt:lpstr>'325'!OSRRefE21_9x_3</vt:lpstr>
      <vt:lpstr>'326'!OSRRefE21_9x_3</vt:lpstr>
      <vt:lpstr>'330'!OSRRefE21_9x_3</vt:lpstr>
      <vt:lpstr>'331'!OSRRefE21_9x_3</vt:lpstr>
      <vt:lpstr>'332'!OSRRefE21_9x_3</vt:lpstr>
      <vt:lpstr>'405'!OSRRefE21_9x_3</vt:lpstr>
      <vt:lpstr>'411'!OSRRefE21_9x_3</vt:lpstr>
      <vt:lpstr>'412'!OSRRefE21_9x_3</vt:lpstr>
      <vt:lpstr>'413'!OSRRefE21_9x_3</vt:lpstr>
      <vt:lpstr>'414'!OSRRefE21_9x_3</vt:lpstr>
      <vt:lpstr>'415'!OSRRefE21_9x_3</vt:lpstr>
      <vt:lpstr>'418'!OSRRefE21_9x_3</vt:lpstr>
      <vt:lpstr>'433'!OSRRefE21_9x_3</vt:lpstr>
      <vt:lpstr>'444'!OSRRefE21_9x_3</vt:lpstr>
      <vt:lpstr>'450'!OSRRefE21_9x_3</vt:lpstr>
      <vt:lpstr>'491'!OSRRefE21_9x_3</vt:lpstr>
      <vt:lpstr>'492'!OSRRefE21_9x_3</vt:lpstr>
      <vt:lpstr>'501'!OSRRefE21_9x_3</vt:lpstr>
      <vt:lpstr>'Div 2'!OSRRefE21_9x_3</vt:lpstr>
      <vt:lpstr>'Div 3'!OSRRefE21_9x_3</vt:lpstr>
      <vt:lpstr>'Div 4'!OSRRefE21_9x_3</vt:lpstr>
      <vt:lpstr>'Div 5'!OSRRefE21_9x_3</vt:lpstr>
      <vt:lpstr>'Div 6'!OSRRefE21_9x_3</vt:lpstr>
      <vt:lpstr>Summary!OSRRefE21_9x_3</vt:lpstr>
      <vt:lpstr>'201'!OSRRefE21_9x_4</vt:lpstr>
      <vt:lpstr>'202'!OSRRefE21_9x_4</vt:lpstr>
      <vt:lpstr>'203'!OSRRefE21_9x_4</vt:lpstr>
      <vt:lpstr>'300'!OSRRefE21_9x_4</vt:lpstr>
      <vt:lpstr>'300 &amp; 317'!OSRRefE21_9x_4</vt:lpstr>
      <vt:lpstr>'301'!OSRRefE21_9x_4</vt:lpstr>
      <vt:lpstr>'307'!OSRRefE21_9x_4</vt:lpstr>
      <vt:lpstr>'308'!OSRRefE21_9x_4</vt:lpstr>
      <vt:lpstr>'310'!OSRRefE21_9x_4</vt:lpstr>
      <vt:lpstr>'310 &amp; 491'!OSRRefE21_9x_4</vt:lpstr>
      <vt:lpstr>'311'!OSRRefE21_9x_4</vt:lpstr>
      <vt:lpstr>'315'!OSRRefE21_9x_4</vt:lpstr>
      <vt:lpstr>'316'!OSRRefE21_9x_4</vt:lpstr>
      <vt:lpstr>'317'!OSRRefE21_9x_4</vt:lpstr>
      <vt:lpstr>'321'!OSRRefE21_9x_4</vt:lpstr>
      <vt:lpstr>'322'!OSRRefE21_9x_4</vt:lpstr>
      <vt:lpstr>'325'!OSRRefE21_9x_4</vt:lpstr>
      <vt:lpstr>'326'!OSRRefE21_9x_4</vt:lpstr>
      <vt:lpstr>'330'!OSRRefE21_9x_4</vt:lpstr>
      <vt:lpstr>'331'!OSRRefE21_9x_4</vt:lpstr>
      <vt:lpstr>'332'!OSRRefE21_9x_4</vt:lpstr>
      <vt:lpstr>'405'!OSRRefE21_9x_4</vt:lpstr>
      <vt:lpstr>'411'!OSRRefE21_9x_4</vt:lpstr>
      <vt:lpstr>'412'!OSRRefE21_9x_4</vt:lpstr>
      <vt:lpstr>'413'!OSRRefE21_9x_4</vt:lpstr>
      <vt:lpstr>'414'!OSRRefE21_9x_4</vt:lpstr>
      <vt:lpstr>'415'!OSRRefE21_9x_4</vt:lpstr>
      <vt:lpstr>'418'!OSRRefE21_9x_4</vt:lpstr>
      <vt:lpstr>'433'!OSRRefE21_9x_4</vt:lpstr>
      <vt:lpstr>'444'!OSRRefE21_9x_4</vt:lpstr>
      <vt:lpstr>'450'!OSRRefE21_9x_4</vt:lpstr>
      <vt:lpstr>'491'!OSRRefE21_9x_4</vt:lpstr>
      <vt:lpstr>'492'!OSRRefE21_9x_4</vt:lpstr>
      <vt:lpstr>'501'!OSRRefE21_9x_4</vt:lpstr>
      <vt:lpstr>'Div 2'!OSRRefE21_9x_4</vt:lpstr>
      <vt:lpstr>'Div 3'!OSRRefE21_9x_4</vt:lpstr>
      <vt:lpstr>'Div 4'!OSRRefE21_9x_4</vt:lpstr>
      <vt:lpstr>'Div 5'!OSRRefE21_9x_4</vt:lpstr>
      <vt:lpstr>'Div 6'!OSRRefE21_9x_4</vt:lpstr>
      <vt:lpstr>Summary!OSRRefE21_9x_4</vt:lpstr>
      <vt:lpstr>'201'!OSRRefE21_9x_5</vt:lpstr>
      <vt:lpstr>'202'!OSRRefE21_9x_5</vt:lpstr>
      <vt:lpstr>'203'!OSRRefE21_9x_5</vt:lpstr>
      <vt:lpstr>'300'!OSRRefE21_9x_5</vt:lpstr>
      <vt:lpstr>'300 &amp; 317'!OSRRefE21_9x_5</vt:lpstr>
      <vt:lpstr>'301'!OSRRefE21_9x_5</vt:lpstr>
      <vt:lpstr>'307'!OSRRefE21_9x_5</vt:lpstr>
      <vt:lpstr>'308'!OSRRefE21_9x_5</vt:lpstr>
      <vt:lpstr>'310'!OSRRefE21_9x_5</vt:lpstr>
      <vt:lpstr>'310 &amp; 491'!OSRRefE21_9x_5</vt:lpstr>
      <vt:lpstr>'311'!OSRRefE21_9x_5</vt:lpstr>
      <vt:lpstr>'315'!OSRRefE21_9x_5</vt:lpstr>
      <vt:lpstr>'316'!OSRRefE21_9x_5</vt:lpstr>
      <vt:lpstr>'317'!OSRRefE21_9x_5</vt:lpstr>
      <vt:lpstr>'321'!OSRRefE21_9x_5</vt:lpstr>
      <vt:lpstr>'322'!OSRRefE21_9x_5</vt:lpstr>
      <vt:lpstr>'325'!OSRRefE21_9x_5</vt:lpstr>
      <vt:lpstr>'326'!OSRRefE21_9x_5</vt:lpstr>
      <vt:lpstr>'330'!OSRRefE21_9x_5</vt:lpstr>
      <vt:lpstr>'331'!OSRRefE21_9x_5</vt:lpstr>
      <vt:lpstr>'332'!OSRRefE21_9x_5</vt:lpstr>
      <vt:lpstr>'405'!OSRRefE21_9x_5</vt:lpstr>
      <vt:lpstr>'411'!OSRRefE21_9x_5</vt:lpstr>
      <vt:lpstr>'412'!OSRRefE21_9x_5</vt:lpstr>
      <vt:lpstr>'413'!OSRRefE21_9x_5</vt:lpstr>
      <vt:lpstr>'414'!OSRRefE21_9x_5</vt:lpstr>
      <vt:lpstr>'415'!OSRRefE21_9x_5</vt:lpstr>
      <vt:lpstr>'418'!OSRRefE21_9x_5</vt:lpstr>
      <vt:lpstr>'433'!OSRRefE21_9x_5</vt:lpstr>
      <vt:lpstr>'444'!OSRRefE21_9x_5</vt:lpstr>
      <vt:lpstr>'450'!OSRRefE21_9x_5</vt:lpstr>
      <vt:lpstr>'491'!OSRRefE21_9x_5</vt:lpstr>
      <vt:lpstr>'492'!OSRRefE21_9x_5</vt:lpstr>
      <vt:lpstr>'501'!OSRRefE21_9x_5</vt:lpstr>
      <vt:lpstr>'Div 2'!OSRRefE21_9x_5</vt:lpstr>
      <vt:lpstr>'Div 3'!OSRRefE21_9x_5</vt:lpstr>
      <vt:lpstr>'Div 4'!OSRRefE21_9x_5</vt:lpstr>
      <vt:lpstr>'Div 5'!OSRRefE21_9x_5</vt:lpstr>
      <vt:lpstr>'Div 6'!OSRRefE21_9x_5</vt:lpstr>
      <vt:lpstr>Summary!OSRRefE21_9x_5</vt:lpstr>
      <vt:lpstr>'201'!OSRRefE21_9x_6</vt:lpstr>
      <vt:lpstr>'202'!OSRRefE21_9x_6</vt:lpstr>
      <vt:lpstr>'203'!OSRRefE21_9x_6</vt:lpstr>
      <vt:lpstr>'300'!OSRRefE21_9x_6</vt:lpstr>
      <vt:lpstr>'300 &amp; 317'!OSRRefE21_9x_6</vt:lpstr>
      <vt:lpstr>'301'!OSRRefE21_9x_6</vt:lpstr>
      <vt:lpstr>'307'!OSRRefE21_9x_6</vt:lpstr>
      <vt:lpstr>'308'!OSRRefE21_9x_6</vt:lpstr>
      <vt:lpstr>'310'!OSRRefE21_9x_6</vt:lpstr>
      <vt:lpstr>'310 &amp; 491'!OSRRefE21_9x_6</vt:lpstr>
      <vt:lpstr>'311'!OSRRefE21_9x_6</vt:lpstr>
      <vt:lpstr>'315'!OSRRefE21_9x_6</vt:lpstr>
      <vt:lpstr>'316'!OSRRefE21_9x_6</vt:lpstr>
      <vt:lpstr>'317'!OSRRefE21_9x_6</vt:lpstr>
      <vt:lpstr>'321'!OSRRefE21_9x_6</vt:lpstr>
      <vt:lpstr>'322'!OSRRefE21_9x_6</vt:lpstr>
      <vt:lpstr>'325'!OSRRefE21_9x_6</vt:lpstr>
      <vt:lpstr>'326'!OSRRefE21_9x_6</vt:lpstr>
      <vt:lpstr>'330'!OSRRefE21_9x_6</vt:lpstr>
      <vt:lpstr>'331'!OSRRefE21_9x_6</vt:lpstr>
      <vt:lpstr>'332'!OSRRefE21_9x_6</vt:lpstr>
      <vt:lpstr>'405'!OSRRefE21_9x_6</vt:lpstr>
      <vt:lpstr>'411'!OSRRefE21_9x_6</vt:lpstr>
      <vt:lpstr>'412'!OSRRefE21_9x_6</vt:lpstr>
      <vt:lpstr>'413'!OSRRefE21_9x_6</vt:lpstr>
      <vt:lpstr>'414'!OSRRefE21_9x_6</vt:lpstr>
      <vt:lpstr>'415'!OSRRefE21_9x_6</vt:lpstr>
      <vt:lpstr>'418'!OSRRefE21_9x_6</vt:lpstr>
      <vt:lpstr>'433'!OSRRefE21_9x_6</vt:lpstr>
      <vt:lpstr>'444'!OSRRefE21_9x_6</vt:lpstr>
      <vt:lpstr>'450'!OSRRefE21_9x_6</vt:lpstr>
      <vt:lpstr>'491'!OSRRefE21_9x_6</vt:lpstr>
      <vt:lpstr>'492'!OSRRefE21_9x_6</vt:lpstr>
      <vt:lpstr>'501'!OSRRefE21_9x_6</vt:lpstr>
      <vt:lpstr>'Div 2'!OSRRefE21_9x_6</vt:lpstr>
      <vt:lpstr>'Div 3'!OSRRefE21_9x_6</vt:lpstr>
      <vt:lpstr>'Div 4'!OSRRefE21_9x_6</vt:lpstr>
      <vt:lpstr>'Div 5'!OSRRefE21_9x_6</vt:lpstr>
      <vt:lpstr>'Div 6'!OSRRefE21_9x_6</vt:lpstr>
      <vt:lpstr>Summary!OSRRefE21_9x_6</vt:lpstr>
      <vt:lpstr>'201'!OSRRefE21_9x_7</vt:lpstr>
      <vt:lpstr>'202'!OSRRefE21_9x_7</vt:lpstr>
      <vt:lpstr>'203'!OSRRefE21_9x_7</vt:lpstr>
      <vt:lpstr>'300'!OSRRefE21_9x_7</vt:lpstr>
      <vt:lpstr>'300 &amp; 317'!OSRRefE21_9x_7</vt:lpstr>
      <vt:lpstr>'301'!OSRRefE21_9x_7</vt:lpstr>
      <vt:lpstr>'307'!OSRRefE21_9x_7</vt:lpstr>
      <vt:lpstr>'308'!OSRRefE21_9x_7</vt:lpstr>
      <vt:lpstr>'310'!OSRRefE21_9x_7</vt:lpstr>
      <vt:lpstr>'310 &amp; 491'!OSRRefE21_9x_7</vt:lpstr>
      <vt:lpstr>'311'!OSRRefE21_9x_7</vt:lpstr>
      <vt:lpstr>'315'!OSRRefE21_9x_7</vt:lpstr>
      <vt:lpstr>'316'!OSRRefE21_9x_7</vt:lpstr>
      <vt:lpstr>'317'!OSRRefE21_9x_7</vt:lpstr>
      <vt:lpstr>'321'!OSRRefE21_9x_7</vt:lpstr>
      <vt:lpstr>'322'!OSRRefE21_9x_7</vt:lpstr>
      <vt:lpstr>'325'!OSRRefE21_9x_7</vt:lpstr>
      <vt:lpstr>'326'!OSRRefE21_9x_7</vt:lpstr>
      <vt:lpstr>'330'!OSRRefE21_9x_7</vt:lpstr>
      <vt:lpstr>'331'!OSRRefE21_9x_7</vt:lpstr>
      <vt:lpstr>'332'!OSRRefE21_9x_7</vt:lpstr>
      <vt:lpstr>'405'!OSRRefE21_9x_7</vt:lpstr>
      <vt:lpstr>'411'!OSRRefE21_9x_7</vt:lpstr>
      <vt:lpstr>'412'!OSRRefE21_9x_7</vt:lpstr>
      <vt:lpstr>'413'!OSRRefE21_9x_7</vt:lpstr>
      <vt:lpstr>'414'!OSRRefE21_9x_7</vt:lpstr>
      <vt:lpstr>'415'!OSRRefE21_9x_7</vt:lpstr>
      <vt:lpstr>'418'!OSRRefE21_9x_7</vt:lpstr>
      <vt:lpstr>'433'!OSRRefE21_9x_7</vt:lpstr>
      <vt:lpstr>'444'!OSRRefE21_9x_7</vt:lpstr>
      <vt:lpstr>'450'!OSRRefE21_9x_7</vt:lpstr>
      <vt:lpstr>'491'!OSRRefE21_9x_7</vt:lpstr>
      <vt:lpstr>'492'!OSRRefE21_9x_7</vt:lpstr>
      <vt:lpstr>'501'!OSRRefE21_9x_7</vt:lpstr>
      <vt:lpstr>'Div 2'!OSRRefE21_9x_7</vt:lpstr>
      <vt:lpstr>'Div 3'!OSRRefE21_9x_7</vt:lpstr>
      <vt:lpstr>'Div 4'!OSRRefE21_9x_7</vt:lpstr>
      <vt:lpstr>'Div 5'!OSRRefE21_9x_7</vt:lpstr>
      <vt:lpstr>'Div 6'!OSRRefE21_9x_7</vt:lpstr>
      <vt:lpstr>Summary!OSRRefE21_9x_7</vt:lpstr>
      <vt:lpstr>'100'!OSRRefE23_0x</vt:lpstr>
      <vt:lpstr>'200'!OSRRefE23_0x</vt:lpstr>
      <vt:lpstr>'201'!OSRRefE23_0x</vt:lpstr>
      <vt:lpstr>'202'!OSRRefE23_0x</vt:lpstr>
      <vt:lpstr>'203'!OSRRefE23_0x</vt:lpstr>
      <vt:lpstr>'204'!OSRRefE23_0x</vt:lpstr>
      <vt:lpstr>'205'!OSRRefE23_0x</vt:lpstr>
      <vt:lpstr>'206'!OSRRefE23_0x</vt:lpstr>
      <vt:lpstr>'300'!OSRRefE23_0x</vt:lpstr>
      <vt:lpstr>'300 &amp; 317'!OSRRefE23_0x</vt:lpstr>
      <vt:lpstr>'301'!OSRRefE23_0x</vt:lpstr>
      <vt:lpstr>'307'!OSRRefE23_0x</vt:lpstr>
      <vt:lpstr>'308'!OSRRefE23_0x</vt:lpstr>
      <vt:lpstr>'309'!OSRRefE23_0x</vt:lpstr>
      <vt:lpstr>'310'!OSRRefE23_0x</vt:lpstr>
      <vt:lpstr>'310 &amp; 491'!OSRRefE23_0x</vt:lpstr>
      <vt:lpstr>'311'!OSRRefE23_0x</vt:lpstr>
      <vt:lpstr>'313'!OSRRefE23_0x</vt:lpstr>
      <vt:lpstr>'315'!OSRRefE23_0x</vt:lpstr>
      <vt:lpstr>'316'!OSRRefE23_0x</vt:lpstr>
      <vt:lpstr>'317'!OSRRefE23_0x</vt:lpstr>
      <vt:lpstr>'321'!OSRRefE23_0x</vt:lpstr>
      <vt:lpstr>'322'!OSRRefE23_0x</vt:lpstr>
      <vt:lpstr>'324'!OSRRefE23_0x</vt:lpstr>
      <vt:lpstr>'325'!OSRRefE23_0x</vt:lpstr>
      <vt:lpstr>'326'!OSRRefE23_0x</vt:lpstr>
      <vt:lpstr>'327'!OSRRefE23_0x</vt:lpstr>
      <vt:lpstr>'330'!OSRRefE23_0x</vt:lpstr>
      <vt:lpstr>'331'!OSRRefE23_0x</vt:lpstr>
      <vt:lpstr>'332'!OSRRefE23_0x</vt:lpstr>
      <vt:lpstr>'405'!OSRRefE23_0x</vt:lpstr>
      <vt:lpstr>'406'!OSRRefE23_0x</vt:lpstr>
      <vt:lpstr>'411'!OSRRefE23_0x</vt:lpstr>
      <vt:lpstr>'412'!OSRRefE23_0x</vt:lpstr>
      <vt:lpstr>'413'!OSRRefE23_0x</vt:lpstr>
      <vt:lpstr>'414'!OSRRefE23_0x</vt:lpstr>
      <vt:lpstr>'415'!OSRRefE23_0x</vt:lpstr>
      <vt:lpstr>'418'!OSRRefE23_0x</vt:lpstr>
      <vt:lpstr>'420'!OSRRefE23_0x</vt:lpstr>
      <vt:lpstr>'423'!OSRRefE23_0x</vt:lpstr>
      <vt:lpstr>'424'!OSRRefE23_0x</vt:lpstr>
      <vt:lpstr>'425'!OSRRefE23_0x</vt:lpstr>
      <vt:lpstr>'430'!OSRRefE23_0x</vt:lpstr>
      <vt:lpstr>'433'!OSRRefE23_0x</vt:lpstr>
      <vt:lpstr>'435'!OSRRefE23_0x</vt:lpstr>
      <vt:lpstr>'444'!OSRRefE23_0x</vt:lpstr>
      <vt:lpstr>'450'!OSRRefE23_0x</vt:lpstr>
      <vt:lpstr>'455'!OSRRefE23_0x</vt:lpstr>
      <vt:lpstr>'491'!OSRRefE23_0x</vt:lpstr>
      <vt:lpstr>'492'!OSRRefE23_0x</vt:lpstr>
      <vt:lpstr>'501'!OSRRefE23_0x</vt:lpstr>
      <vt:lpstr>'Div 1'!OSRRefE23_0x</vt:lpstr>
      <vt:lpstr>'Div 2'!OSRRefE23_0x</vt:lpstr>
      <vt:lpstr>'Div 3'!OSRRefE23_0x</vt:lpstr>
      <vt:lpstr>'Div 4'!OSRRefE23_0x</vt:lpstr>
      <vt:lpstr>'Div 5'!OSRRefE23_0x</vt:lpstr>
      <vt:lpstr>'Div 6'!OSRRefE23_0x</vt:lpstr>
      <vt:lpstr>Summary!OSRRefE23_0x</vt:lpstr>
      <vt:lpstr>'100'!OSRRefE28_0x</vt:lpstr>
      <vt:lpstr>'200'!OSRRefE28_0x</vt:lpstr>
      <vt:lpstr>'201'!OSRRefE28_0x</vt:lpstr>
      <vt:lpstr>'202'!OSRRefE28_0x</vt:lpstr>
      <vt:lpstr>'203'!OSRRefE28_0x</vt:lpstr>
      <vt:lpstr>'204'!OSRRefE28_0x</vt:lpstr>
      <vt:lpstr>'205'!OSRRefE28_0x</vt:lpstr>
      <vt:lpstr>'206'!OSRRefE28_0x</vt:lpstr>
      <vt:lpstr>'300'!OSRRefE28_0x</vt:lpstr>
      <vt:lpstr>'300 &amp; 317'!OSRRefE28_0x</vt:lpstr>
      <vt:lpstr>'301'!OSRRefE28_0x</vt:lpstr>
      <vt:lpstr>'307'!OSRRefE28_0x</vt:lpstr>
      <vt:lpstr>'308'!OSRRefE28_0x</vt:lpstr>
      <vt:lpstr>'309'!OSRRefE28_0x</vt:lpstr>
      <vt:lpstr>'310'!OSRRefE28_0x</vt:lpstr>
      <vt:lpstr>'310 &amp; 491'!OSRRefE28_0x</vt:lpstr>
      <vt:lpstr>'311'!OSRRefE28_0x</vt:lpstr>
      <vt:lpstr>'313'!OSRRefE28_0x</vt:lpstr>
      <vt:lpstr>'315'!OSRRefE28_0x</vt:lpstr>
      <vt:lpstr>'316'!OSRRefE28_0x</vt:lpstr>
      <vt:lpstr>'317'!OSRRefE28_0x</vt:lpstr>
      <vt:lpstr>'321'!OSRRefE28_0x</vt:lpstr>
      <vt:lpstr>'322'!OSRRefE28_0x</vt:lpstr>
      <vt:lpstr>'324'!OSRRefE28_0x</vt:lpstr>
      <vt:lpstr>'325'!OSRRefE28_0x</vt:lpstr>
      <vt:lpstr>'326'!OSRRefE28_0x</vt:lpstr>
      <vt:lpstr>'327'!OSRRefE28_0x</vt:lpstr>
      <vt:lpstr>'330'!OSRRefE28_0x</vt:lpstr>
      <vt:lpstr>'331'!OSRRefE28_0x</vt:lpstr>
      <vt:lpstr>'332'!OSRRefE28_0x</vt:lpstr>
      <vt:lpstr>'405'!OSRRefE28_0x</vt:lpstr>
      <vt:lpstr>'406'!OSRRefE28_0x</vt:lpstr>
      <vt:lpstr>'411'!OSRRefE28_0x</vt:lpstr>
      <vt:lpstr>'412'!OSRRefE28_0x</vt:lpstr>
      <vt:lpstr>'413'!OSRRefE28_0x</vt:lpstr>
      <vt:lpstr>'414'!OSRRefE28_0x</vt:lpstr>
      <vt:lpstr>'415'!OSRRefE28_0x</vt:lpstr>
      <vt:lpstr>'418'!OSRRefE28_0x</vt:lpstr>
      <vt:lpstr>'420'!OSRRefE28_0x</vt:lpstr>
      <vt:lpstr>'423'!OSRRefE28_0x</vt:lpstr>
      <vt:lpstr>'424'!OSRRefE28_0x</vt:lpstr>
      <vt:lpstr>'425'!OSRRefE28_0x</vt:lpstr>
      <vt:lpstr>'430'!OSRRefE28_0x</vt:lpstr>
      <vt:lpstr>'433'!OSRRefE28_0x</vt:lpstr>
      <vt:lpstr>'435'!OSRRefE28_0x</vt:lpstr>
      <vt:lpstr>'444'!OSRRefE28_0x</vt:lpstr>
      <vt:lpstr>'450'!OSRRefE28_0x</vt:lpstr>
      <vt:lpstr>'455'!OSRRefE28_0x</vt:lpstr>
      <vt:lpstr>'491'!OSRRefE28_0x</vt:lpstr>
      <vt:lpstr>'492'!OSRRefE28_0x</vt:lpstr>
      <vt:lpstr>'501'!OSRRefE28_0x</vt:lpstr>
      <vt:lpstr>'Div 1'!OSRRefE28_0x</vt:lpstr>
      <vt:lpstr>'Div 2'!OSRRefE28_0x</vt:lpstr>
      <vt:lpstr>'Div 3'!OSRRefE28_0x</vt:lpstr>
      <vt:lpstr>'Div 4'!OSRRefE28_0x</vt:lpstr>
      <vt:lpstr>'Div 5'!OSRRefE28_0x</vt:lpstr>
      <vt:lpstr>'Div 6'!OSRRefE28_0x</vt:lpstr>
      <vt:lpstr>Summary!OSRRefE28_0x</vt:lpstr>
      <vt:lpstr>'100'!OSRRefE33_0x</vt:lpstr>
      <vt:lpstr>'Div 1'!OSRRefE33_0x</vt:lpstr>
      <vt:lpstr>Summary!OSRRefE33_0x</vt:lpstr>
      <vt:lpstr>'100'!OSRRefE34_0x</vt:lpstr>
      <vt:lpstr>'Div 1'!OSRRefE34_0x</vt:lpstr>
      <vt:lpstr>Summary!OSRRefE34_0x</vt:lpstr>
      <vt:lpstr>'300'!OSRRefG11x</vt:lpstr>
      <vt:lpstr>'300 &amp; 317'!OSRRefG11x</vt:lpstr>
      <vt:lpstr>'307'!OSRRefG11x</vt:lpstr>
      <vt:lpstr>'308'!OSRRefG11x</vt:lpstr>
      <vt:lpstr>'309'!OSRRefG11x</vt:lpstr>
      <vt:lpstr>'310'!OSRRefG11x</vt:lpstr>
      <vt:lpstr>'310 &amp; 491'!OSRRefG11x</vt:lpstr>
      <vt:lpstr>'311'!OSRRefG11x</vt:lpstr>
      <vt:lpstr>'315'!OSRRefG11x</vt:lpstr>
      <vt:lpstr>'316'!OSRRefG11x</vt:lpstr>
      <vt:lpstr>'317'!OSRRefG11x</vt:lpstr>
      <vt:lpstr>'321'!OSRRefG11x</vt:lpstr>
      <vt:lpstr>'322'!OSRRefG11x</vt:lpstr>
      <vt:lpstr>'324'!OSRRefG11x</vt:lpstr>
      <vt:lpstr>'326'!OSRRefG11x</vt:lpstr>
      <vt:lpstr>'327'!OSRRefG11x</vt:lpstr>
      <vt:lpstr>'330'!OSRRefG11x</vt:lpstr>
      <vt:lpstr>'331'!OSRRefG11x</vt:lpstr>
      <vt:lpstr>'332'!OSRRefG11x</vt:lpstr>
      <vt:lpstr>'405'!OSRRefG11x</vt:lpstr>
      <vt:lpstr>'412'!OSRRefG11x</vt:lpstr>
      <vt:lpstr>'413'!OSRRefG11x</vt:lpstr>
      <vt:lpstr>'414'!OSRRefG11x</vt:lpstr>
      <vt:lpstr>'415'!OSRRefG11x</vt:lpstr>
      <vt:lpstr>'418'!OSRRefG11x</vt:lpstr>
      <vt:lpstr>'420'!OSRRefG11x</vt:lpstr>
      <vt:lpstr>'433'!OSRRefG11x</vt:lpstr>
      <vt:lpstr>'444'!OSRRefG11x</vt:lpstr>
      <vt:lpstr>'450'!OSRRefG11x</vt:lpstr>
      <vt:lpstr>'491'!OSRRefG11x</vt:lpstr>
      <vt:lpstr>'492'!OSRRefG11x</vt:lpstr>
      <vt:lpstr>'501'!OSRRefG11x</vt:lpstr>
      <vt:lpstr>'Div 3'!OSRRefG11x</vt:lpstr>
      <vt:lpstr>'Div 4'!OSRRefG11x</vt:lpstr>
      <vt:lpstr>'Div 5'!OSRRefG11x</vt:lpstr>
      <vt:lpstr>'Div 6'!OSRRefG11x</vt:lpstr>
      <vt:lpstr>Summary!OSRRefG11x</vt:lpstr>
      <vt:lpstr>'300'!OSRRefG14x</vt:lpstr>
      <vt:lpstr>'300 &amp; 317'!OSRRefG14x</vt:lpstr>
      <vt:lpstr>'307'!OSRRefG14x</vt:lpstr>
      <vt:lpstr>'308'!OSRRefG14x</vt:lpstr>
      <vt:lpstr>'309'!OSRRefG14x</vt:lpstr>
      <vt:lpstr>'310'!OSRRefG14x</vt:lpstr>
      <vt:lpstr>'310 &amp; 491'!OSRRefG14x</vt:lpstr>
      <vt:lpstr>'311'!OSRRefG14x</vt:lpstr>
      <vt:lpstr>'313'!OSRRefG14x</vt:lpstr>
      <vt:lpstr>'315'!OSRRefG14x</vt:lpstr>
      <vt:lpstr>'317'!OSRRefG14x</vt:lpstr>
      <vt:lpstr>'321'!OSRRefG14x</vt:lpstr>
      <vt:lpstr>'322'!OSRRefG14x</vt:lpstr>
      <vt:lpstr>'324'!OSRRefG14x</vt:lpstr>
      <vt:lpstr>'325'!OSRRefG14x</vt:lpstr>
      <vt:lpstr>'326'!OSRRefG14x</vt:lpstr>
      <vt:lpstr>'327'!OSRRefG14x</vt:lpstr>
      <vt:lpstr>'330'!OSRRefG14x</vt:lpstr>
      <vt:lpstr>'331'!OSRRefG14x</vt:lpstr>
      <vt:lpstr>'405'!OSRRefG14x</vt:lpstr>
      <vt:lpstr>'412'!OSRRefG14x</vt:lpstr>
      <vt:lpstr>'413'!OSRRefG14x</vt:lpstr>
      <vt:lpstr>'414'!OSRRefG14x</vt:lpstr>
      <vt:lpstr>'415'!OSRRefG14x</vt:lpstr>
      <vt:lpstr>'418'!OSRRefG14x</vt:lpstr>
      <vt:lpstr>'433'!OSRRefG14x</vt:lpstr>
      <vt:lpstr>'444'!OSRRefG14x</vt:lpstr>
      <vt:lpstr>'450'!OSRRefG14x</vt:lpstr>
      <vt:lpstr>'491'!OSRRefG14x</vt:lpstr>
      <vt:lpstr>'492'!OSRRefG14x</vt:lpstr>
      <vt:lpstr>'Div 3'!OSRRefG14x</vt:lpstr>
      <vt:lpstr>'Div 4'!OSRRefG14x</vt:lpstr>
      <vt:lpstr>'Div 6'!OSRRefG14x</vt:lpstr>
      <vt:lpstr>Summary!OSRRefG14x</vt:lpstr>
      <vt:lpstr>'200'!OSRRefG20x</vt:lpstr>
      <vt:lpstr>'201'!OSRRefG20x</vt:lpstr>
      <vt:lpstr>'202'!OSRRefG20x</vt:lpstr>
      <vt:lpstr>'203'!OSRRefG20x</vt:lpstr>
      <vt:lpstr>'204'!OSRRefG20x</vt:lpstr>
      <vt:lpstr>'205'!OSRRefG20x</vt:lpstr>
      <vt:lpstr>'206'!OSRRefG20x</vt:lpstr>
      <vt:lpstr>'300'!OSRRefG20x</vt:lpstr>
      <vt:lpstr>'300 &amp; 317'!OSRRefG20x</vt:lpstr>
      <vt:lpstr>'301'!OSRRefG20x</vt:lpstr>
      <vt:lpstr>'307'!OSRRefG20x</vt:lpstr>
      <vt:lpstr>'308'!OSRRefG20x</vt:lpstr>
      <vt:lpstr>'309'!OSRRefG20x</vt:lpstr>
      <vt:lpstr>'310'!OSRRefG20x</vt:lpstr>
      <vt:lpstr>'310 &amp; 491'!OSRRefG20x</vt:lpstr>
      <vt:lpstr>'311'!OSRRefG20x</vt:lpstr>
      <vt:lpstr>'313'!OSRRefG20x</vt:lpstr>
      <vt:lpstr>'315'!OSRRefG20x</vt:lpstr>
      <vt:lpstr>'316'!OSRRefG20x</vt:lpstr>
      <vt:lpstr>'317'!OSRRefG20x</vt:lpstr>
      <vt:lpstr>'321'!OSRRefG20x</vt:lpstr>
      <vt:lpstr>'322'!OSRRefG20x</vt:lpstr>
      <vt:lpstr>'324'!OSRRefG20x</vt:lpstr>
      <vt:lpstr>'325'!OSRRefG20x</vt:lpstr>
      <vt:lpstr>'326'!OSRRefG20x</vt:lpstr>
      <vt:lpstr>'327'!OSRRefG20x</vt:lpstr>
      <vt:lpstr>'330'!OSRRefG20x</vt:lpstr>
      <vt:lpstr>'331'!OSRRefG20x</vt:lpstr>
      <vt:lpstr>'332'!OSRRefG20x</vt:lpstr>
      <vt:lpstr>'405'!OSRRefG20x</vt:lpstr>
      <vt:lpstr>'406'!OSRRefG20x</vt:lpstr>
      <vt:lpstr>'411'!OSRRefG20x</vt:lpstr>
      <vt:lpstr>'412'!OSRRefG20x</vt:lpstr>
      <vt:lpstr>'413'!OSRRefG20x</vt:lpstr>
      <vt:lpstr>'414'!OSRRefG20x</vt:lpstr>
      <vt:lpstr>'415'!OSRRefG20x</vt:lpstr>
      <vt:lpstr>'418'!OSRRefG20x</vt:lpstr>
      <vt:lpstr>'423'!OSRRefG20x</vt:lpstr>
      <vt:lpstr>'424'!OSRRefG20x</vt:lpstr>
      <vt:lpstr>'425'!OSRRefG20x</vt:lpstr>
      <vt:lpstr>'430'!OSRRefG20x</vt:lpstr>
      <vt:lpstr>'433'!OSRRefG20x</vt:lpstr>
      <vt:lpstr>'435'!OSRRefG20x</vt:lpstr>
      <vt:lpstr>'444'!OSRRefG20x</vt:lpstr>
      <vt:lpstr>'450'!OSRRefG20x</vt:lpstr>
      <vt:lpstr>'491'!OSRRefG20x</vt:lpstr>
      <vt:lpstr>'492'!OSRRefG20x</vt:lpstr>
      <vt:lpstr>'501'!OSRRefG20x</vt:lpstr>
      <vt:lpstr>'Div 2'!OSRRefG20x</vt:lpstr>
      <vt:lpstr>'Div 3'!OSRRefG20x</vt:lpstr>
      <vt:lpstr>'Div 4'!OSRRefG20x</vt:lpstr>
      <vt:lpstr>'Div 5'!OSRRefG20x</vt:lpstr>
      <vt:lpstr>'Div 6'!OSRRefG20x</vt:lpstr>
      <vt:lpstr>Summary!OSRRefG20x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OSR_300_IYZXI6!Print_Area</vt:lpstr>
      <vt:lpstr>OSR_308_UAWDAG!Print_Area</vt:lpstr>
      <vt:lpstr>'OSR_310 &amp; 49...7615ada9_1PJ8EDG'!Print_Area</vt:lpstr>
      <vt:lpstr>'OSR_310 &amp; 49...76bf5af7_1A2901X'!Print_Area</vt:lpstr>
      <vt:lpstr>'OSR_310 &amp; 491...c23f2d59_X1JXXU'!Print_Area</vt:lpstr>
      <vt:lpstr>'OSR_310 &amp; 491_1NGRCS9'!Print_Area</vt:lpstr>
      <vt:lpstr>OSR_310_1CMTOSB!Print_Area</vt:lpstr>
      <vt:lpstr>OSR_330_10VFP5Y!Print_Area</vt:lpstr>
      <vt:lpstr>OSR_331_10VKQAJ!Print_Area</vt:lpstr>
      <vt:lpstr>OSR_332_6NDVBW!Print_Area</vt:lpstr>
      <vt:lpstr>OSR_491_9Z9JH5!Print_Area</vt:lpstr>
      <vt:lpstr>OSR_492_943FP1!Print_Area</vt:lpstr>
      <vt:lpstr>'OSR_Current ...69b7dd8c_1IEQKFK'!Print_Area</vt:lpstr>
      <vt:lpstr>'OSR_Dept (2)_...dd5b15a0_2T6PUA'!Print_Area</vt:lpstr>
      <vt:lpstr>OSR_Dept_Y0WUKY!Print_Area</vt:lpstr>
      <vt:lpstr>'OSR_Div 1 (1...42fef80a_1JUNUIZ'!Print_Area</vt:lpstr>
      <vt:lpstr>'OSR_Div 1 (10...e834aaf2_4B2R3Z'!Print_Area</vt:lpstr>
      <vt:lpstr>'OSR_Div 1 (2...9b2bdc94_1Y8VZ4A'!Print_Area</vt:lpstr>
      <vt:lpstr>'OSR_Div 1 (3...74ea2e91_1YANJVT'!Print_Area</vt:lpstr>
      <vt:lpstr>'OSR_Div 1 (4)...cdd6f638_NQSRHK'!Print_Area</vt:lpstr>
      <vt:lpstr>'OSR_Div 1 (5)...14c61d9ac_RUIH7'!Print_Area</vt:lpstr>
      <vt:lpstr>'OSR_Div 1 (6)...754b1b2a_ZV1FUK'!Print_Area</vt:lpstr>
      <vt:lpstr>'OSR_Div 1 (7)...77c4adfc_YECVQC'!Print_Area</vt:lpstr>
      <vt:lpstr>'OSR_Div 1 (8...54681dd8_1N56J6G'!Print_Area</vt:lpstr>
      <vt:lpstr>'OSR_Div 1 (9)...81df0cf4_TBZUNU'!Print_Area</vt:lpstr>
      <vt:lpstr>'OSR_Div 1_7H47HR'!Print_Area</vt:lpstr>
      <vt:lpstr>'OSR_Div 2_1PQ800A'!Print_Area</vt:lpstr>
      <vt:lpstr>'OSR_Div 3_18723PH'!Print_Area</vt:lpstr>
      <vt:lpstr>'OSR_Div 4 (2)...a8a8204b_XPPX5M'!Print_Area</vt:lpstr>
      <vt:lpstr>'OSR_Div 4_1740TMT'!Print_Area</vt:lpstr>
      <vt:lpstr>'OSR_Div 5 (2...bac05800_1LZIM8H'!Print_Area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OSR_300_IYZXI6!Print_Titles</vt:lpstr>
      <vt:lpstr>OSR_308_UAWDAG!Print_Titles</vt:lpstr>
      <vt:lpstr>'OSR_310 &amp; 49...7615ada9_1PJ8EDG'!Print_Titles</vt:lpstr>
      <vt:lpstr>'OSR_310 &amp; 49...76bf5af7_1A2901X'!Print_Titles</vt:lpstr>
      <vt:lpstr>'OSR_310 &amp; 491...c23f2d59_X1JXXU'!Print_Titles</vt:lpstr>
      <vt:lpstr>'OSR_310 &amp; 491_1NGRCS9'!Print_Titles</vt:lpstr>
      <vt:lpstr>OSR_310_1CMTOSB!Print_Titles</vt:lpstr>
      <vt:lpstr>OSR_330_10VFP5Y!Print_Titles</vt:lpstr>
      <vt:lpstr>OSR_331_10VKQAJ!Print_Titles</vt:lpstr>
      <vt:lpstr>OSR_332_6NDVBW!Print_Titles</vt:lpstr>
      <vt:lpstr>OSR_491_9Z9JH5!Print_Titles</vt:lpstr>
      <vt:lpstr>OSR_492_943FP1!Print_Titles</vt:lpstr>
      <vt:lpstr>'OSR_Current ...69b7dd8c_1IEQKFK'!Print_Titles</vt:lpstr>
      <vt:lpstr>'OSR_Dept (2)_...dd5b15a0_2T6PUA'!Print_Titles</vt:lpstr>
      <vt:lpstr>OSR_Dept_Y0WUKY!Print_Titles</vt:lpstr>
      <vt:lpstr>'OSR_Div 1 (1...42fef80a_1JUNUIZ'!Print_Titles</vt:lpstr>
      <vt:lpstr>'OSR_Div 1 (10...e834aaf2_4B2R3Z'!Print_Titles</vt:lpstr>
      <vt:lpstr>'OSR_Div 1 (2...9b2bdc94_1Y8VZ4A'!Print_Titles</vt:lpstr>
      <vt:lpstr>'OSR_Div 1 (3...74ea2e91_1YANJVT'!Print_Titles</vt:lpstr>
      <vt:lpstr>'OSR_Div 1 (4)...cdd6f638_NQSRHK'!Print_Titles</vt:lpstr>
      <vt:lpstr>'OSR_Div 1 (5)...14c61d9ac_RUIH7'!Print_Titles</vt:lpstr>
      <vt:lpstr>'OSR_Div 1 (6)...754b1b2a_ZV1FUK'!Print_Titles</vt:lpstr>
      <vt:lpstr>'OSR_Div 1 (7)...77c4adfc_YECVQC'!Print_Titles</vt:lpstr>
      <vt:lpstr>'OSR_Div 1 (8...54681dd8_1N56J6G'!Print_Titles</vt:lpstr>
      <vt:lpstr>'OSR_Div 1 (9)...81df0cf4_TBZUNU'!Print_Titles</vt:lpstr>
      <vt:lpstr>'OSR_Div 1_7H47HR'!Print_Titles</vt:lpstr>
      <vt:lpstr>'OSR_Div 2_1PQ800A'!Print_Titles</vt:lpstr>
      <vt:lpstr>'OSR_Div 3_18723PH'!Print_Titles</vt:lpstr>
      <vt:lpstr>'OSR_Div 4 (2)...a8a8204b_XPPX5M'!Print_Titles</vt:lpstr>
      <vt:lpstr>'OSR_Div 4_1740TMT'!Print_Titles</vt:lpstr>
      <vt:lpstr>'OSR_Div 5 (2...bac05800_1LZIM8H'!Print_Titles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2020-11-16T22:02:01Z</dcterms:modified>
</cp:coreProperties>
</file>